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backupFile="1" codeName="ThisWorkbook" hidePivotFieldList="1" defaultThemeVersion="124226"/>
  <bookViews>
    <workbookView xWindow="600" yWindow="4065" windowWidth="15600" windowHeight="5850" tabRatio="558" activeTab="7"/>
  </bookViews>
  <sheets>
    <sheet name="FRIL MAYO" sheetId="98" r:id="rId1"/>
    <sheet name="GRAFICO 2" sheetId="71" r:id="rId2"/>
    <sheet name="GRAFICO1" sheetId="51" r:id="rId3"/>
    <sheet name="SECTOR" sheetId="49" r:id="rId4"/>
    <sheet name="PROVINCIA" sheetId="50" r:id="rId5"/>
    <sheet name="PROVISION" sheetId="48" r:id="rId6"/>
    <sheet name="RESUMEN" sheetId="52" r:id="rId7"/>
    <sheet name="MAYO" sheetId="76" r:id="rId8"/>
  </sheets>
  <definedNames>
    <definedName name="__bookmark_1" localSheetId="0">#REF!</definedName>
    <definedName name="__bookmark_1" localSheetId="1">#REF!</definedName>
    <definedName name="__bookmark_1" localSheetId="2">#REF!</definedName>
    <definedName name="__bookmark_1" localSheetId="7">#REF!</definedName>
    <definedName name="__bookmark_1" localSheetId="4">#REF!</definedName>
    <definedName name="__bookmark_1" localSheetId="5">#REF!</definedName>
    <definedName name="__bookmark_1" localSheetId="3">#REF!</definedName>
    <definedName name="__bookmark_1">#REF!</definedName>
    <definedName name="_xlnm._FilterDatabase" localSheetId="0" hidden="1">'FRIL MAYO'!$A$1:$R$277</definedName>
    <definedName name="_xlnm._FilterDatabase" localSheetId="7" hidden="1">MAYO!$A$1:$BS$2528</definedName>
    <definedName name="_xlnm._FilterDatabase" localSheetId="5" hidden="1">PROVISION!$A$3:$K$15</definedName>
    <definedName name="_xlnm.Print_Area" localSheetId="0">'FRIL MAYO'!$A$1:$R$60,'FRIL MAYO'!$A$62:$R$135,'FRIL MAYO'!$A$137:$R$224,'FRIL MAYO'!$A$226:$R$262</definedName>
    <definedName name="_xlnm.Print_Area" localSheetId="7">MAYO!$A$2:$Z$33,MAYO!$A$35:$Z$52,MAYO!$A$54:$Z$84,MAYO!$A$86:$Z$98,MAYO!$A$100:$Z$112,MAYO!$A$114:$Z$142,MAYO!$A$144:$Z$164,MAYO!$A$166:$Z$199,MAYO!$A$201:$Z$252,MAYO!$A$254:$Z$279,MAYO!$A$281:$Z$304,MAYO!$A$306:$Z$333,MAYO!$A$335:$Z$366,MAYO!$A$368:$Z$382,MAYO!$A$384:$Z$412,MAYO!$A$414:$Z$439,MAYO!$A$441:$Z$476,MAYO!$A$478:$Z$499,MAYO!$A$501:$Z$522,MAYO!$A$524:$Z$557,MAYO!$A$559:$Z$587,MAYO!$A$589:$Z$608,MAYO!$A$610:$Z$633,MAYO!$A$635:$Z$650,MAYO!$A$652:$Z$677,MAYO!$A$679:$Z$697,MAYO!$A$699:$Z$726,MAYO!$A$728:$Z$752,MAYO!$A$754:$Z$784,MAYO!$A$786:$Z$814,MAYO!$A$816:$Z$838,MAYO!$A$840:$Z$870,MAYO!$A$872:$Z$890,MAYO!$A$892:$Z$927,MAYO!$A$929:$Z$954,MAYO!$A$956:$Z$1005,MAYO!$A$1011:$Z$1037</definedName>
    <definedName name="Print_Area" localSheetId="1">'GRAFICO 2'!#REF!,'GRAFICO 2'!$B$1:$F$39,'GRAFICO 2'!#REF!,'GRAFICO 2'!#REF!,'GRAFICO 2'!#REF!</definedName>
    <definedName name="Print_Area" localSheetId="2">GRAFICO1!$A$1:$F$39,GRAFICO1!#REF!,GRAFICO1!#REF!,GRAFICO1!#REF!,GRAFICO1!#REF!</definedName>
    <definedName name="proyectosconrecomendacion" localSheetId="0">#REF!</definedName>
    <definedName name="proyectosconrecomendacion" localSheetId="1">#REF!</definedName>
    <definedName name="proyectosconrecomendacion" localSheetId="2">#REF!</definedName>
    <definedName name="proyectosconrecomendacion" localSheetId="7">#REF!</definedName>
    <definedName name="proyectosconrecomendacion" localSheetId="4">#REF!</definedName>
    <definedName name="proyectosconrecomendacion" localSheetId="5">#REF!</definedName>
    <definedName name="proyectosconrecomendacion" localSheetId="3">#REF!</definedName>
    <definedName name="proyectosconrecomendacion">#REF!</definedName>
    <definedName name="_xlnm.Print_Titles" localSheetId="0">'FRIL MAYO'!$1:$1</definedName>
    <definedName name="_xlnm.Print_Titles" localSheetId="7">MAYO!$1:$1</definedName>
    <definedName name="VB" localSheetId="0">#REF!</definedName>
    <definedName name="VB" localSheetId="1">#REF!</definedName>
    <definedName name="VB" localSheetId="2">#REF!</definedName>
    <definedName name="VB" localSheetId="7">#REF!</definedName>
    <definedName name="VB" localSheetId="4">#REF!</definedName>
    <definedName name="VB" localSheetId="5">#REF!</definedName>
    <definedName name="VB" localSheetId="3">#REF!</definedName>
    <definedName name="VB">#REF!</definedName>
    <definedName name="Z_8B80CA02_0FB4_4D58_B710_AC34782A6224_.wvu.Cols" localSheetId="7" hidden="1">MAYO!#REF!</definedName>
    <definedName name="Z_8B80CA02_0FB4_4D58_B710_AC34782A6224_.wvu.FilterData" localSheetId="7" hidden="1">MAYO!$A$1:$Z$1037</definedName>
    <definedName name="Z_8B80CA02_0FB4_4D58_B710_AC34782A6224_.wvu.PrintArea" localSheetId="7" hidden="1">MAYO!$A$2:$O$199,MAYO!$A$201:$O$499,MAYO!$A$501:$O$784,MAYO!$A$786:$O$927,MAYO!$A$929:$O$954,MAYO!$A$956:$O$1037</definedName>
    <definedName name="Z_8B80CA02_0FB4_4D58_B710_AC34782A6224_.wvu.PrintTitles" localSheetId="7" hidden="1">MAYO!$1:$1</definedName>
  </definedNames>
  <calcPr calcId="144525"/>
  <customWorkbookViews>
    <customWorkbookView name="Usuario - Vista personalizada" guid="{8B80CA02-0FB4-4D58-B710-AC34782A6224}" mergeInterval="0" personalView="1" maximized="1" windowWidth="1596" windowHeight="675" tabRatio="489" activeSheetId="6"/>
  </customWorkbookViews>
  <pivotCaches>
    <pivotCache cacheId="9" r:id="rId9"/>
    <pivotCache cacheId="61" r:id="rId10"/>
  </pivotCaches>
  <fileRecoveryPr autoRecover="0"/>
</workbook>
</file>

<file path=xl/calcChain.xml><?xml version="1.0" encoding="utf-8"?>
<calcChain xmlns="http://schemas.openxmlformats.org/spreadsheetml/2006/main">
  <c r="C32" i="51" l="1"/>
  <c r="C31" i="51"/>
  <c r="C30" i="51"/>
  <c r="C29" i="51"/>
  <c r="C28" i="51"/>
  <c r="N258" i="98"/>
  <c r="M258" i="98"/>
  <c r="K258" i="98"/>
  <c r="N249" i="98"/>
  <c r="M249" i="98"/>
  <c r="L249" i="98"/>
  <c r="K249" i="98"/>
  <c r="N239" i="98"/>
  <c r="M239" i="98"/>
  <c r="L239" i="98"/>
  <c r="K239" i="98"/>
  <c r="M232" i="98"/>
  <c r="L232" i="98"/>
  <c r="K232" i="98"/>
  <c r="N222" i="98"/>
  <c r="M222" i="98"/>
  <c r="L222" i="98"/>
  <c r="K222" i="98"/>
  <c r="N216" i="98"/>
  <c r="M216" i="98"/>
  <c r="L216" i="98"/>
  <c r="K216" i="98"/>
  <c r="N209" i="98"/>
  <c r="L209" i="98"/>
  <c r="K209" i="98"/>
  <c r="N197" i="98"/>
  <c r="M197" i="98"/>
  <c r="L197" i="98"/>
  <c r="K197" i="98"/>
  <c r="N189" i="98"/>
  <c r="M189" i="98"/>
  <c r="L189" i="98"/>
  <c r="K189" i="98"/>
  <c r="N182" i="98"/>
  <c r="M182" i="98"/>
  <c r="L182" i="98"/>
  <c r="K182" i="98"/>
  <c r="N171" i="98"/>
  <c r="M171" i="98"/>
  <c r="L171" i="98"/>
  <c r="K171" i="98"/>
  <c r="N165" i="98"/>
  <c r="M165" i="98"/>
  <c r="L165" i="98"/>
  <c r="K165" i="98"/>
  <c r="N155" i="98"/>
  <c r="M155" i="98"/>
  <c r="L155" i="98"/>
  <c r="K155" i="98"/>
  <c r="N147" i="98"/>
  <c r="M147" i="98"/>
  <c r="K147" i="98"/>
  <c r="N133" i="98"/>
  <c r="M133" i="98"/>
  <c r="L133" i="98"/>
  <c r="K133" i="98"/>
  <c r="N125" i="98"/>
  <c r="M125" i="98"/>
  <c r="L125" i="98"/>
  <c r="K125" i="98"/>
  <c r="N114" i="98"/>
  <c r="L114" i="98"/>
  <c r="K114" i="98"/>
  <c r="N104" i="98"/>
  <c r="M104" i="98"/>
  <c r="K104" i="98"/>
  <c r="N99" i="98"/>
  <c r="M99" i="98"/>
  <c r="K99" i="98"/>
  <c r="N92" i="98"/>
  <c r="M92" i="98"/>
  <c r="L92" i="98"/>
  <c r="K92" i="98"/>
  <c r="N85" i="98"/>
  <c r="M85" i="98"/>
  <c r="K85" i="98"/>
  <c r="N79" i="98"/>
  <c r="M79" i="98"/>
  <c r="L79" i="98"/>
  <c r="K79" i="98"/>
  <c r="M70" i="98"/>
  <c r="L70" i="98"/>
  <c r="K70" i="98"/>
  <c r="N58" i="98"/>
  <c r="M58" i="98"/>
  <c r="L58" i="98"/>
  <c r="K58" i="98"/>
  <c r="N51" i="98"/>
  <c r="M51" i="98"/>
  <c r="L51" i="98"/>
  <c r="K51" i="98"/>
  <c r="N44" i="98"/>
  <c r="M44" i="98"/>
  <c r="L44" i="98"/>
  <c r="K44" i="98"/>
  <c r="N35" i="98"/>
  <c r="M35" i="98"/>
  <c r="L35" i="98"/>
  <c r="K35" i="98"/>
  <c r="N23" i="98"/>
  <c r="M23" i="98"/>
  <c r="L23" i="98"/>
  <c r="K23" i="98"/>
  <c r="N15" i="98"/>
  <c r="M15" i="98"/>
  <c r="L15" i="98"/>
  <c r="K15" i="98"/>
  <c r="N6" i="98"/>
  <c r="M6" i="98"/>
  <c r="L6" i="98"/>
  <c r="K6" i="98"/>
  <c r="P257" i="98"/>
  <c r="P255" i="98"/>
  <c r="P254" i="98"/>
  <c r="P253" i="98"/>
  <c r="P252" i="98"/>
  <c r="P248" i="98"/>
  <c r="P247" i="98"/>
  <c r="P246" i="98"/>
  <c r="P245" i="98"/>
  <c r="P244" i="98"/>
  <c r="P243" i="98"/>
  <c r="P242" i="98"/>
  <c r="P238" i="98"/>
  <c r="P237" i="98"/>
  <c r="P236" i="98"/>
  <c r="P235" i="98"/>
  <c r="P231" i="98"/>
  <c r="P230" i="98"/>
  <c r="P229" i="98"/>
  <c r="P228" i="98"/>
  <c r="P221" i="98"/>
  <c r="P220" i="98"/>
  <c r="P219" i="98"/>
  <c r="P215" i="98"/>
  <c r="P214" i="98"/>
  <c r="P213" i="98"/>
  <c r="P212" i="98"/>
  <c r="P208" i="98"/>
  <c r="P207" i="98"/>
  <c r="P205" i="98"/>
  <c r="P203" i="98"/>
  <c r="P202" i="98"/>
  <c r="P201" i="98"/>
  <c r="P200" i="98"/>
  <c r="P196" i="98"/>
  <c r="P195" i="98"/>
  <c r="P194" i="98"/>
  <c r="P193" i="98"/>
  <c r="P192" i="98"/>
  <c r="P188" i="98"/>
  <c r="P187" i="98"/>
  <c r="P186" i="98"/>
  <c r="P185" i="98"/>
  <c r="P181" i="98"/>
  <c r="P180" i="98"/>
  <c r="P179" i="98"/>
  <c r="P178" i="98"/>
  <c r="P177" i="98"/>
  <c r="P176" i="98"/>
  <c r="P175" i="98"/>
  <c r="P174" i="98"/>
  <c r="P170" i="98"/>
  <c r="P169" i="98"/>
  <c r="P168" i="98"/>
  <c r="P164" i="98"/>
  <c r="P163" i="98"/>
  <c r="P162" i="98"/>
  <c r="P161" i="98"/>
  <c r="P160" i="98"/>
  <c r="P159" i="98"/>
  <c r="P158" i="98"/>
  <c r="P154" i="98"/>
  <c r="P153" i="98"/>
  <c r="P152" i="98"/>
  <c r="P151" i="98"/>
  <c r="P150" i="98"/>
  <c r="P146" i="98"/>
  <c r="P145" i="98"/>
  <c r="P144" i="98"/>
  <c r="P143" i="98"/>
  <c r="P142" i="98"/>
  <c r="P139" i="98"/>
  <c r="P138" i="98"/>
  <c r="P132" i="98"/>
  <c r="P131" i="98"/>
  <c r="P130" i="98"/>
  <c r="P129" i="98"/>
  <c r="P128" i="98"/>
  <c r="P124" i="98"/>
  <c r="P123" i="98"/>
  <c r="P122" i="98"/>
  <c r="P121" i="98"/>
  <c r="P120" i="98"/>
  <c r="P119" i="98"/>
  <c r="P118" i="98"/>
  <c r="P117" i="98"/>
  <c r="P113" i="98"/>
  <c r="P112" i="98"/>
  <c r="P111" i="98"/>
  <c r="P110" i="98"/>
  <c r="P109" i="98"/>
  <c r="P107" i="98"/>
  <c r="P96" i="98"/>
  <c r="P91" i="98"/>
  <c r="P90" i="98"/>
  <c r="P89" i="98"/>
  <c r="P88" i="98"/>
  <c r="P83" i="98"/>
  <c r="P78" i="98"/>
  <c r="P77" i="98"/>
  <c r="P76" i="98"/>
  <c r="P75" i="98"/>
  <c r="P74" i="98"/>
  <c r="P73" i="98"/>
  <c r="P69" i="98"/>
  <c r="P67" i="98"/>
  <c r="P66" i="98"/>
  <c r="P65" i="98"/>
  <c r="P64" i="98"/>
  <c r="P63" i="98"/>
  <c r="P57" i="98"/>
  <c r="P56" i="98"/>
  <c r="P55" i="98"/>
  <c r="P54" i="98"/>
  <c r="P50" i="98"/>
  <c r="P49" i="98"/>
  <c r="P48" i="98"/>
  <c r="P47" i="98"/>
  <c r="P43" i="98"/>
  <c r="P42" i="98"/>
  <c r="P41" i="98"/>
  <c r="P40" i="98"/>
  <c r="P39" i="98"/>
  <c r="P38" i="98"/>
  <c r="P34" i="98"/>
  <c r="P33" i="98"/>
  <c r="P32" i="98"/>
  <c r="P31" i="98"/>
  <c r="P30" i="98"/>
  <c r="P29" i="98"/>
  <c r="P28" i="98"/>
  <c r="P27" i="98"/>
  <c r="P26" i="98"/>
  <c r="P22" i="98"/>
  <c r="P21" i="98"/>
  <c r="P20" i="98"/>
  <c r="P19" i="98"/>
  <c r="P18" i="98"/>
  <c r="P14" i="98"/>
  <c r="P13" i="98"/>
  <c r="P12" i="98"/>
  <c r="P11" i="98"/>
  <c r="P10" i="98"/>
  <c r="P9" i="98"/>
  <c r="P5" i="98"/>
  <c r="P4" i="98"/>
  <c r="P3" i="98"/>
  <c r="O1008" i="76"/>
  <c r="O995" i="76"/>
  <c r="O921" i="76"/>
  <c r="O907" i="76"/>
  <c r="M774" i="76"/>
  <c r="O774" i="76"/>
  <c r="O733" i="76"/>
  <c r="O732" i="76"/>
  <c r="O674" i="76"/>
  <c r="O409" i="76"/>
  <c r="O389" i="76"/>
  <c r="O298" i="76"/>
  <c r="N908" i="76"/>
  <c r="O908" i="76"/>
  <c r="P908" i="76"/>
  <c r="Q908" i="76"/>
  <c r="R908" i="76"/>
  <c r="T908" i="76"/>
  <c r="U908" i="76"/>
  <c r="N739" i="76"/>
  <c r="O739" i="76"/>
  <c r="P739" i="76"/>
  <c r="Q739" i="76"/>
  <c r="R739" i="76"/>
  <c r="T739" i="76"/>
  <c r="U739" i="76"/>
  <c r="N734" i="76"/>
  <c r="O734" i="76"/>
  <c r="P734" i="76"/>
  <c r="Q734" i="76"/>
  <c r="R734" i="76"/>
  <c r="T734" i="76"/>
  <c r="U734" i="76"/>
  <c r="N660" i="76"/>
  <c r="O660" i="76"/>
  <c r="P660" i="76"/>
  <c r="Q660" i="76"/>
  <c r="R660" i="76"/>
  <c r="T660" i="76"/>
  <c r="U660" i="76"/>
  <c r="M660" i="76"/>
  <c r="N391" i="76"/>
  <c r="O391" i="76"/>
  <c r="P391" i="76"/>
  <c r="Q391" i="76"/>
  <c r="R391" i="76"/>
  <c r="T391" i="76"/>
  <c r="U391" i="76"/>
  <c r="N295" i="76"/>
  <c r="O295" i="76"/>
  <c r="P295" i="76"/>
  <c r="Q295" i="76"/>
  <c r="R295" i="76"/>
  <c r="T295" i="76"/>
  <c r="U295" i="76"/>
  <c r="M295" i="76"/>
  <c r="V1032" i="76"/>
  <c r="V1031" i="76"/>
  <c r="V1030" i="76"/>
  <c r="V1029" i="76"/>
  <c r="V1028" i="76"/>
  <c r="V1027" i="76"/>
  <c r="V1026" i="76"/>
  <c r="V1025" i="76"/>
  <c r="W1025" i="76" s="1"/>
  <c r="V1024" i="76"/>
  <c r="V1023" i="76"/>
  <c r="V1022" i="76"/>
  <c r="V1021" i="76"/>
  <c r="W1021" i="76" s="1"/>
  <c r="V1020" i="76"/>
  <c r="V1019" i="76"/>
  <c r="V1018" i="76"/>
  <c r="V1017" i="76"/>
  <c r="V1016" i="76"/>
  <c r="V1015" i="76"/>
  <c r="V1014" i="76"/>
  <c r="V1013" i="76"/>
  <c r="W1013" i="76" s="1"/>
  <c r="V1012" i="76"/>
  <c r="V1008" i="76"/>
  <c r="V1004" i="76"/>
  <c r="V1003" i="76"/>
  <c r="W1003" i="76" s="1"/>
  <c r="V1002" i="76"/>
  <c r="V1001" i="76"/>
  <c r="V1000" i="76"/>
  <c r="V999" i="76"/>
  <c r="W999" i="76" s="1"/>
  <c r="V998" i="76"/>
  <c r="V997" i="76"/>
  <c r="V996" i="76"/>
  <c r="V995" i="76"/>
  <c r="W995" i="76" s="1"/>
  <c r="V994" i="76"/>
  <c r="V993" i="76"/>
  <c r="V992" i="76"/>
  <c r="V991" i="76"/>
  <c r="W991" i="76" s="1"/>
  <c r="V990" i="76"/>
  <c r="V989" i="76"/>
  <c r="V988" i="76"/>
  <c r="V987" i="76"/>
  <c r="W987" i="76" s="1"/>
  <c r="V986" i="76"/>
  <c r="V985" i="76"/>
  <c r="V984" i="76"/>
  <c r="V983" i="76"/>
  <c r="W983" i="76" s="1"/>
  <c r="V982" i="76"/>
  <c r="V981" i="76"/>
  <c r="V980" i="76"/>
  <c r="V979" i="76"/>
  <c r="W979" i="76" s="1"/>
  <c r="V978" i="76"/>
  <c r="V977" i="76"/>
  <c r="V976" i="76"/>
  <c r="V975" i="76"/>
  <c r="W975" i="76" s="1"/>
  <c r="V974" i="76"/>
  <c r="V973" i="76"/>
  <c r="V972" i="76"/>
  <c r="V971" i="76"/>
  <c r="W971" i="76" s="1"/>
  <c r="V970" i="76"/>
  <c r="V969" i="76"/>
  <c r="V968" i="76"/>
  <c r="V967" i="76"/>
  <c r="W967" i="76" s="1"/>
  <c r="V966" i="76"/>
  <c r="V965" i="76"/>
  <c r="V964" i="76"/>
  <c r="V963" i="76"/>
  <c r="W963" i="76" s="1"/>
  <c r="V962" i="76"/>
  <c r="V961" i="76"/>
  <c r="V960" i="76"/>
  <c r="V959" i="76"/>
  <c r="W959" i="76" s="1"/>
  <c r="V958" i="76"/>
  <c r="V951" i="76"/>
  <c r="V950" i="76"/>
  <c r="V949" i="76"/>
  <c r="W949" i="76" s="1"/>
  <c r="V948" i="76"/>
  <c r="V947" i="76"/>
  <c r="V946" i="76"/>
  <c r="V945" i="76"/>
  <c r="W945" i="76" s="1"/>
  <c r="V941" i="76"/>
  <c r="V940" i="76"/>
  <c r="V939" i="76"/>
  <c r="V935" i="76"/>
  <c r="W935" i="76" s="1"/>
  <c r="V931" i="76"/>
  <c r="V922" i="76"/>
  <c r="V921" i="76"/>
  <c r="V920" i="76"/>
  <c r="W920" i="76" s="1"/>
  <c r="V916" i="76"/>
  <c r="V915" i="76"/>
  <c r="V911" i="76"/>
  <c r="V907" i="76"/>
  <c r="V908" i="76" s="1"/>
  <c r="V903" i="76"/>
  <c r="V902" i="76"/>
  <c r="V901" i="76"/>
  <c r="V900" i="76"/>
  <c r="W900" i="76" s="1"/>
  <c r="V899" i="76"/>
  <c r="V898" i="76"/>
  <c r="V897" i="76"/>
  <c r="V896" i="76"/>
  <c r="V895" i="76"/>
  <c r="V894" i="76"/>
  <c r="V887" i="76"/>
  <c r="V886" i="76"/>
  <c r="V885" i="76"/>
  <c r="V884" i="76"/>
  <c r="V883" i="76"/>
  <c r="V879" i="76"/>
  <c r="W879" i="76" s="1"/>
  <c r="V875" i="76"/>
  <c r="V874" i="76"/>
  <c r="V867" i="76"/>
  <c r="V866" i="76"/>
  <c r="W866" i="76" s="1"/>
  <c r="V865" i="76"/>
  <c r="V864" i="76"/>
  <c r="V860" i="76"/>
  <c r="V859" i="76"/>
  <c r="W859" i="76" s="1"/>
  <c r="V858" i="76"/>
  <c r="V857" i="76"/>
  <c r="V856" i="76"/>
  <c r="V855" i="76"/>
  <c r="W855" i="76" s="1"/>
  <c r="V854" i="76"/>
  <c r="V853" i="76"/>
  <c r="V852" i="76"/>
  <c r="V848" i="76"/>
  <c r="W848" i="76" s="1"/>
  <c r="V847" i="76"/>
  <c r="V843" i="76"/>
  <c r="V842" i="76"/>
  <c r="V835" i="76"/>
  <c r="W835" i="76" s="1"/>
  <c r="V834" i="76"/>
  <c r="V833" i="76"/>
  <c r="V829" i="76"/>
  <c r="V828" i="76"/>
  <c r="W828" i="76" s="1"/>
  <c r="V824" i="76"/>
  <c r="V823" i="76"/>
  <c r="V819" i="76"/>
  <c r="V818" i="76"/>
  <c r="W818" i="76" s="1"/>
  <c r="V811" i="76"/>
  <c r="V810" i="76"/>
  <c r="V809" i="76"/>
  <c r="V808" i="76"/>
  <c r="W808" i="76" s="1"/>
  <c r="V807" i="76"/>
  <c r="V803" i="76"/>
  <c r="V802" i="76"/>
  <c r="V801" i="76"/>
  <c r="W801" i="76" s="1"/>
  <c r="V800" i="76"/>
  <c r="V799" i="76"/>
  <c r="V795" i="76"/>
  <c r="V794" i="76"/>
  <c r="W794" i="76" s="1"/>
  <c r="V790" i="76"/>
  <c r="V789" i="76"/>
  <c r="V788" i="76"/>
  <c r="V779" i="76"/>
  <c r="V778" i="76"/>
  <c r="V777" i="76"/>
  <c r="V776" i="76"/>
  <c r="V775" i="76"/>
  <c r="W775" i="76" s="1"/>
  <c r="V774" i="76"/>
  <c r="V773" i="76"/>
  <c r="V769" i="76"/>
  <c r="V768" i="76"/>
  <c r="W768" i="76" s="1"/>
  <c r="V764" i="76"/>
  <c r="V760" i="76"/>
  <c r="V759" i="76"/>
  <c r="V758" i="76"/>
  <c r="W758" i="76" s="1"/>
  <c r="V757" i="76"/>
  <c r="V756" i="76"/>
  <c r="V749" i="76"/>
  <c r="V748" i="76"/>
  <c r="W748" i="76" s="1"/>
  <c r="V747" i="76"/>
  <c r="V743" i="76"/>
  <c r="V742" i="76"/>
  <c r="V738" i="76"/>
  <c r="W738" i="76" s="1"/>
  <c r="V737" i="76"/>
  <c r="V733" i="76"/>
  <c r="V732" i="76"/>
  <c r="V731" i="76"/>
  <c r="W731" i="76" s="1"/>
  <c r="V730" i="76"/>
  <c r="V723" i="76"/>
  <c r="V722" i="76"/>
  <c r="V718" i="76"/>
  <c r="W718" i="76" s="1"/>
  <c r="V717" i="76"/>
  <c r="V713" i="76"/>
  <c r="V712" i="76"/>
  <c r="V708" i="76"/>
  <c r="W708" i="76" s="1"/>
  <c r="V707" i="76"/>
  <c r="V706" i="76"/>
  <c r="V702" i="76"/>
  <c r="V701" i="76"/>
  <c r="V694" i="76"/>
  <c r="V693" i="76"/>
  <c r="V692" i="76"/>
  <c r="V691" i="76"/>
  <c r="W691" i="76" s="1"/>
  <c r="V690" i="76"/>
  <c r="V689" i="76"/>
  <c r="V685" i="76"/>
  <c r="V674" i="76"/>
  <c r="W674" i="76" s="1"/>
  <c r="V673" i="76"/>
  <c r="V672" i="76"/>
  <c r="V668" i="76"/>
  <c r="V664" i="76"/>
  <c r="W664" i="76" s="1"/>
  <c r="V663" i="76"/>
  <c r="V659" i="76"/>
  <c r="V658" i="76"/>
  <c r="V654" i="76"/>
  <c r="W654" i="76" s="1"/>
  <c r="V647" i="76"/>
  <c r="V646" i="76"/>
  <c r="V645" i="76"/>
  <c r="V641" i="76"/>
  <c r="V637" i="76"/>
  <c r="V630" i="76"/>
  <c r="V629" i="76"/>
  <c r="V628" i="76"/>
  <c r="W628" i="76" s="1"/>
  <c r="V627" i="76"/>
  <c r="V626" i="76"/>
  <c r="V622" i="76"/>
  <c r="V618" i="76"/>
  <c r="W618" i="76" s="1"/>
  <c r="V617" i="76"/>
  <c r="V613" i="76"/>
  <c r="V612" i="76"/>
  <c r="V605" i="76"/>
  <c r="W605" i="76" s="1"/>
  <c r="V604" i="76"/>
  <c r="V603" i="76"/>
  <c r="V602" i="76"/>
  <c r="V601" i="76"/>
  <c r="W601" i="76" s="1"/>
  <c r="V597" i="76"/>
  <c r="V596" i="76"/>
  <c r="V592" i="76"/>
  <c r="V591" i="76"/>
  <c r="W591" i="76" s="1"/>
  <c r="V584" i="76"/>
  <c r="V583" i="76"/>
  <c r="V582" i="76"/>
  <c r="V578" i="76"/>
  <c r="W578" i="76" s="1"/>
  <c r="V577" i="76"/>
  <c r="V573" i="76"/>
  <c r="V572" i="76"/>
  <c r="V571" i="76"/>
  <c r="W571" i="76" s="1"/>
  <c r="V570" i="76"/>
  <c r="V569" i="76"/>
  <c r="V565" i="76"/>
  <c r="V561" i="76"/>
  <c r="W561" i="76" s="1"/>
  <c r="V554" i="76"/>
  <c r="V553" i="76"/>
  <c r="V552" i="76"/>
  <c r="V551" i="76"/>
  <c r="W551" i="76" s="1"/>
  <c r="V550" i="76"/>
  <c r="V549" i="76"/>
  <c r="V545" i="76"/>
  <c r="V544" i="76"/>
  <c r="W544" i="76" s="1"/>
  <c r="V540" i="76"/>
  <c r="V539" i="76"/>
  <c r="V535" i="76"/>
  <c r="V534" i="76"/>
  <c r="W534" i="76" s="1"/>
  <c r="V533" i="76"/>
  <c r="V528" i="76"/>
  <c r="V527" i="76"/>
  <c r="V526" i="76"/>
  <c r="W526" i="76" s="1"/>
  <c r="V519" i="76"/>
  <c r="V518" i="76"/>
  <c r="V517" i="76"/>
  <c r="V516" i="76"/>
  <c r="W516" i="76" s="1"/>
  <c r="V515" i="76"/>
  <c r="V511" i="76"/>
  <c r="V510" i="76"/>
  <c r="V506" i="76"/>
  <c r="W506" i="76" s="1"/>
  <c r="V505" i="76"/>
  <c r="V504" i="76"/>
  <c r="V503" i="76"/>
  <c r="V494" i="76"/>
  <c r="W494" i="76" s="1"/>
  <c r="V493" i="76"/>
  <c r="V492" i="76"/>
  <c r="V491" i="76"/>
  <c r="V490" i="76"/>
  <c r="V486" i="76"/>
  <c r="V485" i="76"/>
  <c r="V484" i="76"/>
  <c r="V483" i="76"/>
  <c r="V482" i="76"/>
  <c r="V481" i="76"/>
  <c r="V480" i="76"/>
  <c r="V473" i="76"/>
  <c r="W473" i="76" s="1"/>
  <c r="V472" i="76"/>
  <c r="V471" i="76"/>
  <c r="V470" i="76"/>
  <c r="V469" i="76"/>
  <c r="W469" i="76" s="1"/>
  <c r="V468" i="76"/>
  <c r="V467" i="76"/>
  <c r="V466" i="76"/>
  <c r="V465" i="76"/>
  <c r="V461" i="76"/>
  <c r="V460" i="76"/>
  <c r="V459" i="76"/>
  <c r="V455" i="76"/>
  <c r="W455" i="76" s="1"/>
  <c r="V451" i="76"/>
  <c r="V447" i="76"/>
  <c r="V446" i="76"/>
  <c r="V445" i="76"/>
  <c r="W445" i="76" s="1"/>
  <c r="V444" i="76"/>
  <c r="V443" i="76"/>
  <c r="V436" i="76"/>
  <c r="V435" i="76"/>
  <c r="W435" i="76" s="1"/>
  <c r="V434" i="76"/>
  <c r="V430" i="76"/>
  <c r="V426" i="76"/>
  <c r="V425" i="76"/>
  <c r="W425" i="76" s="1"/>
  <c r="V424" i="76"/>
  <c r="V423" i="76"/>
  <c r="V422" i="76"/>
  <c r="V418" i="76"/>
  <c r="V417" i="76"/>
  <c r="V409" i="76"/>
  <c r="V408" i="76"/>
  <c r="V404" i="76"/>
  <c r="W404" i="76" s="1"/>
  <c r="V403" i="76"/>
  <c r="V402" i="76"/>
  <c r="V401" i="76"/>
  <c r="V400" i="76"/>
  <c r="W400" i="76" s="1"/>
  <c r="V399" i="76"/>
  <c r="V398" i="76"/>
  <c r="V394" i="76"/>
  <c r="V390" i="76"/>
  <c r="V389" i="76"/>
  <c r="V388" i="76"/>
  <c r="V387" i="76"/>
  <c r="V386" i="76"/>
  <c r="W386" i="76" s="1"/>
  <c r="V379" i="76"/>
  <c r="V378" i="76"/>
  <c r="V374" i="76"/>
  <c r="V370" i="76"/>
  <c r="W370" i="76" s="1"/>
  <c r="V363" i="76"/>
  <c r="V362" i="76"/>
  <c r="V361" i="76"/>
  <c r="V357" i="76"/>
  <c r="W357" i="76" s="1"/>
  <c r="V356" i="76"/>
  <c r="V352" i="76"/>
  <c r="V348" i="76"/>
  <c r="V347" i="76"/>
  <c r="W347" i="76" s="1"/>
  <c r="V346" i="76"/>
  <c r="V342" i="76"/>
  <c r="V341" i="76"/>
  <c r="V340" i="76"/>
  <c r="W340" i="76" s="1"/>
  <c r="V339" i="76"/>
  <c r="V338" i="76"/>
  <c r="V337" i="76"/>
  <c r="V330" i="76"/>
  <c r="V329" i="76"/>
  <c r="V328" i="76"/>
  <c r="V327" i="76"/>
  <c r="V326" i="76"/>
  <c r="V322" i="76"/>
  <c r="V321" i="76"/>
  <c r="V317" i="76"/>
  <c r="V313" i="76"/>
  <c r="W313" i="76" s="1"/>
  <c r="V312" i="76"/>
  <c r="V311" i="76"/>
  <c r="V310" i="76"/>
  <c r="V309" i="76"/>
  <c r="W309" i="76" s="1"/>
  <c r="V308" i="76"/>
  <c r="V301" i="76"/>
  <c r="V300" i="76"/>
  <c r="V299" i="76"/>
  <c r="W299" i="76" s="1"/>
  <c r="V298" i="76"/>
  <c r="V294" i="76"/>
  <c r="V293" i="76"/>
  <c r="V292" i="76"/>
  <c r="V288" i="76"/>
  <c r="V287" i="76"/>
  <c r="V286" i="76"/>
  <c r="V285" i="76"/>
  <c r="W285" i="76" s="1"/>
  <c r="V284" i="76"/>
  <c r="V283" i="76"/>
  <c r="V276" i="76"/>
  <c r="V275" i="76"/>
  <c r="W275" i="76" s="1"/>
  <c r="V274" i="76"/>
  <c r="V273" i="76"/>
  <c r="V269" i="76"/>
  <c r="V268" i="76"/>
  <c r="W268" i="76" s="1"/>
  <c r="V267" i="76"/>
  <c r="V263" i="76"/>
  <c r="V259" i="76"/>
  <c r="V258" i="76"/>
  <c r="W258" i="76" s="1"/>
  <c r="V257" i="76"/>
  <c r="V256" i="76"/>
  <c r="V249" i="76"/>
  <c r="V248" i="76"/>
  <c r="W248" i="76" s="1"/>
  <c r="V247" i="76"/>
  <c r="V246" i="76"/>
  <c r="V245" i="76"/>
  <c r="V244" i="76"/>
  <c r="W244" i="76" s="1"/>
  <c r="V240" i="76"/>
  <c r="V239" i="76"/>
  <c r="V238" i="76"/>
  <c r="V237" i="76"/>
  <c r="W237" i="76" s="1"/>
  <c r="V236" i="76"/>
  <c r="V235" i="76"/>
  <c r="V231" i="76"/>
  <c r="V230" i="76"/>
  <c r="W230" i="76" s="1"/>
  <c r="V229" i="76"/>
  <c r="V228" i="76"/>
  <c r="V224" i="76"/>
  <c r="V223" i="76"/>
  <c r="V219" i="76"/>
  <c r="V218" i="76"/>
  <c r="V217" i="76"/>
  <c r="V216" i="76"/>
  <c r="V215" i="76"/>
  <c r="V214" i="76"/>
  <c r="V213" i="76"/>
  <c r="V212" i="76"/>
  <c r="W212" i="76" s="1"/>
  <c r="V211" i="76"/>
  <c r="V210" i="76"/>
  <c r="V209" i="76"/>
  <c r="V208" i="76"/>
  <c r="W208" i="76" s="1"/>
  <c r="V207" i="76"/>
  <c r="V206" i="76"/>
  <c r="V205" i="76"/>
  <c r="V204" i="76"/>
  <c r="W204" i="76" s="1"/>
  <c r="V203" i="76"/>
  <c r="V194" i="76"/>
  <c r="V193" i="76"/>
  <c r="V192" i="76"/>
  <c r="W192" i="76" s="1"/>
  <c r="V191" i="76"/>
  <c r="V187" i="76"/>
  <c r="V186" i="76"/>
  <c r="V185" i="76"/>
  <c r="W185" i="76" s="1"/>
  <c r="V184" i="76"/>
  <c r="V183" i="76"/>
  <c r="V182" i="76"/>
  <c r="V181" i="76"/>
  <c r="W181" i="76" s="1"/>
  <c r="V177" i="76"/>
  <c r="V176" i="76"/>
  <c r="V175" i="76"/>
  <c r="V174" i="76"/>
  <c r="V170" i="76"/>
  <c r="V169" i="76"/>
  <c r="V168" i="76"/>
  <c r="V161" i="76"/>
  <c r="V160" i="76"/>
  <c r="V159" i="76"/>
  <c r="V158" i="76"/>
  <c r="V154" i="76"/>
  <c r="W154" i="76" s="1"/>
  <c r="V150" i="76"/>
  <c r="V146" i="76"/>
  <c r="V139" i="76"/>
  <c r="V138" i="76"/>
  <c r="V137" i="76"/>
  <c r="V136" i="76"/>
  <c r="V132" i="76"/>
  <c r="V131" i="76"/>
  <c r="W131" i="76" s="1"/>
  <c r="V130" i="76"/>
  <c r="V126" i="76"/>
  <c r="V125" i="76"/>
  <c r="V121" i="76"/>
  <c r="W121" i="76" s="1"/>
  <c r="V120" i="76"/>
  <c r="V116" i="76"/>
  <c r="V109" i="76"/>
  <c r="V108" i="76"/>
  <c r="W108" i="76" s="1"/>
  <c r="V107" i="76"/>
  <c r="V103" i="76"/>
  <c r="V102" i="76"/>
  <c r="V95" i="76"/>
  <c r="W95" i="76" s="1"/>
  <c r="V94" i="76"/>
  <c r="V93" i="76"/>
  <c r="V89" i="76"/>
  <c r="V88" i="76"/>
  <c r="W88" i="76" s="1"/>
  <c r="V81" i="76"/>
  <c r="V80" i="76"/>
  <c r="V79" i="76"/>
  <c r="V78" i="76"/>
  <c r="V74" i="76"/>
  <c r="V73" i="76"/>
  <c r="V72" i="76"/>
  <c r="V68" i="76"/>
  <c r="W68" i="76" s="1"/>
  <c r="V64" i="76"/>
  <c r="V63" i="76"/>
  <c r="V62" i="76"/>
  <c r="V58" i="76"/>
  <c r="W58" i="76" s="1"/>
  <c r="V57" i="76"/>
  <c r="V56" i="76"/>
  <c r="V49" i="76"/>
  <c r="V48" i="76"/>
  <c r="W48" i="76" s="1"/>
  <c r="V47" i="76"/>
  <c r="V46" i="76"/>
  <c r="V45" i="76"/>
  <c r="V41" i="76"/>
  <c r="W41" i="76" s="1"/>
  <c r="V37" i="76"/>
  <c r="V30" i="76"/>
  <c r="V29" i="76"/>
  <c r="V28" i="76"/>
  <c r="W28" i="76" s="1"/>
  <c r="V27" i="76"/>
  <c r="V26" i="76"/>
  <c r="V25" i="76"/>
  <c r="V24" i="76"/>
  <c r="W24" i="76" s="1"/>
  <c r="V23" i="76"/>
  <c r="V19" i="76"/>
  <c r="V15" i="76"/>
  <c r="V14" i="76"/>
  <c r="V10" i="76"/>
  <c r="V9" i="76"/>
  <c r="V8" i="76"/>
  <c r="V7" i="76"/>
  <c r="W7" i="76" s="1"/>
  <c r="V6" i="76"/>
  <c r="V5" i="76"/>
  <c r="V4" i="76"/>
  <c r="O181" i="76"/>
  <c r="M181" i="76"/>
  <c r="X1032" i="76"/>
  <c r="X1031" i="76"/>
  <c r="X1030" i="76"/>
  <c r="X1028" i="76"/>
  <c r="X1027" i="76"/>
  <c r="X1026" i="76"/>
  <c r="X1025" i="76"/>
  <c r="X1023" i="76"/>
  <c r="X1022" i="76"/>
  <c r="X1021" i="76"/>
  <c r="X1020" i="76"/>
  <c r="X1019" i="76"/>
  <c r="X1018" i="76"/>
  <c r="X1016" i="76"/>
  <c r="X1015" i="76"/>
  <c r="X1013" i="76"/>
  <c r="X1012" i="76"/>
  <c r="X1008" i="76"/>
  <c r="X1003" i="76"/>
  <c r="X1002" i="76"/>
  <c r="X1001" i="76"/>
  <c r="X1000" i="76"/>
  <c r="X999" i="76"/>
  <c r="X998" i="76"/>
  <c r="X997" i="76"/>
  <c r="X996" i="76"/>
  <c r="X995" i="76"/>
  <c r="X994" i="76"/>
  <c r="X993" i="76"/>
  <c r="X991" i="76"/>
  <c r="X990" i="76"/>
  <c r="X989" i="76"/>
  <c r="X988" i="76"/>
  <c r="X987" i="76"/>
  <c r="X986" i="76"/>
  <c r="X985" i="76"/>
  <c r="X984" i="76"/>
  <c r="X983" i="76"/>
  <c r="X982" i="76"/>
  <c r="X981" i="76"/>
  <c r="X979" i="76"/>
  <c r="X978" i="76"/>
  <c r="X977" i="76"/>
  <c r="X976" i="76"/>
  <c r="X975" i="76"/>
  <c r="X974" i="76"/>
  <c r="X973" i="76"/>
  <c r="X972" i="76"/>
  <c r="X971" i="76"/>
  <c r="X970" i="76"/>
  <c r="X969" i="76"/>
  <c r="X968" i="76"/>
  <c r="X967" i="76"/>
  <c r="X966" i="76"/>
  <c r="X965" i="76"/>
  <c r="X964" i="76"/>
  <c r="X963" i="76"/>
  <c r="X960" i="76"/>
  <c r="X959" i="76"/>
  <c r="X958" i="76"/>
  <c r="X951" i="76"/>
  <c r="X950" i="76"/>
  <c r="X949" i="76"/>
  <c r="X947" i="76"/>
  <c r="X946" i="76"/>
  <c r="X945" i="76"/>
  <c r="X941" i="76"/>
  <c r="X940" i="76"/>
  <c r="X939" i="76"/>
  <c r="X935" i="76"/>
  <c r="X922" i="76"/>
  <c r="X920" i="76"/>
  <c r="X916" i="76"/>
  <c r="X915" i="76"/>
  <c r="X903" i="76"/>
  <c r="X902" i="76"/>
  <c r="X901" i="76"/>
  <c r="X900" i="76"/>
  <c r="X899" i="76"/>
  <c r="X897" i="76"/>
  <c r="X896" i="76"/>
  <c r="X895" i="76"/>
  <c r="X887" i="76"/>
  <c r="X886" i="76"/>
  <c r="X885" i="76"/>
  <c r="X883" i="76"/>
  <c r="X879" i="76"/>
  <c r="X875" i="76"/>
  <c r="X874" i="76"/>
  <c r="X866" i="76"/>
  <c r="X865" i="76"/>
  <c r="X864" i="76"/>
  <c r="X860" i="76"/>
  <c r="X859" i="76"/>
  <c r="X858" i="76"/>
  <c r="X857" i="76"/>
  <c r="X856" i="76"/>
  <c r="X855" i="76"/>
  <c r="X854" i="76"/>
  <c r="X853" i="76"/>
  <c r="X852" i="76"/>
  <c r="X848" i="76"/>
  <c r="X847" i="76"/>
  <c r="X843" i="76"/>
  <c r="X842" i="76"/>
  <c r="X835" i="76"/>
  <c r="X833" i="76"/>
  <c r="X829" i="76"/>
  <c r="X828" i="76"/>
  <c r="X823" i="76"/>
  <c r="X819" i="76"/>
  <c r="X818" i="76"/>
  <c r="X811" i="76"/>
  <c r="X810" i="76"/>
  <c r="X809" i="76"/>
  <c r="X808" i="76"/>
  <c r="X802" i="76"/>
  <c r="X801" i="76"/>
  <c r="X800" i="76"/>
  <c r="X799" i="76"/>
  <c r="X795" i="76"/>
  <c r="X794" i="76"/>
  <c r="X790" i="76"/>
  <c r="X789" i="76"/>
  <c r="X788" i="76"/>
  <c r="X778" i="76"/>
  <c r="X777" i="76"/>
  <c r="X776" i="76"/>
  <c r="X775" i="76"/>
  <c r="X774" i="76"/>
  <c r="X769" i="76"/>
  <c r="X768" i="76"/>
  <c r="X764" i="76"/>
  <c r="X758" i="76"/>
  <c r="X756" i="76"/>
  <c r="X749" i="76"/>
  <c r="X748" i="76"/>
  <c r="X747" i="76"/>
  <c r="X742" i="76"/>
  <c r="X738" i="76"/>
  <c r="X737" i="76"/>
  <c r="X732" i="76"/>
  <c r="X731" i="76"/>
  <c r="X730" i="76"/>
  <c r="X723" i="76"/>
  <c r="X722" i="76"/>
  <c r="X718" i="76"/>
  <c r="X713" i="76"/>
  <c r="X712" i="76"/>
  <c r="X708" i="76"/>
  <c r="X707" i="76"/>
  <c r="X706" i="76"/>
  <c r="X702" i="76"/>
  <c r="X694" i="76"/>
  <c r="X692" i="76"/>
  <c r="X691" i="76"/>
  <c r="X690" i="76"/>
  <c r="X689" i="76"/>
  <c r="X685" i="76"/>
  <c r="X681" i="76"/>
  <c r="X674" i="76"/>
  <c r="X673" i="76"/>
  <c r="X672" i="76"/>
  <c r="X668" i="76"/>
  <c r="X664" i="76"/>
  <c r="X663" i="76"/>
  <c r="X659" i="76"/>
  <c r="X658" i="76"/>
  <c r="X654" i="76"/>
  <c r="X647" i="76"/>
  <c r="X645" i="76"/>
  <c r="X630" i="76"/>
  <c r="X629" i="76"/>
  <c r="X628" i="76"/>
  <c r="X627" i="76"/>
  <c r="X626" i="76"/>
  <c r="X622" i="76"/>
  <c r="X618" i="76"/>
  <c r="X617" i="76"/>
  <c r="X613" i="76"/>
  <c r="X612" i="76"/>
  <c r="X605" i="76"/>
  <c r="X604" i="76"/>
  <c r="X603" i="76"/>
  <c r="X602" i="76"/>
  <c r="X601" i="76"/>
  <c r="X597" i="76"/>
  <c r="X596" i="76"/>
  <c r="X592" i="76"/>
  <c r="X591" i="76"/>
  <c r="X584" i="76"/>
  <c r="X583" i="76"/>
  <c r="X582" i="76"/>
  <c r="X578" i="76"/>
  <c r="X577" i="76"/>
  <c r="X573" i="76"/>
  <c r="X572" i="76"/>
  <c r="X571" i="76"/>
  <c r="X570" i="76"/>
  <c r="X561" i="76"/>
  <c r="X554" i="76"/>
  <c r="X553" i="76"/>
  <c r="X552" i="76"/>
  <c r="X551" i="76"/>
  <c r="X550" i="76"/>
  <c r="X549" i="76"/>
  <c r="X545" i="76"/>
  <c r="X544" i="76"/>
  <c r="X534" i="76"/>
  <c r="X533" i="76"/>
  <c r="X529" i="76"/>
  <c r="X528" i="76"/>
  <c r="X527" i="76"/>
  <c r="X526" i="76"/>
  <c r="X519" i="76"/>
  <c r="X518" i="76"/>
  <c r="X516" i="76"/>
  <c r="X515" i="76"/>
  <c r="X511" i="76"/>
  <c r="X510" i="76"/>
  <c r="X506" i="76"/>
  <c r="X504" i="76"/>
  <c r="X503" i="76"/>
  <c r="X494" i="76"/>
  <c r="X493" i="76"/>
  <c r="X492" i="76"/>
  <c r="X491" i="76"/>
  <c r="X486" i="76"/>
  <c r="X480" i="76"/>
  <c r="X473" i="76"/>
  <c r="X472" i="76"/>
  <c r="X471" i="76"/>
  <c r="X470" i="76"/>
  <c r="X469" i="76"/>
  <c r="X468" i="76"/>
  <c r="X467" i="76"/>
  <c r="X466" i="76"/>
  <c r="X461" i="76"/>
  <c r="X460" i="76"/>
  <c r="X459" i="76"/>
  <c r="X455" i="76"/>
  <c r="X451" i="76"/>
  <c r="X447" i="76"/>
  <c r="X446" i="76"/>
  <c r="X445" i="76"/>
  <c r="X444" i="76"/>
  <c r="X435" i="76"/>
  <c r="X434" i="76"/>
  <c r="X425" i="76"/>
  <c r="X424" i="76"/>
  <c r="X423" i="76"/>
  <c r="X422" i="76"/>
  <c r="X417" i="76"/>
  <c r="X409" i="76"/>
  <c r="X404" i="76"/>
  <c r="X403" i="76"/>
  <c r="X402" i="76"/>
  <c r="X400" i="76"/>
  <c r="X399" i="76"/>
  <c r="X398" i="76"/>
  <c r="X394" i="76"/>
  <c r="X389" i="76"/>
  <c r="X388" i="76"/>
  <c r="X387" i="76"/>
  <c r="X386" i="76"/>
  <c r="X379" i="76"/>
  <c r="X378" i="76"/>
  <c r="X374" i="76"/>
  <c r="X370" i="76"/>
  <c r="X362" i="76"/>
  <c r="X361" i="76"/>
  <c r="X357" i="76"/>
  <c r="X347" i="76"/>
  <c r="X346" i="76"/>
  <c r="X342" i="76"/>
  <c r="X340" i="76"/>
  <c r="X339" i="76"/>
  <c r="X337" i="76"/>
  <c r="X329" i="76"/>
  <c r="X328" i="76"/>
  <c r="X322" i="76"/>
  <c r="X321" i="76"/>
  <c r="X317" i="76"/>
  <c r="X313" i="76"/>
  <c r="X312" i="76"/>
  <c r="X311" i="76"/>
  <c r="X309" i="76"/>
  <c r="X308" i="76"/>
  <c r="X301" i="76"/>
  <c r="X299" i="76"/>
  <c r="X298" i="76"/>
  <c r="X294" i="76"/>
  <c r="X293" i="76"/>
  <c r="X288" i="76"/>
  <c r="X286" i="76"/>
  <c r="X285" i="76"/>
  <c r="X284" i="76"/>
  <c r="X283" i="76"/>
  <c r="X276" i="76"/>
  <c r="X275" i="76"/>
  <c r="X274" i="76"/>
  <c r="X273" i="76"/>
  <c r="X269" i="76"/>
  <c r="X268" i="76"/>
  <c r="X267" i="76"/>
  <c r="X263" i="76"/>
  <c r="X259" i="76"/>
  <c r="X258" i="76"/>
  <c r="X257" i="76"/>
  <c r="X248" i="76"/>
  <c r="X246" i="76"/>
  <c r="X245" i="76"/>
  <c r="X244" i="76"/>
  <c r="X240" i="76"/>
  <c r="X239" i="76"/>
  <c r="X237" i="76"/>
  <c r="X231" i="76"/>
  <c r="X230" i="76"/>
  <c r="X228" i="76"/>
  <c r="X224" i="76"/>
  <c r="X219" i="76"/>
  <c r="X217" i="76"/>
  <c r="X215" i="76"/>
  <c r="X214" i="76"/>
  <c r="X212" i="76"/>
  <c r="X211" i="76"/>
  <c r="X210" i="76"/>
  <c r="X209" i="76"/>
  <c r="X208" i="76"/>
  <c r="X207" i="76"/>
  <c r="X206" i="76"/>
  <c r="X205" i="76"/>
  <c r="X204" i="76"/>
  <c r="X193" i="76"/>
  <c r="X192" i="76"/>
  <c r="X191" i="76"/>
  <c r="X187" i="76"/>
  <c r="X186" i="76"/>
  <c r="X185" i="76"/>
  <c r="X184" i="76"/>
  <c r="X183" i="76"/>
  <c r="X182" i="76"/>
  <c r="X181" i="76"/>
  <c r="X177" i="76"/>
  <c r="X175" i="76"/>
  <c r="X170" i="76"/>
  <c r="X169" i="76"/>
  <c r="X168" i="76"/>
  <c r="X160" i="76"/>
  <c r="X159" i="76"/>
  <c r="X158" i="76"/>
  <c r="X154" i="76"/>
  <c r="X146" i="76"/>
  <c r="X139" i="76"/>
  <c r="X137" i="76"/>
  <c r="X136" i="76"/>
  <c r="X132" i="76"/>
  <c r="X131" i="76"/>
  <c r="X130" i="76"/>
  <c r="X126" i="76"/>
  <c r="X125" i="76"/>
  <c r="X121" i="76"/>
  <c r="X116" i="76"/>
  <c r="X109" i="76"/>
  <c r="X108" i="76"/>
  <c r="X107" i="76"/>
  <c r="X103" i="76"/>
  <c r="X102" i="76"/>
  <c r="X95" i="76"/>
  <c r="X94" i="76"/>
  <c r="X93" i="76"/>
  <c r="X89" i="76"/>
  <c r="X88" i="76"/>
  <c r="X81" i="76"/>
  <c r="X80" i="76"/>
  <c r="X79" i="76"/>
  <c r="X73" i="76"/>
  <c r="X72" i="76"/>
  <c r="X64" i="76"/>
  <c r="X63" i="76"/>
  <c r="X62" i="76"/>
  <c r="X58" i="76"/>
  <c r="X57" i="76"/>
  <c r="X56" i="76"/>
  <c r="X49" i="76"/>
  <c r="X48" i="76"/>
  <c r="X47" i="76"/>
  <c r="X46" i="76"/>
  <c r="X45" i="76"/>
  <c r="X41" i="76"/>
  <c r="X37" i="76"/>
  <c r="X30" i="76"/>
  <c r="X29" i="76"/>
  <c r="X28" i="76"/>
  <c r="X27" i="76"/>
  <c r="X26" i="76"/>
  <c r="X24" i="76"/>
  <c r="X23" i="76"/>
  <c r="X19" i="76"/>
  <c r="X15" i="76"/>
  <c r="X10" i="76"/>
  <c r="X8" i="76"/>
  <c r="X7" i="76"/>
  <c r="X6" i="76"/>
  <c r="X5" i="76"/>
  <c r="W1032" i="76"/>
  <c r="W1031" i="76"/>
  <c r="W1030" i="76"/>
  <c r="W1028" i="76"/>
  <c r="W1027" i="76"/>
  <c r="W1026" i="76"/>
  <c r="W1023" i="76"/>
  <c r="W1022" i="76"/>
  <c r="W1020" i="76"/>
  <c r="W1019" i="76"/>
  <c r="W1018" i="76"/>
  <c r="W1016" i="76"/>
  <c r="W1015" i="76"/>
  <c r="W1012" i="76"/>
  <c r="W1008" i="76"/>
  <c r="W1002" i="76"/>
  <c r="W1001" i="76"/>
  <c r="W1000" i="76"/>
  <c r="W998" i="76"/>
  <c r="W997" i="76"/>
  <c r="W996" i="76"/>
  <c r="W994" i="76"/>
  <c r="W993" i="76"/>
  <c r="W990" i="76"/>
  <c r="W989" i="76"/>
  <c r="W988" i="76"/>
  <c r="W986" i="76"/>
  <c r="W985" i="76"/>
  <c r="W984" i="76"/>
  <c r="W982" i="76"/>
  <c r="W981" i="76"/>
  <c r="W978" i="76"/>
  <c r="W977" i="76"/>
  <c r="W976" i="76"/>
  <c r="W974" i="76"/>
  <c r="W973" i="76"/>
  <c r="W972" i="76"/>
  <c r="W970" i="76"/>
  <c r="W969" i="76"/>
  <c r="W968" i="76"/>
  <c r="W966" i="76"/>
  <c r="W965" i="76"/>
  <c r="W964" i="76"/>
  <c r="W961" i="76"/>
  <c r="W960" i="76"/>
  <c r="W958" i="76"/>
  <c r="W951" i="76"/>
  <c r="W950" i="76"/>
  <c r="W947" i="76"/>
  <c r="W946" i="76"/>
  <c r="W941" i="76"/>
  <c r="W940" i="76"/>
  <c r="W939" i="76"/>
  <c r="W922" i="76"/>
  <c r="W916" i="76"/>
  <c r="W915" i="76"/>
  <c r="W903" i="76"/>
  <c r="W902" i="76"/>
  <c r="W901" i="76"/>
  <c r="W899" i="76"/>
  <c r="W897" i="76"/>
  <c r="W896" i="76"/>
  <c r="W895" i="76"/>
  <c r="W894" i="76"/>
  <c r="W887" i="76"/>
  <c r="W886" i="76"/>
  <c r="W885" i="76"/>
  <c r="W883" i="76"/>
  <c r="W875" i="76"/>
  <c r="W874" i="76"/>
  <c r="W865" i="76"/>
  <c r="W864" i="76"/>
  <c r="W860" i="76"/>
  <c r="W858" i="76"/>
  <c r="W857" i="76"/>
  <c r="W856" i="76"/>
  <c r="W854" i="76"/>
  <c r="W853" i="76"/>
  <c r="W852" i="76"/>
  <c r="W847" i="76"/>
  <c r="W843" i="76"/>
  <c r="W842" i="76"/>
  <c r="W833" i="76"/>
  <c r="W829" i="76"/>
  <c r="W823" i="76"/>
  <c r="W819" i="76"/>
  <c r="W811" i="76"/>
  <c r="W810" i="76"/>
  <c r="W809" i="76"/>
  <c r="W802" i="76"/>
  <c r="W800" i="76"/>
  <c r="W799" i="76"/>
  <c r="W795" i="76"/>
  <c r="W790" i="76"/>
  <c r="W789" i="76"/>
  <c r="W788" i="76"/>
  <c r="W778" i="76"/>
  <c r="W777" i="76"/>
  <c r="W776" i="76"/>
  <c r="W774" i="76"/>
  <c r="W769" i="76"/>
  <c r="W764" i="76"/>
  <c r="W756" i="76"/>
  <c r="W749" i="76"/>
  <c r="W747" i="76"/>
  <c r="W742" i="76"/>
  <c r="W737" i="76"/>
  <c r="W732" i="76"/>
  <c r="W730" i="76"/>
  <c r="W723" i="76"/>
  <c r="W722" i="76"/>
  <c r="W713" i="76"/>
  <c r="W712" i="76"/>
  <c r="W707" i="76"/>
  <c r="W706" i="76"/>
  <c r="W702" i="76"/>
  <c r="W694" i="76"/>
  <c r="W692" i="76"/>
  <c r="W690" i="76"/>
  <c r="W689" i="76"/>
  <c r="W685" i="76"/>
  <c r="W673" i="76"/>
  <c r="W672" i="76"/>
  <c r="W668" i="76"/>
  <c r="W663" i="76"/>
  <c r="W659" i="76"/>
  <c r="W658" i="76"/>
  <c r="W647" i="76"/>
  <c r="W645" i="76"/>
  <c r="W630" i="76"/>
  <c r="W629" i="76"/>
  <c r="W627" i="76"/>
  <c r="W626" i="76"/>
  <c r="W622" i="76"/>
  <c r="W617" i="76"/>
  <c r="W613" i="76"/>
  <c r="W612" i="76"/>
  <c r="W604" i="76"/>
  <c r="W603" i="76"/>
  <c r="W602" i="76"/>
  <c r="W597" i="76"/>
  <c r="W596" i="76"/>
  <c r="W592" i="76"/>
  <c r="W584" i="76"/>
  <c r="W583" i="76"/>
  <c r="W582" i="76"/>
  <c r="W577" i="76"/>
  <c r="W573" i="76"/>
  <c r="W572" i="76"/>
  <c r="W570" i="76"/>
  <c r="W554" i="76"/>
  <c r="W553" i="76"/>
  <c r="W552" i="76"/>
  <c r="W550" i="76"/>
  <c r="W549" i="76"/>
  <c r="W545" i="76"/>
  <c r="W533" i="76"/>
  <c r="W528" i="76"/>
  <c r="W527" i="76"/>
  <c r="W519" i="76"/>
  <c r="W518" i="76"/>
  <c r="W515" i="76"/>
  <c r="W511" i="76"/>
  <c r="W510" i="76"/>
  <c r="W504" i="76"/>
  <c r="W503" i="76"/>
  <c r="W493" i="76"/>
  <c r="W492" i="76"/>
  <c r="W491" i="76"/>
  <c r="W486" i="76"/>
  <c r="W480" i="76"/>
  <c r="W472" i="76"/>
  <c r="W471" i="76"/>
  <c r="W470" i="76"/>
  <c r="W468" i="76"/>
  <c r="W467" i="76"/>
  <c r="W466" i="76"/>
  <c r="W461" i="76"/>
  <c r="W460" i="76"/>
  <c r="W459" i="76"/>
  <c r="W451" i="76"/>
  <c r="W447" i="76"/>
  <c r="W446" i="76"/>
  <c r="W444" i="76"/>
  <c r="W434" i="76"/>
  <c r="W424" i="76"/>
  <c r="W423" i="76"/>
  <c r="W422" i="76"/>
  <c r="W417" i="76"/>
  <c r="W409" i="76"/>
  <c r="W403" i="76"/>
  <c r="W402" i="76"/>
  <c r="W399" i="76"/>
  <c r="W398" i="76"/>
  <c r="W394" i="76"/>
  <c r="W389" i="76"/>
  <c r="W388" i="76"/>
  <c r="W387" i="76"/>
  <c r="W379" i="76"/>
  <c r="W378" i="76"/>
  <c r="W374" i="76"/>
  <c r="W362" i="76"/>
  <c r="W361" i="76"/>
  <c r="W346" i="76"/>
  <c r="W342" i="76"/>
  <c r="W339" i="76"/>
  <c r="W338" i="76"/>
  <c r="W337" i="76"/>
  <c r="W329" i="76"/>
  <c r="W328" i="76"/>
  <c r="W322" i="76"/>
  <c r="W321" i="76"/>
  <c r="W317" i="76"/>
  <c r="W312" i="76"/>
  <c r="W311" i="76"/>
  <c r="W310" i="76"/>
  <c r="W308" i="76"/>
  <c r="W301" i="76"/>
  <c r="W298" i="76"/>
  <c r="W294" i="76"/>
  <c r="W293" i="76"/>
  <c r="W288" i="76"/>
  <c r="W286" i="76"/>
  <c r="W284" i="76"/>
  <c r="W283" i="76"/>
  <c r="W276" i="76"/>
  <c r="W274" i="76"/>
  <c r="W273" i="76"/>
  <c r="W269" i="76"/>
  <c r="W267" i="76"/>
  <c r="W263" i="76"/>
  <c r="W259" i="76"/>
  <c r="W257" i="76"/>
  <c r="W246" i="76"/>
  <c r="W245" i="76"/>
  <c r="W240" i="76"/>
  <c r="W239" i="76"/>
  <c r="W231" i="76"/>
  <c r="W228" i="76"/>
  <c r="W224" i="76"/>
  <c r="W219" i="76"/>
  <c r="W217" i="76"/>
  <c r="W215" i="76"/>
  <c r="W214" i="76"/>
  <c r="W211" i="76"/>
  <c r="W210" i="76"/>
  <c r="W209" i="76"/>
  <c r="W207" i="76"/>
  <c r="W206" i="76"/>
  <c r="W205" i="76"/>
  <c r="W193" i="76"/>
  <c r="W191" i="76"/>
  <c r="W187" i="76"/>
  <c r="W186" i="76"/>
  <c r="W184" i="76"/>
  <c r="W183" i="76"/>
  <c r="W182" i="76"/>
  <c r="W177" i="76"/>
  <c r="W175" i="76"/>
  <c r="W170" i="76"/>
  <c r="W169" i="76"/>
  <c r="W168" i="76"/>
  <c r="W160" i="76"/>
  <c r="W159" i="76"/>
  <c r="W158" i="76"/>
  <c r="W150" i="76"/>
  <c r="W146" i="76"/>
  <c r="W139" i="76"/>
  <c r="W137" i="76"/>
  <c r="W136" i="76"/>
  <c r="W132" i="76"/>
  <c r="W130" i="76"/>
  <c r="W126" i="76"/>
  <c r="W125" i="76"/>
  <c r="W116" i="76"/>
  <c r="W109" i="76"/>
  <c r="W107" i="76"/>
  <c r="W103" i="76"/>
  <c r="W102" i="76"/>
  <c r="W94" i="76"/>
  <c r="W93" i="76"/>
  <c r="W89" i="76"/>
  <c r="W81" i="76"/>
  <c r="W80" i="76"/>
  <c r="W79" i="76"/>
  <c r="W73" i="76"/>
  <c r="W72" i="76"/>
  <c r="W64" i="76"/>
  <c r="W63" i="76"/>
  <c r="W62" i="76"/>
  <c r="W57" i="76"/>
  <c r="W56" i="76"/>
  <c r="W49" i="76"/>
  <c r="W47" i="76"/>
  <c r="W46" i="76"/>
  <c r="W45" i="76"/>
  <c r="W37" i="76"/>
  <c r="W30" i="76"/>
  <c r="W29" i="76"/>
  <c r="W27" i="76"/>
  <c r="W26" i="76"/>
  <c r="W23" i="76"/>
  <c r="W19" i="76"/>
  <c r="W15" i="76"/>
  <c r="W10" i="76"/>
  <c r="W8" i="76"/>
  <c r="W6" i="76"/>
  <c r="W5" i="76"/>
  <c r="S1032" i="76"/>
  <c r="S1031" i="76"/>
  <c r="S1030" i="76"/>
  <c r="S1029" i="76"/>
  <c r="S1028" i="76"/>
  <c r="S1027" i="76"/>
  <c r="S1026" i="76"/>
  <c r="S1025" i="76"/>
  <c r="S1024" i="76"/>
  <c r="S1023" i="76"/>
  <c r="S1022" i="76"/>
  <c r="S1021" i="76"/>
  <c r="S1020" i="76"/>
  <c r="S1019" i="76"/>
  <c r="S1018" i="76"/>
  <c r="S1017" i="76"/>
  <c r="S1016" i="76"/>
  <c r="S1015" i="76"/>
  <c r="S1014" i="76"/>
  <c r="S1013" i="76"/>
  <c r="S1012" i="76"/>
  <c r="S1008" i="76"/>
  <c r="S1004" i="76"/>
  <c r="S1003" i="76"/>
  <c r="S1002" i="76"/>
  <c r="S1001" i="76"/>
  <c r="S1000" i="76"/>
  <c r="S999" i="76"/>
  <c r="S998" i="76"/>
  <c r="S997" i="76"/>
  <c r="S996" i="76"/>
  <c r="S995" i="76"/>
  <c r="S994" i="76"/>
  <c r="S993" i="76"/>
  <c r="S992" i="76"/>
  <c r="S991" i="76"/>
  <c r="S990" i="76"/>
  <c r="S989" i="76"/>
  <c r="S988" i="76"/>
  <c r="S987" i="76"/>
  <c r="S986" i="76"/>
  <c r="S985" i="76"/>
  <c r="S984" i="76"/>
  <c r="S983" i="76"/>
  <c r="S982" i="76"/>
  <c r="S981" i="76"/>
  <c r="S980" i="76"/>
  <c r="S979" i="76"/>
  <c r="S978" i="76"/>
  <c r="S977" i="76"/>
  <c r="S976" i="76"/>
  <c r="S975" i="76"/>
  <c r="S974" i="76"/>
  <c r="S973" i="76"/>
  <c r="S972" i="76"/>
  <c r="S971" i="76"/>
  <c r="S970" i="76"/>
  <c r="S969" i="76"/>
  <c r="S968" i="76"/>
  <c r="S967" i="76"/>
  <c r="S966" i="76"/>
  <c r="S965" i="76"/>
  <c r="S964" i="76"/>
  <c r="S963" i="76"/>
  <c r="S962" i="76"/>
  <c r="S961" i="76"/>
  <c r="S960" i="76"/>
  <c r="S959" i="76"/>
  <c r="S958" i="76"/>
  <c r="S951" i="76"/>
  <c r="S950" i="76"/>
  <c r="S949" i="76"/>
  <c r="S948" i="76"/>
  <c r="S947" i="76"/>
  <c r="S946" i="76"/>
  <c r="S945" i="76"/>
  <c r="S941" i="76"/>
  <c r="S940" i="76"/>
  <c r="S939" i="76"/>
  <c r="S935" i="76"/>
  <c r="S931" i="76"/>
  <c r="S922" i="76"/>
  <c r="S921" i="76"/>
  <c r="S920" i="76"/>
  <c r="S916" i="76"/>
  <c r="S915" i="76"/>
  <c r="S911" i="76"/>
  <c r="S907" i="76"/>
  <c r="S908" i="76" s="1"/>
  <c r="S903" i="76"/>
  <c r="S902" i="76"/>
  <c r="S901" i="76"/>
  <c r="S900" i="76"/>
  <c r="S899" i="76"/>
  <c r="S898" i="76"/>
  <c r="S897" i="76"/>
  <c r="S896" i="76"/>
  <c r="S895" i="76"/>
  <c r="S894" i="76"/>
  <c r="S887" i="76"/>
  <c r="S886" i="76"/>
  <c r="S885" i="76"/>
  <c r="S884" i="76"/>
  <c r="S883" i="76"/>
  <c r="S879" i="76"/>
  <c r="S875" i="76"/>
  <c r="S874" i="76"/>
  <c r="S867" i="76"/>
  <c r="S866" i="76"/>
  <c r="S865" i="76"/>
  <c r="S864" i="76"/>
  <c r="S860" i="76"/>
  <c r="S859" i="76"/>
  <c r="S858" i="76"/>
  <c r="S857" i="76"/>
  <c r="S856" i="76"/>
  <c r="S855" i="76"/>
  <c r="S854" i="76"/>
  <c r="S853" i="76"/>
  <c r="S852" i="76"/>
  <c r="S848" i="76"/>
  <c r="S847" i="76"/>
  <c r="S843" i="76"/>
  <c r="S842" i="76"/>
  <c r="S835" i="76"/>
  <c r="S834" i="76"/>
  <c r="S833" i="76"/>
  <c r="S829" i="76"/>
  <c r="S828" i="76"/>
  <c r="S824" i="76"/>
  <c r="S823" i="76"/>
  <c r="S819" i="76"/>
  <c r="S818" i="76"/>
  <c r="S811" i="76"/>
  <c r="S810" i="76"/>
  <c r="S809" i="76"/>
  <c r="S808" i="76"/>
  <c r="S807" i="76"/>
  <c r="S803" i="76"/>
  <c r="S802" i="76"/>
  <c r="S801" i="76"/>
  <c r="S800" i="76"/>
  <c r="S799" i="76"/>
  <c r="S795" i="76"/>
  <c r="S794" i="76"/>
  <c r="S790" i="76"/>
  <c r="S789" i="76"/>
  <c r="S788" i="76"/>
  <c r="S779" i="76"/>
  <c r="S778" i="76"/>
  <c r="S777" i="76"/>
  <c r="S776" i="76"/>
  <c r="S775" i="76"/>
  <c r="S774" i="76"/>
  <c r="S773" i="76"/>
  <c r="S769" i="76"/>
  <c r="S768" i="76"/>
  <c r="S764" i="76"/>
  <c r="S760" i="76"/>
  <c r="S759" i="76"/>
  <c r="S758" i="76"/>
  <c r="S757" i="76"/>
  <c r="S756" i="76"/>
  <c r="S749" i="76"/>
  <c r="S748" i="76"/>
  <c r="S747" i="76"/>
  <c r="S743" i="76"/>
  <c r="S742" i="76"/>
  <c r="S738" i="76"/>
  <c r="S737" i="76"/>
  <c r="S733" i="76"/>
  <c r="S732" i="76"/>
  <c r="S731" i="76"/>
  <c r="S730" i="76"/>
  <c r="S723" i="76"/>
  <c r="S722" i="76"/>
  <c r="S718" i="76"/>
  <c r="S717" i="76"/>
  <c r="S713" i="76"/>
  <c r="S712" i="76"/>
  <c r="S708" i="76"/>
  <c r="S707" i="76"/>
  <c r="S706" i="76"/>
  <c r="S702" i="76"/>
  <c r="S701" i="76"/>
  <c r="S694" i="76"/>
  <c r="S693" i="76"/>
  <c r="S692" i="76"/>
  <c r="S691" i="76"/>
  <c r="S690" i="76"/>
  <c r="S689" i="76"/>
  <c r="S685" i="76"/>
  <c r="S681" i="76"/>
  <c r="S674" i="76"/>
  <c r="S673" i="76"/>
  <c r="S672" i="76"/>
  <c r="S668" i="76"/>
  <c r="S664" i="76"/>
  <c r="S663" i="76"/>
  <c r="S659" i="76"/>
  <c r="S658" i="76"/>
  <c r="S654" i="76"/>
  <c r="S647" i="76"/>
  <c r="S646" i="76"/>
  <c r="S645" i="76"/>
  <c r="S641" i="76"/>
  <c r="S637" i="76"/>
  <c r="S630" i="76"/>
  <c r="S629" i="76"/>
  <c r="S628" i="76"/>
  <c r="S627" i="76"/>
  <c r="S626" i="76"/>
  <c r="S622" i="76"/>
  <c r="S618" i="76"/>
  <c r="S617" i="76"/>
  <c r="S613" i="76"/>
  <c r="S612" i="76"/>
  <c r="S605" i="76"/>
  <c r="S604" i="76"/>
  <c r="S603" i="76"/>
  <c r="S602" i="76"/>
  <c r="S601" i="76"/>
  <c r="S597" i="76"/>
  <c r="S596" i="76"/>
  <c r="S592" i="76"/>
  <c r="S591" i="76"/>
  <c r="S584" i="76"/>
  <c r="S583" i="76"/>
  <c r="S582" i="76"/>
  <c r="S578" i="76"/>
  <c r="S577" i="76"/>
  <c r="S573" i="76"/>
  <c r="S572" i="76"/>
  <c r="S571" i="76"/>
  <c r="S570" i="76"/>
  <c r="S569" i="76"/>
  <c r="S565" i="76"/>
  <c r="S561" i="76"/>
  <c r="S554" i="76"/>
  <c r="S553" i="76"/>
  <c r="S552" i="76"/>
  <c r="S551" i="76"/>
  <c r="S550" i="76"/>
  <c r="S549" i="76"/>
  <c r="S545" i="76"/>
  <c r="S544" i="76"/>
  <c r="S540" i="76"/>
  <c r="S539" i="76"/>
  <c r="S535" i="76"/>
  <c r="S534" i="76"/>
  <c r="S533" i="76"/>
  <c r="S529" i="76"/>
  <c r="S528" i="76"/>
  <c r="S527" i="76"/>
  <c r="S526" i="76"/>
  <c r="S519" i="76"/>
  <c r="S518" i="76"/>
  <c r="S517" i="76"/>
  <c r="S516" i="76"/>
  <c r="S515" i="76"/>
  <c r="S511" i="76"/>
  <c r="S510" i="76"/>
  <c r="S506" i="76"/>
  <c r="S505" i="76"/>
  <c r="S504" i="76"/>
  <c r="S503" i="76"/>
  <c r="S494" i="76"/>
  <c r="S493" i="76"/>
  <c r="S492" i="76"/>
  <c r="S491" i="76"/>
  <c r="S490" i="76"/>
  <c r="S486" i="76"/>
  <c r="S485" i="76"/>
  <c r="S484" i="76"/>
  <c r="S483" i="76"/>
  <c r="S482" i="76"/>
  <c r="S481" i="76"/>
  <c r="S480" i="76"/>
  <c r="S473" i="76"/>
  <c r="S472" i="76"/>
  <c r="S471" i="76"/>
  <c r="S470" i="76"/>
  <c r="S469" i="76"/>
  <c r="S468" i="76"/>
  <c r="S467" i="76"/>
  <c r="S466" i="76"/>
  <c r="S465" i="76"/>
  <c r="S461" i="76"/>
  <c r="S460" i="76"/>
  <c r="S459" i="76"/>
  <c r="S455" i="76"/>
  <c r="S451" i="76"/>
  <c r="S447" i="76"/>
  <c r="S446" i="76"/>
  <c r="S445" i="76"/>
  <c r="S444" i="76"/>
  <c r="S443" i="76"/>
  <c r="S436" i="76"/>
  <c r="S435" i="76"/>
  <c r="S434" i="76"/>
  <c r="S430" i="76"/>
  <c r="S426" i="76"/>
  <c r="S425" i="76"/>
  <c r="S424" i="76"/>
  <c r="S423" i="76"/>
  <c r="S422" i="76"/>
  <c r="S418" i="76"/>
  <c r="S417" i="76"/>
  <c r="S409" i="76"/>
  <c r="S408" i="76"/>
  <c r="S404" i="76"/>
  <c r="S403" i="76"/>
  <c r="S402" i="76"/>
  <c r="S401" i="76"/>
  <c r="S400" i="76"/>
  <c r="S399" i="76"/>
  <c r="S398" i="76"/>
  <c r="S394" i="76"/>
  <c r="S390" i="76"/>
  <c r="S389" i="76"/>
  <c r="S388" i="76"/>
  <c r="S387" i="76"/>
  <c r="S386" i="76"/>
  <c r="S379" i="76"/>
  <c r="S378" i="76"/>
  <c r="S374" i="76"/>
  <c r="S370" i="76"/>
  <c r="S363" i="76"/>
  <c r="S362" i="76"/>
  <c r="S361" i="76"/>
  <c r="S357" i="76"/>
  <c r="S356" i="76"/>
  <c r="S352" i="76"/>
  <c r="S348" i="76"/>
  <c r="S347" i="76"/>
  <c r="S346" i="76"/>
  <c r="S342" i="76"/>
  <c r="S341" i="76"/>
  <c r="S340" i="76"/>
  <c r="S339" i="76"/>
  <c r="S338" i="76"/>
  <c r="S337" i="76"/>
  <c r="S330" i="76"/>
  <c r="S329" i="76"/>
  <c r="S328" i="76"/>
  <c r="S327" i="76"/>
  <c r="S326" i="76"/>
  <c r="S322" i="76"/>
  <c r="S321" i="76"/>
  <c r="S317" i="76"/>
  <c r="S313" i="76"/>
  <c r="S312" i="76"/>
  <c r="S311" i="76"/>
  <c r="S310" i="76"/>
  <c r="S309" i="76"/>
  <c r="S308" i="76"/>
  <c r="S301" i="76"/>
  <c r="S300" i="76"/>
  <c r="S299" i="76"/>
  <c r="S298" i="76"/>
  <c r="S294" i="76"/>
  <c r="S293" i="76"/>
  <c r="S292" i="76"/>
  <c r="S288" i="76"/>
  <c r="S287" i="76"/>
  <c r="S286" i="76"/>
  <c r="S285" i="76"/>
  <c r="S284" i="76"/>
  <c r="S283" i="76"/>
  <c r="S276" i="76"/>
  <c r="S275" i="76"/>
  <c r="S274" i="76"/>
  <c r="S273" i="76"/>
  <c r="S269" i="76"/>
  <c r="S268" i="76"/>
  <c r="S267" i="76"/>
  <c r="S263" i="76"/>
  <c r="S259" i="76"/>
  <c r="S258" i="76"/>
  <c r="S257" i="76"/>
  <c r="S256" i="76"/>
  <c r="S249" i="76"/>
  <c r="S248" i="76"/>
  <c r="S247" i="76"/>
  <c r="S246" i="76"/>
  <c r="S245" i="76"/>
  <c r="S244" i="76"/>
  <c r="S240" i="76"/>
  <c r="S239" i="76"/>
  <c r="S238" i="76"/>
  <c r="S237" i="76"/>
  <c r="S236" i="76"/>
  <c r="S235" i="76"/>
  <c r="S231" i="76"/>
  <c r="S230" i="76"/>
  <c r="S229" i="76"/>
  <c r="S228" i="76"/>
  <c r="S224" i="76"/>
  <c r="S223" i="76"/>
  <c r="S219" i="76"/>
  <c r="S218" i="76"/>
  <c r="S217" i="76"/>
  <c r="S216" i="76"/>
  <c r="S215" i="76"/>
  <c r="S214" i="76"/>
  <c r="S213" i="76"/>
  <c r="S212" i="76"/>
  <c r="S211" i="76"/>
  <c r="S210" i="76"/>
  <c r="S209" i="76"/>
  <c r="S208" i="76"/>
  <c r="S207" i="76"/>
  <c r="S206" i="76"/>
  <c r="S205" i="76"/>
  <c r="S204" i="76"/>
  <c r="S203" i="76"/>
  <c r="S194" i="76"/>
  <c r="S193" i="76"/>
  <c r="S192" i="76"/>
  <c r="S191" i="76"/>
  <c r="S187" i="76"/>
  <c r="S186" i="76"/>
  <c r="S185" i="76"/>
  <c r="S184" i="76"/>
  <c r="S183" i="76"/>
  <c r="S182" i="76"/>
  <c r="S181" i="76"/>
  <c r="S177" i="76"/>
  <c r="S176" i="76"/>
  <c r="S175" i="76"/>
  <c r="S174" i="76"/>
  <c r="S170" i="76"/>
  <c r="S169" i="76"/>
  <c r="S168" i="76"/>
  <c r="S161" i="76"/>
  <c r="S160" i="76"/>
  <c r="S159" i="76"/>
  <c r="S158" i="76"/>
  <c r="S154" i="76"/>
  <c r="S150" i="76"/>
  <c r="S146" i="76"/>
  <c r="S139" i="76"/>
  <c r="S138" i="76"/>
  <c r="S137" i="76"/>
  <c r="S136" i="76"/>
  <c r="S132" i="76"/>
  <c r="S131" i="76"/>
  <c r="S130" i="76"/>
  <c r="S126" i="76"/>
  <c r="S125" i="76"/>
  <c r="S121" i="76"/>
  <c r="S120" i="76"/>
  <c r="S116" i="76"/>
  <c r="S109" i="76"/>
  <c r="S108" i="76"/>
  <c r="S107" i="76"/>
  <c r="S103" i="76"/>
  <c r="S102" i="76"/>
  <c r="S95" i="76"/>
  <c r="S94" i="76"/>
  <c r="S93" i="76"/>
  <c r="S89" i="76"/>
  <c r="S88" i="76"/>
  <c r="S81" i="76"/>
  <c r="S80" i="76"/>
  <c r="S79" i="76"/>
  <c r="S78" i="76"/>
  <c r="S74" i="76"/>
  <c r="S73" i="76"/>
  <c r="S72" i="76"/>
  <c r="S68" i="76"/>
  <c r="S64" i="76"/>
  <c r="S63" i="76"/>
  <c r="S62" i="76"/>
  <c r="S58" i="76"/>
  <c r="S57" i="76"/>
  <c r="S56" i="76"/>
  <c r="S49" i="76"/>
  <c r="S48" i="76"/>
  <c r="S47" i="76"/>
  <c r="S46" i="76"/>
  <c r="S45" i="76"/>
  <c r="S41" i="76"/>
  <c r="S37" i="76"/>
  <c r="S30" i="76"/>
  <c r="S29" i="76"/>
  <c r="S28" i="76"/>
  <c r="S27" i="76"/>
  <c r="S26" i="76"/>
  <c r="S25" i="76"/>
  <c r="S24" i="76"/>
  <c r="S23" i="76"/>
  <c r="S19" i="76"/>
  <c r="S15" i="76"/>
  <c r="S14" i="76"/>
  <c r="S10" i="76"/>
  <c r="S9" i="76"/>
  <c r="S8" i="76"/>
  <c r="S7" i="76"/>
  <c r="S6" i="76"/>
  <c r="S5" i="76"/>
  <c r="I920" i="76"/>
  <c r="I907" i="76"/>
  <c r="I903" i="76"/>
  <c r="I902" i="76"/>
  <c r="I901" i="76"/>
  <c r="I778" i="76"/>
  <c r="I777" i="76"/>
  <c r="I776" i="76"/>
  <c r="I775" i="76"/>
  <c r="I774" i="76"/>
  <c r="I738" i="76"/>
  <c r="I737" i="76"/>
  <c r="I707" i="76"/>
  <c r="I659" i="76"/>
  <c r="I504" i="76"/>
  <c r="I494" i="76"/>
  <c r="I493" i="76"/>
  <c r="I492" i="76"/>
  <c r="I484" i="76"/>
  <c r="I294" i="76"/>
  <c r="I187" i="76"/>
  <c r="I186" i="76"/>
  <c r="K60" i="98" l="1"/>
  <c r="K135" i="98"/>
  <c r="K224" i="98"/>
  <c r="K260" i="98"/>
  <c r="L60" i="98"/>
  <c r="M60" i="98"/>
  <c r="M260" i="98"/>
  <c r="N60" i="98"/>
  <c r="N224" i="98"/>
  <c r="W739" i="76"/>
  <c r="X660" i="76"/>
  <c r="V739" i="76"/>
  <c r="S660" i="76"/>
  <c r="V660" i="76"/>
  <c r="S391" i="76"/>
  <c r="S734" i="76"/>
  <c r="S739" i="76"/>
  <c r="V295" i="76"/>
  <c r="V391" i="76"/>
  <c r="S295" i="76"/>
  <c r="V734" i="76"/>
  <c r="W660" i="76"/>
  <c r="X739" i="76"/>
  <c r="K262" i="98" l="1"/>
  <c r="U1033" i="76" l="1"/>
  <c r="T1033" i="76"/>
  <c r="N1033" i="76"/>
  <c r="U1009" i="76"/>
  <c r="T1009" i="76"/>
  <c r="O1009" i="76"/>
  <c r="N1009" i="76"/>
  <c r="U1005" i="76"/>
  <c r="T1005" i="76"/>
  <c r="N1005" i="76"/>
  <c r="U952" i="76"/>
  <c r="T952" i="76"/>
  <c r="N952" i="76"/>
  <c r="U942" i="76"/>
  <c r="T942" i="76"/>
  <c r="O942" i="76"/>
  <c r="N942" i="76"/>
  <c r="U936" i="76"/>
  <c r="T936" i="76"/>
  <c r="O936" i="76"/>
  <c r="N936" i="76"/>
  <c r="U932" i="76"/>
  <c r="T932" i="76"/>
  <c r="N932" i="76"/>
  <c r="U923" i="76"/>
  <c r="T923" i="76"/>
  <c r="N923" i="76"/>
  <c r="U917" i="76"/>
  <c r="T917" i="76"/>
  <c r="O917" i="76"/>
  <c r="N917" i="76"/>
  <c r="U912" i="76"/>
  <c r="T912" i="76"/>
  <c r="N912" i="76"/>
  <c r="U904" i="76"/>
  <c r="T904" i="76"/>
  <c r="N904" i="76"/>
  <c r="U888" i="76"/>
  <c r="T888" i="76"/>
  <c r="N888" i="76"/>
  <c r="U880" i="76"/>
  <c r="T880" i="76"/>
  <c r="O880" i="76"/>
  <c r="N880" i="76"/>
  <c r="U876" i="76"/>
  <c r="T876" i="76"/>
  <c r="O876" i="76"/>
  <c r="N876" i="76"/>
  <c r="U868" i="76"/>
  <c r="T868" i="76"/>
  <c r="N868" i="76"/>
  <c r="U861" i="76"/>
  <c r="T861" i="76"/>
  <c r="O861" i="76"/>
  <c r="N861" i="76"/>
  <c r="U849" i="76"/>
  <c r="T849" i="76"/>
  <c r="O849" i="76"/>
  <c r="N849" i="76"/>
  <c r="U844" i="76"/>
  <c r="T844" i="76"/>
  <c r="O844" i="76"/>
  <c r="N844" i="76"/>
  <c r="U836" i="76"/>
  <c r="T836" i="76"/>
  <c r="N836" i="76"/>
  <c r="U830" i="76"/>
  <c r="T830" i="76"/>
  <c r="O830" i="76"/>
  <c r="N830" i="76"/>
  <c r="U825" i="76"/>
  <c r="T825" i="76"/>
  <c r="N825" i="76"/>
  <c r="U820" i="76"/>
  <c r="T820" i="76"/>
  <c r="O820" i="76"/>
  <c r="N820" i="76"/>
  <c r="U812" i="76"/>
  <c r="T812" i="76"/>
  <c r="N812" i="76"/>
  <c r="U804" i="76"/>
  <c r="T804" i="76"/>
  <c r="N804" i="76"/>
  <c r="U796" i="76"/>
  <c r="T796" i="76"/>
  <c r="O796" i="76"/>
  <c r="N796" i="76"/>
  <c r="U791" i="76"/>
  <c r="T791" i="76"/>
  <c r="O791" i="76"/>
  <c r="N791" i="76"/>
  <c r="U780" i="76"/>
  <c r="T780" i="76"/>
  <c r="N780" i="76"/>
  <c r="U770" i="76"/>
  <c r="T770" i="76"/>
  <c r="O770" i="76"/>
  <c r="N770" i="76"/>
  <c r="U765" i="76"/>
  <c r="T765" i="76"/>
  <c r="O765" i="76"/>
  <c r="N765" i="76"/>
  <c r="U761" i="76"/>
  <c r="T761" i="76"/>
  <c r="N761" i="76"/>
  <c r="U750" i="76"/>
  <c r="T750" i="76"/>
  <c r="O750" i="76"/>
  <c r="N750" i="76"/>
  <c r="U744" i="76"/>
  <c r="T744" i="76"/>
  <c r="N744" i="76"/>
  <c r="U724" i="76"/>
  <c r="T724" i="76"/>
  <c r="O724" i="76"/>
  <c r="N724" i="76"/>
  <c r="U719" i="76"/>
  <c r="T719" i="76"/>
  <c r="N719" i="76"/>
  <c r="U714" i="76"/>
  <c r="T714" i="76"/>
  <c r="O714" i="76"/>
  <c r="N714" i="76"/>
  <c r="U709" i="76"/>
  <c r="T709" i="76"/>
  <c r="O709" i="76"/>
  <c r="N709" i="76"/>
  <c r="U703" i="76"/>
  <c r="T703" i="76"/>
  <c r="N703" i="76"/>
  <c r="U695" i="76"/>
  <c r="T695" i="76"/>
  <c r="N695" i="76"/>
  <c r="U686" i="76"/>
  <c r="T686" i="76"/>
  <c r="O686" i="76"/>
  <c r="N686" i="76"/>
  <c r="U682" i="76"/>
  <c r="O682" i="76"/>
  <c r="N682" i="76"/>
  <c r="U675" i="76"/>
  <c r="T675" i="76"/>
  <c r="O675" i="76"/>
  <c r="N675" i="76"/>
  <c r="U669" i="76"/>
  <c r="T669" i="76"/>
  <c r="O669" i="76"/>
  <c r="N669" i="76"/>
  <c r="U665" i="76"/>
  <c r="T665" i="76"/>
  <c r="O665" i="76"/>
  <c r="N665" i="76"/>
  <c r="U655" i="76"/>
  <c r="T655" i="76"/>
  <c r="O655" i="76"/>
  <c r="N655" i="76"/>
  <c r="U648" i="76"/>
  <c r="T648" i="76"/>
  <c r="N648" i="76"/>
  <c r="U642" i="76"/>
  <c r="T642" i="76"/>
  <c r="N642" i="76"/>
  <c r="U638" i="76"/>
  <c r="T638" i="76"/>
  <c r="N638" i="76"/>
  <c r="U631" i="76"/>
  <c r="T631" i="76"/>
  <c r="O631" i="76"/>
  <c r="N631" i="76"/>
  <c r="U623" i="76"/>
  <c r="T623" i="76"/>
  <c r="O623" i="76"/>
  <c r="N623" i="76"/>
  <c r="U619" i="76"/>
  <c r="T619" i="76"/>
  <c r="O619" i="76"/>
  <c r="N619" i="76"/>
  <c r="U614" i="76"/>
  <c r="T614" i="76"/>
  <c r="O614" i="76"/>
  <c r="N614" i="76"/>
  <c r="U606" i="76"/>
  <c r="T606" i="76"/>
  <c r="O606" i="76"/>
  <c r="N606" i="76"/>
  <c r="U598" i="76"/>
  <c r="T598" i="76"/>
  <c r="O598" i="76"/>
  <c r="N598" i="76"/>
  <c r="U593" i="76"/>
  <c r="T593" i="76"/>
  <c r="O593" i="76"/>
  <c r="N593" i="76"/>
  <c r="U585" i="76"/>
  <c r="T585" i="76"/>
  <c r="O585" i="76"/>
  <c r="N585" i="76"/>
  <c r="U579" i="76"/>
  <c r="T579" i="76"/>
  <c r="O579" i="76"/>
  <c r="N579" i="76"/>
  <c r="U574" i="76"/>
  <c r="T574" i="76"/>
  <c r="N574" i="76"/>
  <c r="U566" i="76"/>
  <c r="T566" i="76"/>
  <c r="N566" i="76"/>
  <c r="U562" i="76"/>
  <c r="T562" i="76"/>
  <c r="O562" i="76"/>
  <c r="N562" i="76"/>
  <c r="U555" i="76"/>
  <c r="T555" i="76"/>
  <c r="O555" i="76"/>
  <c r="N555" i="76"/>
  <c r="U546" i="76"/>
  <c r="T546" i="76"/>
  <c r="O546" i="76"/>
  <c r="N546" i="76"/>
  <c r="U541" i="76"/>
  <c r="T541" i="76"/>
  <c r="N541" i="76"/>
  <c r="U536" i="76"/>
  <c r="T536" i="76"/>
  <c r="N536" i="76"/>
  <c r="U530" i="76"/>
  <c r="O530" i="76"/>
  <c r="N530" i="76"/>
  <c r="U520" i="76"/>
  <c r="T520" i="76"/>
  <c r="N520" i="76"/>
  <c r="U512" i="76"/>
  <c r="T512" i="76"/>
  <c r="O512" i="76"/>
  <c r="N512" i="76"/>
  <c r="U507" i="76"/>
  <c r="T507" i="76"/>
  <c r="N507" i="76"/>
  <c r="U495" i="76"/>
  <c r="T495" i="76"/>
  <c r="N495" i="76"/>
  <c r="U487" i="76"/>
  <c r="T487" i="76"/>
  <c r="N487" i="76"/>
  <c r="U474" i="76"/>
  <c r="T474" i="76"/>
  <c r="N474" i="76"/>
  <c r="U462" i="76"/>
  <c r="T462" i="76"/>
  <c r="O462" i="76"/>
  <c r="N462" i="76"/>
  <c r="U456" i="76"/>
  <c r="T456" i="76"/>
  <c r="O456" i="76"/>
  <c r="N456" i="76"/>
  <c r="U452" i="76"/>
  <c r="T452" i="76"/>
  <c r="O452" i="76"/>
  <c r="N452" i="76"/>
  <c r="U448" i="76"/>
  <c r="T448" i="76"/>
  <c r="N448" i="76"/>
  <c r="U437" i="76"/>
  <c r="T437" i="76"/>
  <c r="N437" i="76"/>
  <c r="U431" i="76"/>
  <c r="T431" i="76"/>
  <c r="N431" i="76"/>
  <c r="U427" i="76"/>
  <c r="T427" i="76"/>
  <c r="N427" i="76"/>
  <c r="U419" i="76"/>
  <c r="T419" i="76"/>
  <c r="N419" i="76"/>
  <c r="U410" i="76"/>
  <c r="T410" i="76"/>
  <c r="N410" i="76"/>
  <c r="U405" i="76"/>
  <c r="T405" i="76"/>
  <c r="N405" i="76"/>
  <c r="U395" i="76"/>
  <c r="T395" i="76"/>
  <c r="O395" i="76"/>
  <c r="N395" i="76"/>
  <c r="U380" i="76"/>
  <c r="T380" i="76"/>
  <c r="O380" i="76"/>
  <c r="N380" i="76"/>
  <c r="U375" i="76"/>
  <c r="T375" i="76"/>
  <c r="O375" i="76"/>
  <c r="N375" i="76"/>
  <c r="U371" i="76"/>
  <c r="T371" i="76"/>
  <c r="O371" i="76"/>
  <c r="N371" i="76"/>
  <c r="U364" i="76"/>
  <c r="T364" i="76"/>
  <c r="N364" i="76"/>
  <c r="U358" i="76"/>
  <c r="T358" i="76"/>
  <c r="N358" i="76"/>
  <c r="U353" i="76"/>
  <c r="T353" i="76"/>
  <c r="N353" i="76"/>
  <c r="U349" i="76"/>
  <c r="T349" i="76"/>
  <c r="N349" i="76"/>
  <c r="U343" i="76"/>
  <c r="T343" i="76"/>
  <c r="N343" i="76"/>
  <c r="U331" i="76"/>
  <c r="T331" i="76"/>
  <c r="N331" i="76"/>
  <c r="U323" i="76"/>
  <c r="T323" i="76"/>
  <c r="O323" i="76"/>
  <c r="N323" i="76"/>
  <c r="U318" i="76"/>
  <c r="T318" i="76"/>
  <c r="O318" i="76"/>
  <c r="N318" i="76"/>
  <c r="U314" i="76"/>
  <c r="T314" i="76"/>
  <c r="O314" i="76"/>
  <c r="N314" i="76"/>
  <c r="U302" i="76"/>
  <c r="T302" i="76"/>
  <c r="N302" i="76"/>
  <c r="U289" i="76"/>
  <c r="T289" i="76"/>
  <c r="N289" i="76"/>
  <c r="U277" i="76"/>
  <c r="T277" i="76"/>
  <c r="O277" i="76"/>
  <c r="N277" i="76"/>
  <c r="U270" i="76"/>
  <c r="T270" i="76"/>
  <c r="O270" i="76"/>
  <c r="N270" i="76"/>
  <c r="U264" i="76"/>
  <c r="T264" i="76"/>
  <c r="O264" i="76"/>
  <c r="N264" i="76"/>
  <c r="U260" i="76"/>
  <c r="U279" i="76" s="1"/>
  <c r="T260" i="76"/>
  <c r="N260" i="76"/>
  <c r="U250" i="76"/>
  <c r="T250" i="76"/>
  <c r="N250" i="76"/>
  <c r="U241" i="76"/>
  <c r="T241" i="76"/>
  <c r="N241" i="76"/>
  <c r="U232" i="76"/>
  <c r="T232" i="76"/>
  <c r="N232" i="76"/>
  <c r="U225" i="76"/>
  <c r="T225" i="76"/>
  <c r="N225" i="76"/>
  <c r="U220" i="76"/>
  <c r="T220" i="76"/>
  <c r="N220" i="76"/>
  <c r="U195" i="76"/>
  <c r="T195" i="76"/>
  <c r="N195" i="76"/>
  <c r="U188" i="76"/>
  <c r="T188" i="76"/>
  <c r="O188" i="76"/>
  <c r="N188" i="76"/>
  <c r="U178" i="76"/>
  <c r="T178" i="76"/>
  <c r="N178" i="76"/>
  <c r="U171" i="76"/>
  <c r="T171" i="76"/>
  <c r="O171" i="76"/>
  <c r="N171" i="76"/>
  <c r="U162" i="76"/>
  <c r="T162" i="76"/>
  <c r="N162" i="76"/>
  <c r="U155" i="76"/>
  <c r="T155" i="76"/>
  <c r="O155" i="76"/>
  <c r="N155" i="76"/>
  <c r="U151" i="76"/>
  <c r="T151" i="76"/>
  <c r="O151" i="76"/>
  <c r="N151" i="76"/>
  <c r="U147" i="76"/>
  <c r="T147" i="76"/>
  <c r="O147" i="76"/>
  <c r="N147" i="76"/>
  <c r="U140" i="76"/>
  <c r="T140" i="76"/>
  <c r="N140" i="76"/>
  <c r="U133" i="76"/>
  <c r="T133" i="76"/>
  <c r="O133" i="76"/>
  <c r="N133" i="76"/>
  <c r="U127" i="76"/>
  <c r="T127" i="76"/>
  <c r="O127" i="76"/>
  <c r="N127" i="76"/>
  <c r="U122" i="76"/>
  <c r="T122" i="76"/>
  <c r="N122" i="76"/>
  <c r="U117" i="76"/>
  <c r="T117" i="76"/>
  <c r="O117" i="76"/>
  <c r="N117" i="76"/>
  <c r="U110" i="76"/>
  <c r="T110" i="76"/>
  <c r="O110" i="76"/>
  <c r="N110" i="76"/>
  <c r="U104" i="76"/>
  <c r="T104" i="76"/>
  <c r="O104" i="76"/>
  <c r="N104" i="76"/>
  <c r="U96" i="76"/>
  <c r="T96" i="76"/>
  <c r="O96" i="76"/>
  <c r="N96" i="76"/>
  <c r="U90" i="76"/>
  <c r="T90" i="76"/>
  <c r="O90" i="76"/>
  <c r="N90" i="76"/>
  <c r="U82" i="76"/>
  <c r="T82" i="76"/>
  <c r="N82" i="76"/>
  <c r="U75" i="76"/>
  <c r="T75" i="76"/>
  <c r="N75" i="76"/>
  <c r="U69" i="76"/>
  <c r="T69" i="76"/>
  <c r="O69" i="76"/>
  <c r="N69" i="76"/>
  <c r="U65" i="76"/>
  <c r="T65" i="76"/>
  <c r="O65" i="76"/>
  <c r="N65" i="76"/>
  <c r="U59" i="76"/>
  <c r="T59" i="76"/>
  <c r="O59" i="76"/>
  <c r="N59" i="76"/>
  <c r="U50" i="76"/>
  <c r="T50" i="76"/>
  <c r="O50" i="76"/>
  <c r="N50" i="76"/>
  <c r="U42" i="76"/>
  <c r="T42" i="76"/>
  <c r="O42" i="76"/>
  <c r="N42" i="76"/>
  <c r="U38" i="76"/>
  <c r="T38" i="76"/>
  <c r="O38" i="76"/>
  <c r="N38" i="76"/>
  <c r="U31" i="76"/>
  <c r="T31" i="76"/>
  <c r="N31" i="76"/>
  <c r="U20" i="76"/>
  <c r="T20" i="76"/>
  <c r="O20" i="76"/>
  <c r="N20" i="76"/>
  <c r="U16" i="76"/>
  <c r="T16" i="76"/>
  <c r="N16" i="76"/>
  <c r="U11" i="76"/>
  <c r="T11" i="76"/>
  <c r="N11" i="76"/>
  <c r="M739" i="76"/>
  <c r="O258" i="98"/>
  <c r="O249" i="98"/>
  <c r="O239" i="98"/>
  <c r="O232" i="98"/>
  <c r="O222" i="98"/>
  <c r="O216" i="98"/>
  <c r="O209" i="98"/>
  <c r="O197" i="98"/>
  <c r="O189" i="98"/>
  <c r="O182" i="98"/>
  <c r="O171" i="98"/>
  <c r="O165" i="98"/>
  <c r="O155" i="98"/>
  <c r="O147" i="98"/>
  <c r="O133" i="98"/>
  <c r="O125" i="98"/>
  <c r="O114" i="98"/>
  <c r="O104" i="98"/>
  <c r="O99" i="98"/>
  <c r="O92" i="98"/>
  <c r="O85" i="98"/>
  <c r="O79" i="98"/>
  <c r="O70" i="98"/>
  <c r="O58" i="98"/>
  <c r="O51" i="98"/>
  <c r="O44" i="98"/>
  <c r="O35" i="98"/>
  <c r="O23" i="98"/>
  <c r="O15" i="98"/>
  <c r="O6" i="98"/>
  <c r="U33" i="76" l="1"/>
  <c r="U197" i="76"/>
  <c r="T333" i="76"/>
  <c r="U650" i="76"/>
  <c r="U782" i="76"/>
  <c r="N33" i="76"/>
  <c r="N197" i="76"/>
  <c r="N304" i="76"/>
  <c r="T33" i="76"/>
  <c r="N279" i="76"/>
  <c r="T439" i="76"/>
  <c r="N650" i="76"/>
  <c r="U304" i="76"/>
  <c r="N782" i="76"/>
  <c r="T890" i="76"/>
  <c r="U752" i="76"/>
  <c r="N697" i="76"/>
  <c r="N752" i="76"/>
  <c r="U890" i="76"/>
  <c r="N1035" i="76"/>
  <c r="T98" i="76"/>
  <c r="O633" i="76"/>
  <c r="N890" i="76"/>
  <c r="U52" i="76"/>
  <c r="U112" i="76"/>
  <c r="O382" i="76"/>
  <c r="T497" i="76"/>
  <c r="N52" i="76"/>
  <c r="N112" i="76"/>
  <c r="U697" i="76"/>
  <c r="T782" i="76"/>
  <c r="U1035" i="76"/>
  <c r="T52" i="76"/>
  <c r="N84" i="76"/>
  <c r="U84" i="76"/>
  <c r="T112" i="76"/>
  <c r="N164" i="76"/>
  <c r="U164" i="76"/>
  <c r="T252" i="76"/>
  <c r="T279" i="76"/>
  <c r="N412" i="76"/>
  <c r="U412" i="76"/>
  <c r="N476" i="76"/>
  <c r="U476" i="76"/>
  <c r="N557" i="76"/>
  <c r="U557" i="76"/>
  <c r="T587" i="76"/>
  <c r="N608" i="76"/>
  <c r="U608" i="76"/>
  <c r="N633" i="76"/>
  <c r="U633" i="76"/>
  <c r="N726" i="76"/>
  <c r="U726" i="76"/>
  <c r="T752" i="76"/>
  <c r="N814" i="76"/>
  <c r="U814" i="76"/>
  <c r="N838" i="76"/>
  <c r="U838" i="76"/>
  <c r="T1035" i="76"/>
  <c r="N252" i="76"/>
  <c r="U252" i="76"/>
  <c r="T382" i="76"/>
  <c r="T522" i="76"/>
  <c r="N587" i="76"/>
  <c r="U587" i="76"/>
  <c r="O608" i="76"/>
  <c r="T677" i="76"/>
  <c r="N870" i="76"/>
  <c r="U870" i="76"/>
  <c r="T925" i="76"/>
  <c r="T954" i="76"/>
  <c r="O52" i="76"/>
  <c r="N98" i="76"/>
  <c r="U98" i="76"/>
  <c r="O112" i="76"/>
  <c r="T142" i="76"/>
  <c r="T197" i="76"/>
  <c r="N333" i="76"/>
  <c r="U333" i="76"/>
  <c r="T366" i="76"/>
  <c r="N382" i="76"/>
  <c r="U382" i="76"/>
  <c r="T412" i="76"/>
  <c r="N497" i="76"/>
  <c r="U497" i="76"/>
  <c r="N522" i="76"/>
  <c r="U522" i="76"/>
  <c r="N925" i="76"/>
  <c r="U925" i="76"/>
  <c r="T84" i="76"/>
  <c r="O98" i="76"/>
  <c r="N142" i="76"/>
  <c r="U142" i="76"/>
  <c r="T164" i="76"/>
  <c r="T304" i="76"/>
  <c r="N366" i="76"/>
  <c r="U366" i="76"/>
  <c r="N439" i="76"/>
  <c r="U439" i="76"/>
  <c r="T476" i="76"/>
  <c r="T608" i="76"/>
  <c r="T633" i="76"/>
  <c r="T650" i="76"/>
  <c r="N677" i="76"/>
  <c r="U677" i="76"/>
  <c r="O677" i="76"/>
  <c r="T726" i="76"/>
  <c r="T814" i="76"/>
  <c r="T838" i="76"/>
  <c r="T870" i="76"/>
  <c r="N954" i="76"/>
  <c r="U954" i="76"/>
  <c r="O60" i="98"/>
  <c r="O224" i="98"/>
  <c r="O135" i="98"/>
  <c r="O260" i="98"/>
  <c r="U199" i="76" l="1"/>
  <c r="T199" i="76"/>
  <c r="T499" i="76"/>
  <c r="N199" i="76"/>
  <c r="N927" i="76"/>
  <c r="U499" i="76"/>
  <c r="U927" i="76"/>
  <c r="N499" i="76"/>
  <c r="U784" i="76"/>
  <c r="T927" i="76"/>
  <c r="N784" i="76"/>
  <c r="O262" i="98"/>
  <c r="O757" i="76"/>
  <c r="M760" i="76"/>
  <c r="O760" i="76"/>
  <c r="W760" i="76" s="1"/>
  <c r="X760" i="76" l="1"/>
  <c r="X757" i="76"/>
  <c r="W757" i="76"/>
  <c r="N1037" i="76"/>
  <c r="U1037" i="76"/>
  <c r="P419" i="76" l="1"/>
  <c r="Q419" i="76"/>
  <c r="R419" i="76"/>
  <c r="M419" i="76"/>
  <c r="P546" i="76"/>
  <c r="Q546" i="76"/>
  <c r="R546" i="76"/>
  <c r="M546" i="76"/>
  <c r="BR1032" i="76"/>
  <c r="BR1031" i="76"/>
  <c r="BR1030" i="76"/>
  <c r="BR1029" i="76"/>
  <c r="BR1028" i="76"/>
  <c r="BR1027" i="76"/>
  <c r="BR1026" i="76"/>
  <c r="BR1025" i="76"/>
  <c r="BR1024" i="76"/>
  <c r="BR1023" i="76"/>
  <c r="BR1022" i="76"/>
  <c r="BR1021" i="76"/>
  <c r="BR1020" i="76"/>
  <c r="BR1019" i="76"/>
  <c r="BR1018" i="76"/>
  <c r="BR1017" i="76"/>
  <c r="BR1016" i="76"/>
  <c r="BR1015" i="76"/>
  <c r="BR1014" i="76"/>
  <c r="BR1013" i="76"/>
  <c r="BR1012" i="76"/>
  <c r="BR1008" i="76"/>
  <c r="BR1004" i="76"/>
  <c r="BR1003" i="76"/>
  <c r="BR1002" i="76"/>
  <c r="BR1001" i="76"/>
  <c r="BR1000" i="76"/>
  <c r="BR999" i="76"/>
  <c r="BR998" i="76"/>
  <c r="BR997" i="76"/>
  <c r="BR996" i="76"/>
  <c r="BR995" i="76"/>
  <c r="BR994" i="76"/>
  <c r="BR993" i="76"/>
  <c r="BR992" i="76"/>
  <c r="BR991" i="76"/>
  <c r="BR990" i="76"/>
  <c r="BR989" i="76"/>
  <c r="BR988" i="76"/>
  <c r="BR987" i="76"/>
  <c r="BR986" i="76"/>
  <c r="BR985" i="76"/>
  <c r="BR984" i="76"/>
  <c r="BR983" i="76"/>
  <c r="BR982" i="76"/>
  <c r="BR981" i="76"/>
  <c r="BR980" i="76"/>
  <c r="BR979" i="76"/>
  <c r="BR978" i="76"/>
  <c r="BR977" i="76"/>
  <c r="BR976" i="76"/>
  <c r="BR975" i="76"/>
  <c r="BR974" i="76"/>
  <c r="BR973" i="76"/>
  <c r="BR972" i="76"/>
  <c r="BR971" i="76"/>
  <c r="BR970" i="76"/>
  <c r="BR969" i="76"/>
  <c r="BR968" i="76"/>
  <c r="BR967" i="76"/>
  <c r="BR966" i="76"/>
  <c r="BR965" i="76"/>
  <c r="BR964" i="76"/>
  <c r="BR963" i="76"/>
  <c r="BR962" i="76"/>
  <c r="BR961" i="76"/>
  <c r="BR960" i="76"/>
  <c r="BR959" i="76"/>
  <c r="BR958" i="76"/>
  <c r="BR951" i="76"/>
  <c r="BR950" i="76"/>
  <c r="BR949" i="76"/>
  <c r="BR948" i="76"/>
  <c r="BR947" i="76"/>
  <c r="BR946" i="76"/>
  <c r="BR945" i="76"/>
  <c r="BR941" i="76"/>
  <c r="BR940" i="76"/>
  <c r="BR939" i="76"/>
  <c r="BR935" i="76"/>
  <c r="BR931" i="76"/>
  <c r="BR922" i="76"/>
  <c r="BR921" i="76"/>
  <c r="BR920" i="76"/>
  <c r="BR916" i="76"/>
  <c r="BR915" i="76"/>
  <c r="BR911" i="76"/>
  <c r="BR907" i="76"/>
  <c r="BR903" i="76"/>
  <c r="BR902" i="76"/>
  <c r="BR901" i="76"/>
  <c r="BR900" i="76"/>
  <c r="BR899" i="76"/>
  <c r="BR898" i="76"/>
  <c r="BR897" i="76"/>
  <c r="BR896" i="76"/>
  <c r="BR895" i="76"/>
  <c r="BR894" i="76"/>
  <c r="BR887" i="76"/>
  <c r="BR886" i="76"/>
  <c r="BR885" i="76"/>
  <c r="BR884" i="76"/>
  <c r="BR883" i="76"/>
  <c r="BR879" i="76"/>
  <c r="BR875" i="76"/>
  <c r="BR874" i="76"/>
  <c r="BR867" i="76"/>
  <c r="BR866" i="76"/>
  <c r="BR865" i="76"/>
  <c r="BR864" i="76"/>
  <c r="BR860" i="76"/>
  <c r="BR859" i="76"/>
  <c r="BR858" i="76"/>
  <c r="BR857" i="76"/>
  <c r="BR856" i="76"/>
  <c r="BR855" i="76"/>
  <c r="BR854" i="76"/>
  <c r="BR853" i="76"/>
  <c r="BR852" i="76"/>
  <c r="BR848" i="76"/>
  <c r="BR847" i="76"/>
  <c r="BR843" i="76"/>
  <c r="BR842" i="76"/>
  <c r="BR835" i="76"/>
  <c r="BR834" i="76"/>
  <c r="BR833" i="76"/>
  <c r="BR829" i="76"/>
  <c r="BR828" i="76"/>
  <c r="BR824" i="76"/>
  <c r="BR823" i="76"/>
  <c r="BR819" i="76"/>
  <c r="BR818" i="76"/>
  <c r="BR811" i="76"/>
  <c r="BR810" i="76"/>
  <c r="BR809" i="76"/>
  <c r="BR808" i="76"/>
  <c r="BR807" i="76"/>
  <c r="BR803" i="76"/>
  <c r="BR802" i="76"/>
  <c r="BR801" i="76"/>
  <c r="BR800" i="76"/>
  <c r="BR799" i="76"/>
  <c r="BR795" i="76"/>
  <c r="BR794" i="76"/>
  <c r="BR790" i="76"/>
  <c r="BR789" i="76"/>
  <c r="BR788" i="76"/>
  <c r="BR779" i="76"/>
  <c r="BR778" i="76"/>
  <c r="BR777" i="76"/>
  <c r="BR776" i="76"/>
  <c r="BR775" i="76"/>
  <c r="BR774" i="76"/>
  <c r="BR773" i="76"/>
  <c r="BR769" i="76"/>
  <c r="BR768" i="76"/>
  <c r="BR764" i="76"/>
  <c r="BR760" i="76"/>
  <c r="BR759" i="76"/>
  <c r="BR758" i="76"/>
  <c r="BR757" i="76"/>
  <c r="BR756" i="76"/>
  <c r="BR749" i="76"/>
  <c r="BR748" i="76"/>
  <c r="BR747" i="76"/>
  <c r="BR743" i="76"/>
  <c r="BR742" i="76"/>
  <c r="BR733" i="76"/>
  <c r="BR732" i="76"/>
  <c r="BR731" i="76"/>
  <c r="BR730" i="76"/>
  <c r="BR723" i="76"/>
  <c r="BR722" i="76"/>
  <c r="BR718" i="76"/>
  <c r="BR545" i="76"/>
  <c r="BR717" i="76"/>
  <c r="BR713" i="76"/>
  <c r="BR712" i="76"/>
  <c r="BR708" i="76"/>
  <c r="BR707" i="76"/>
  <c r="BR706" i="76"/>
  <c r="BR702" i="76"/>
  <c r="BR701" i="76"/>
  <c r="BR694" i="76"/>
  <c r="BR693" i="76"/>
  <c r="BR692" i="76"/>
  <c r="BR691" i="76"/>
  <c r="BR690" i="76"/>
  <c r="BR689" i="76"/>
  <c r="BR685" i="76"/>
  <c r="BR681" i="76"/>
  <c r="BR674" i="76"/>
  <c r="BR673" i="76"/>
  <c r="BR672" i="76"/>
  <c r="BR668" i="76"/>
  <c r="BR664" i="76"/>
  <c r="BR663" i="76"/>
  <c r="BR658" i="76"/>
  <c r="BR654" i="76"/>
  <c r="BR647" i="76"/>
  <c r="BR646" i="76"/>
  <c r="BR645" i="76"/>
  <c r="BR641" i="76"/>
  <c r="BR637" i="76"/>
  <c r="BR630" i="76"/>
  <c r="BR629" i="76"/>
  <c r="BR628" i="76"/>
  <c r="BR627" i="76"/>
  <c r="BR626" i="76"/>
  <c r="BR622" i="76"/>
  <c r="BR618" i="76"/>
  <c r="BR617" i="76"/>
  <c r="BR613" i="76"/>
  <c r="BR612" i="76"/>
  <c r="BR605" i="76"/>
  <c r="BR604" i="76"/>
  <c r="BR603" i="76"/>
  <c r="BR602" i="76"/>
  <c r="BR601" i="76"/>
  <c r="BR597" i="76"/>
  <c r="BR596" i="76"/>
  <c r="BR592" i="76"/>
  <c r="BR591" i="76"/>
  <c r="BR584" i="76"/>
  <c r="BR583" i="76"/>
  <c r="BR582" i="76"/>
  <c r="BR578" i="76"/>
  <c r="BR577" i="76"/>
  <c r="BR573" i="76"/>
  <c r="BR572" i="76"/>
  <c r="BR571" i="76"/>
  <c r="BR570" i="76"/>
  <c r="BR569" i="76"/>
  <c r="BR565" i="76"/>
  <c r="BR561" i="76"/>
  <c r="BR554" i="76"/>
  <c r="BR553" i="76"/>
  <c r="BR552" i="76"/>
  <c r="BR551" i="76"/>
  <c r="BR550" i="76"/>
  <c r="BR549" i="76"/>
  <c r="BR544" i="76"/>
  <c r="BR540" i="76"/>
  <c r="BR539" i="76"/>
  <c r="BR535" i="76"/>
  <c r="BR534" i="76"/>
  <c r="BR533" i="76"/>
  <c r="BR529" i="76"/>
  <c r="BR528" i="76"/>
  <c r="BR527" i="76"/>
  <c r="BR526" i="76"/>
  <c r="BR519" i="76"/>
  <c r="BR518" i="76"/>
  <c r="BR517" i="76"/>
  <c r="BR516" i="76"/>
  <c r="BR515" i="76"/>
  <c r="BR511" i="76"/>
  <c r="BR510" i="76"/>
  <c r="BR506" i="76"/>
  <c r="BR505" i="76"/>
  <c r="BR504" i="76"/>
  <c r="BR503" i="76"/>
  <c r="BR494" i="76"/>
  <c r="BR493" i="76"/>
  <c r="BR492" i="76"/>
  <c r="BR491" i="76"/>
  <c r="BR490" i="76"/>
  <c r="BR486" i="76"/>
  <c r="BR485" i="76"/>
  <c r="BR484" i="76"/>
  <c r="BR483" i="76"/>
  <c r="BR482" i="76"/>
  <c r="BR481" i="76"/>
  <c r="BR480" i="76"/>
  <c r="BR473" i="76"/>
  <c r="BR472" i="76"/>
  <c r="BR471" i="76"/>
  <c r="BR470" i="76"/>
  <c r="BR469" i="76"/>
  <c r="BR468" i="76"/>
  <c r="BR467" i="76"/>
  <c r="BR466" i="76"/>
  <c r="BR465" i="76"/>
  <c r="BR461" i="76"/>
  <c r="BR460" i="76"/>
  <c r="BR459" i="76"/>
  <c r="BR455" i="76"/>
  <c r="BR451" i="76"/>
  <c r="BR447" i="76"/>
  <c r="BR446" i="76"/>
  <c r="BR445" i="76"/>
  <c r="BR444" i="76"/>
  <c r="BR443" i="76"/>
  <c r="BR436" i="76"/>
  <c r="BR435" i="76"/>
  <c r="BR434" i="76"/>
  <c r="BR430" i="76"/>
  <c r="BR426" i="76"/>
  <c r="BR425" i="76"/>
  <c r="BR424" i="76"/>
  <c r="BR423" i="76"/>
  <c r="BR422" i="76"/>
  <c r="BR417" i="76"/>
  <c r="BR409" i="76"/>
  <c r="BR408" i="76"/>
  <c r="BR404" i="76"/>
  <c r="BR403" i="76"/>
  <c r="BR402" i="76"/>
  <c r="BR401" i="76"/>
  <c r="BR400" i="76"/>
  <c r="BR399" i="76"/>
  <c r="BR398" i="76"/>
  <c r="BR394" i="76"/>
  <c r="BR390" i="76"/>
  <c r="BR389" i="76"/>
  <c r="BR418" i="76"/>
  <c r="BR388" i="76"/>
  <c r="BR387" i="76"/>
  <c r="BR386" i="76"/>
  <c r="BR379" i="76"/>
  <c r="BR378" i="76"/>
  <c r="BR374" i="76"/>
  <c r="BR370" i="76"/>
  <c r="BR363" i="76"/>
  <c r="BR362" i="76"/>
  <c r="BR361" i="76"/>
  <c r="BR357" i="76"/>
  <c r="BR356" i="76"/>
  <c r="BR352" i="76"/>
  <c r="BR348" i="76"/>
  <c r="BR347" i="76"/>
  <c r="BR346" i="76"/>
  <c r="BR342" i="76"/>
  <c r="BR341" i="76"/>
  <c r="BR340" i="76"/>
  <c r="BR339" i="76"/>
  <c r="BR338" i="76"/>
  <c r="BR337" i="76"/>
  <c r="BR330" i="76"/>
  <c r="BR329" i="76"/>
  <c r="BR328" i="76"/>
  <c r="BR327" i="76"/>
  <c r="BR326" i="76"/>
  <c r="BR322" i="76"/>
  <c r="BR321" i="76"/>
  <c r="BR317" i="76"/>
  <c r="BR313" i="76"/>
  <c r="BR312" i="76"/>
  <c r="BR311" i="76"/>
  <c r="BR310" i="76"/>
  <c r="BR309" i="76"/>
  <c r="BR308" i="76"/>
  <c r="BR301" i="76"/>
  <c r="BR300" i="76"/>
  <c r="BR299" i="76"/>
  <c r="BR298" i="76"/>
  <c r="BR293" i="76"/>
  <c r="BR292" i="76"/>
  <c r="BR288" i="76"/>
  <c r="BR287" i="76"/>
  <c r="BR286" i="76"/>
  <c r="BR285" i="76"/>
  <c r="BR284" i="76"/>
  <c r="BR283" i="76"/>
  <c r="BR276" i="76"/>
  <c r="BR275" i="76"/>
  <c r="BR274" i="76"/>
  <c r="BR273" i="76"/>
  <c r="BR269" i="76"/>
  <c r="BR268" i="76"/>
  <c r="BR267" i="76"/>
  <c r="BR263" i="76"/>
  <c r="BR259" i="76"/>
  <c r="BR258" i="76"/>
  <c r="BR257" i="76"/>
  <c r="BR256" i="76"/>
  <c r="BR249" i="76"/>
  <c r="BR248" i="76"/>
  <c r="BR247" i="76"/>
  <c r="BR246" i="76"/>
  <c r="BR245" i="76"/>
  <c r="BR244" i="76"/>
  <c r="BR240" i="76"/>
  <c r="BR239" i="76"/>
  <c r="BR238" i="76"/>
  <c r="BR237" i="76"/>
  <c r="BR236" i="76"/>
  <c r="BR235" i="76"/>
  <c r="BR231" i="76"/>
  <c r="BR230" i="76"/>
  <c r="BR229" i="76"/>
  <c r="BR228" i="76"/>
  <c r="BR224" i="76"/>
  <c r="BR223" i="76"/>
  <c r="BR219" i="76"/>
  <c r="BR218" i="76"/>
  <c r="BR217" i="76"/>
  <c r="BR216" i="76"/>
  <c r="BR215" i="76"/>
  <c r="BR214" i="76"/>
  <c r="BR213" i="76"/>
  <c r="BR212" i="76"/>
  <c r="BR211" i="76"/>
  <c r="BR210" i="76"/>
  <c r="BR209" i="76"/>
  <c r="BR208" i="76"/>
  <c r="BR207" i="76"/>
  <c r="BR206" i="76"/>
  <c r="BR205" i="76"/>
  <c r="BR204" i="76"/>
  <c r="BR203" i="76"/>
  <c r="BR194" i="76"/>
  <c r="BR193" i="76"/>
  <c r="BR192" i="76"/>
  <c r="BR191" i="76"/>
  <c r="BR187" i="76"/>
  <c r="BR186" i="76"/>
  <c r="BR185" i="76"/>
  <c r="BR184" i="76"/>
  <c r="BR183" i="76"/>
  <c r="BR182" i="76"/>
  <c r="BR181" i="76"/>
  <c r="BR177" i="76"/>
  <c r="BR176" i="76"/>
  <c r="BR175" i="76"/>
  <c r="BR174" i="76"/>
  <c r="BR170" i="76"/>
  <c r="BR169" i="76"/>
  <c r="BR168" i="76"/>
  <c r="BR161" i="76"/>
  <c r="BR160" i="76"/>
  <c r="BR159" i="76"/>
  <c r="BR158" i="76"/>
  <c r="BR154" i="76"/>
  <c r="BR150" i="76"/>
  <c r="BR146" i="76"/>
  <c r="BR139" i="76"/>
  <c r="BR138" i="76"/>
  <c r="BR137" i="76"/>
  <c r="BR136" i="76"/>
  <c r="BR132" i="76"/>
  <c r="BR131" i="76"/>
  <c r="BR130" i="76"/>
  <c r="BR126" i="76"/>
  <c r="BR125" i="76"/>
  <c r="BR121" i="76"/>
  <c r="BR120" i="76"/>
  <c r="BR116" i="76"/>
  <c r="BR109" i="76"/>
  <c r="BR108" i="76"/>
  <c r="BR107" i="76"/>
  <c r="BR103" i="76"/>
  <c r="BR102" i="76"/>
  <c r="BR95" i="76"/>
  <c r="BR94" i="76"/>
  <c r="BR93" i="76"/>
  <c r="BR89" i="76"/>
  <c r="BR88" i="76"/>
  <c r="BR81" i="76"/>
  <c r="BR80" i="76"/>
  <c r="BR79" i="76"/>
  <c r="BR78" i="76"/>
  <c r="BR74" i="76"/>
  <c r="BR73" i="76"/>
  <c r="BR72" i="76"/>
  <c r="BR68" i="76"/>
  <c r="BR64" i="76"/>
  <c r="BR63" i="76"/>
  <c r="BR62" i="76"/>
  <c r="BR58" i="76"/>
  <c r="BR57" i="76"/>
  <c r="BR56" i="76"/>
  <c r="BR49" i="76"/>
  <c r="BR48" i="76"/>
  <c r="BR47" i="76"/>
  <c r="BR46" i="76"/>
  <c r="BR45" i="76"/>
  <c r="BR41" i="76"/>
  <c r="BR37" i="76"/>
  <c r="BR30" i="76"/>
  <c r="BR29" i="76"/>
  <c r="BR28" i="76"/>
  <c r="BR27" i="76"/>
  <c r="BR26" i="76"/>
  <c r="BR25" i="76"/>
  <c r="BR24" i="76"/>
  <c r="BR23" i="76"/>
  <c r="BR19" i="76"/>
  <c r="BR15" i="76"/>
  <c r="BR14" i="76"/>
  <c r="BR10" i="76"/>
  <c r="BR9" i="76"/>
  <c r="BR8" i="76"/>
  <c r="BR7" i="76"/>
  <c r="BR6" i="76"/>
  <c r="BR5" i="76"/>
  <c r="BR4" i="76"/>
  <c r="P562" i="76" l="1"/>
  <c r="Q562" i="76"/>
  <c r="R562" i="76"/>
  <c r="M562" i="76"/>
  <c r="BP1032" i="76"/>
  <c r="BP1031" i="76"/>
  <c r="BP1030" i="76"/>
  <c r="BP1029" i="76"/>
  <c r="BP1028" i="76"/>
  <c r="BP1027" i="76"/>
  <c r="BP1026" i="76"/>
  <c r="BP1025" i="76"/>
  <c r="BP1024" i="76"/>
  <c r="BP1023" i="76"/>
  <c r="BP1022" i="76"/>
  <c r="BP1021" i="76"/>
  <c r="BP1020" i="76"/>
  <c r="BP1019" i="76"/>
  <c r="BP1018" i="76"/>
  <c r="BP1017" i="76"/>
  <c r="BP1016" i="76"/>
  <c r="BP1015" i="76"/>
  <c r="BP1014" i="76"/>
  <c r="BP1013" i="76"/>
  <c r="BP1012" i="76"/>
  <c r="BP1008" i="76"/>
  <c r="BP1004" i="76"/>
  <c r="BP1003" i="76"/>
  <c r="BP1002" i="76"/>
  <c r="BP1001" i="76"/>
  <c r="BP1000" i="76"/>
  <c r="BP999" i="76"/>
  <c r="BP998" i="76"/>
  <c r="BP997" i="76"/>
  <c r="BP996" i="76"/>
  <c r="BP995" i="76"/>
  <c r="BP994" i="76"/>
  <c r="BP993" i="76"/>
  <c r="BP992" i="76"/>
  <c r="BP991" i="76"/>
  <c r="BP990" i="76"/>
  <c r="BP989" i="76"/>
  <c r="BP988" i="76"/>
  <c r="BP987" i="76"/>
  <c r="BP986" i="76"/>
  <c r="BP985" i="76"/>
  <c r="BP984" i="76"/>
  <c r="BP983" i="76"/>
  <c r="BP982" i="76"/>
  <c r="BP981" i="76"/>
  <c r="BP980" i="76"/>
  <c r="BP979" i="76"/>
  <c r="BP978" i="76"/>
  <c r="BP977" i="76"/>
  <c r="BP976" i="76"/>
  <c r="BP975" i="76"/>
  <c r="BP974" i="76"/>
  <c r="BP973" i="76"/>
  <c r="BP972" i="76"/>
  <c r="BP971" i="76"/>
  <c r="BP970" i="76"/>
  <c r="BP969" i="76"/>
  <c r="BP968" i="76"/>
  <c r="BP967" i="76"/>
  <c r="BP966" i="76"/>
  <c r="BP965" i="76"/>
  <c r="BP964" i="76"/>
  <c r="BP963" i="76"/>
  <c r="BP962" i="76"/>
  <c r="BP961" i="76"/>
  <c r="BP960" i="76"/>
  <c r="BP959" i="76"/>
  <c r="BP958" i="76"/>
  <c r="BP951" i="76"/>
  <c r="BP950" i="76"/>
  <c r="BP949" i="76"/>
  <c r="BP948" i="76"/>
  <c r="BP947" i="76"/>
  <c r="BP946" i="76"/>
  <c r="BP945" i="76"/>
  <c r="BP941" i="76"/>
  <c r="BP940" i="76"/>
  <c r="BP939" i="76"/>
  <c r="BP935" i="76"/>
  <c r="BP931" i="76"/>
  <c r="BP922" i="76"/>
  <c r="BP921" i="76"/>
  <c r="BP920" i="76"/>
  <c r="BP916" i="76"/>
  <c r="BP915" i="76"/>
  <c r="BP911" i="76"/>
  <c r="BP907" i="76"/>
  <c r="BP903" i="76"/>
  <c r="BP902" i="76"/>
  <c r="BP901" i="76"/>
  <c r="BP900" i="76"/>
  <c r="BP899" i="76"/>
  <c r="BP898" i="76"/>
  <c r="BP897" i="76"/>
  <c r="BP896" i="76"/>
  <c r="BP895" i="76"/>
  <c r="BP894" i="76"/>
  <c r="BP887" i="76"/>
  <c r="BP886" i="76"/>
  <c r="BP885" i="76"/>
  <c r="BP884" i="76"/>
  <c r="BP883" i="76"/>
  <c r="BP879" i="76"/>
  <c r="BP875" i="76"/>
  <c r="BP874" i="76"/>
  <c r="BP867" i="76"/>
  <c r="BP866" i="76"/>
  <c r="BP865" i="76"/>
  <c r="BP864" i="76"/>
  <c r="BP860" i="76"/>
  <c r="BP859" i="76"/>
  <c r="BP858" i="76"/>
  <c r="BP857" i="76"/>
  <c r="BP856" i="76"/>
  <c r="BP855" i="76"/>
  <c r="BP854" i="76"/>
  <c r="BP853" i="76"/>
  <c r="BP852" i="76"/>
  <c r="BP848" i="76"/>
  <c r="BP847" i="76"/>
  <c r="BP843" i="76"/>
  <c r="BP842" i="76"/>
  <c r="BP835" i="76"/>
  <c r="BP834" i="76"/>
  <c r="BP833" i="76"/>
  <c r="BP829" i="76"/>
  <c r="BP828" i="76"/>
  <c r="BP824" i="76"/>
  <c r="BP823" i="76"/>
  <c r="BP819" i="76"/>
  <c r="BP818" i="76"/>
  <c r="BP811" i="76"/>
  <c r="BP810" i="76"/>
  <c r="BP809" i="76"/>
  <c r="BP808" i="76"/>
  <c r="BP807" i="76"/>
  <c r="BP803" i="76"/>
  <c r="BP802" i="76"/>
  <c r="BP801" i="76"/>
  <c r="BP800" i="76"/>
  <c r="BP799" i="76"/>
  <c r="BP795" i="76"/>
  <c r="BP794" i="76"/>
  <c r="BP790" i="76"/>
  <c r="BP789" i="76"/>
  <c r="BP788" i="76"/>
  <c r="BP779" i="76"/>
  <c r="BP778" i="76"/>
  <c r="BP777" i="76"/>
  <c r="BP776" i="76"/>
  <c r="BP775" i="76"/>
  <c r="BP774" i="76"/>
  <c r="BP773" i="76"/>
  <c r="BP769" i="76"/>
  <c r="BP768" i="76"/>
  <c r="BP764" i="76"/>
  <c r="BP760" i="76"/>
  <c r="BP759" i="76"/>
  <c r="BP758" i="76"/>
  <c r="BP757" i="76"/>
  <c r="BP756" i="76"/>
  <c r="BP749" i="76"/>
  <c r="BP748" i="76"/>
  <c r="BP747" i="76"/>
  <c r="BP743" i="76"/>
  <c r="BP742" i="76"/>
  <c r="BP733" i="76"/>
  <c r="BP732" i="76"/>
  <c r="BP731" i="76"/>
  <c r="BP730" i="76"/>
  <c r="BP723" i="76"/>
  <c r="BP722" i="76"/>
  <c r="BP718" i="76"/>
  <c r="BP545" i="76"/>
  <c r="BP717" i="76"/>
  <c r="BP713" i="76"/>
  <c r="BP712" i="76"/>
  <c r="BP708" i="76"/>
  <c r="BP707" i="76"/>
  <c r="BP706" i="76"/>
  <c r="BP702" i="76"/>
  <c r="BP701" i="76"/>
  <c r="BP694" i="76"/>
  <c r="BP693" i="76"/>
  <c r="BP692" i="76"/>
  <c r="BP691" i="76"/>
  <c r="BP690" i="76"/>
  <c r="BP689" i="76"/>
  <c r="BP685" i="76"/>
  <c r="BP681" i="76"/>
  <c r="BP674" i="76"/>
  <c r="BP673" i="76"/>
  <c r="BP672" i="76"/>
  <c r="BP668" i="76"/>
  <c r="BP664" i="76"/>
  <c r="BP663" i="76"/>
  <c r="BP658" i="76"/>
  <c r="BP654" i="76"/>
  <c r="BP647" i="76"/>
  <c r="BP646" i="76"/>
  <c r="BP645" i="76"/>
  <c r="BP641" i="76"/>
  <c r="BP637" i="76"/>
  <c r="BP630" i="76"/>
  <c r="BP629" i="76"/>
  <c r="BP628" i="76"/>
  <c r="BP627" i="76"/>
  <c r="BP626" i="76"/>
  <c r="BP622" i="76"/>
  <c r="BP618" i="76"/>
  <c r="BP617" i="76"/>
  <c r="BP613" i="76"/>
  <c r="BP612" i="76"/>
  <c r="BP605" i="76"/>
  <c r="BP604" i="76"/>
  <c r="BP603" i="76"/>
  <c r="BP602" i="76"/>
  <c r="BP601" i="76"/>
  <c r="BP597" i="76"/>
  <c r="BP596" i="76"/>
  <c r="BP592" i="76"/>
  <c r="BP591" i="76"/>
  <c r="BP584" i="76"/>
  <c r="BP583" i="76"/>
  <c r="BP582" i="76"/>
  <c r="BP578" i="76"/>
  <c r="BP577" i="76"/>
  <c r="BP573" i="76"/>
  <c r="BP572" i="76"/>
  <c r="BP570" i="76"/>
  <c r="BP569" i="76"/>
  <c r="BP565" i="76"/>
  <c r="BP571" i="76"/>
  <c r="BP561" i="76"/>
  <c r="BP554" i="76"/>
  <c r="BP553" i="76"/>
  <c r="BP552" i="76"/>
  <c r="BP551" i="76"/>
  <c r="BP550" i="76"/>
  <c r="BP549" i="76"/>
  <c r="BP544" i="76"/>
  <c r="BP540" i="76"/>
  <c r="BP539" i="76"/>
  <c r="BP535" i="76"/>
  <c r="BP534" i="76"/>
  <c r="BP533" i="76"/>
  <c r="BP529" i="76"/>
  <c r="BP528" i="76"/>
  <c r="BP527" i="76"/>
  <c r="BP526" i="76"/>
  <c r="BP519" i="76"/>
  <c r="BP518" i="76"/>
  <c r="BP517" i="76"/>
  <c r="BP516" i="76"/>
  <c r="BP515" i="76"/>
  <c r="BP511" i="76"/>
  <c r="BP510" i="76"/>
  <c r="BP506" i="76"/>
  <c r="BP505" i="76"/>
  <c r="BP504" i="76"/>
  <c r="BP503" i="76"/>
  <c r="BP494" i="76"/>
  <c r="BP493" i="76"/>
  <c r="BP492" i="76"/>
  <c r="BP491" i="76"/>
  <c r="BP490" i="76"/>
  <c r="BP485" i="76"/>
  <c r="BP484" i="76"/>
  <c r="BP483" i="76"/>
  <c r="BP482" i="76"/>
  <c r="BP481" i="76"/>
  <c r="BP480" i="76"/>
  <c r="BP486" i="76"/>
  <c r="BP473" i="76"/>
  <c r="BP472" i="76"/>
  <c r="BP471" i="76"/>
  <c r="BP470" i="76"/>
  <c r="BP469" i="76"/>
  <c r="BP468" i="76"/>
  <c r="BP467" i="76"/>
  <c r="BP466" i="76"/>
  <c r="BP465" i="76"/>
  <c r="BP461" i="76"/>
  <c r="BP460" i="76"/>
  <c r="BP459" i="76"/>
  <c r="BP455" i="76"/>
  <c r="BP451" i="76"/>
  <c r="BP447" i="76"/>
  <c r="BP446" i="76"/>
  <c r="BP445" i="76"/>
  <c r="BP444" i="76"/>
  <c r="BP443" i="76"/>
  <c r="BP436" i="76"/>
  <c r="BP435" i="76"/>
  <c r="BP434" i="76"/>
  <c r="BP430" i="76"/>
  <c r="BP426" i="76"/>
  <c r="BP425" i="76"/>
  <c r="BP424" i="76"/>
  <c r="BP423" i="76"/>
  <c r="BP422" i="76"/>
  <c r="BP417" i="76"/>
  <c r="BP409" i="76"/>
  <c r="BP408" i="76"/>
  <c r="BP404" i="76"/>
  <c r="BP403" i="76"/>
  <c r="BP402" i="76"/>
  <c r="BP401" i="76"/>
  <c r="BP400" i="76"/>
  <c r="BP399" i="76"/>
  <c r="BP398" i="76"/>
  <c r="BP394" i="76"/>
  <c r="BP390" i="76"/>
  <c r="BP389" i="76"/>
  <c r="BP418" i="76"/>
  <c r="BP388" i="76"/>
  <c r="BP387" i="76"/>
  <c r="BP386" i="76"/>
  <c r="BP379" i="76"/>
  <c r="BP378" i="76"/>
  <c r="BP374" i="76"/>
  <c r="BP370" i="76"/>
  <c r="BP363" i="76"/>
  <c r="BP362" i="76"/>
  <c r="BP361" i="76"/>
  <c r="BP357" i="76"/>
  <c r="BP356" i="76"/>
  <c r="BP352" i="76"/>
  <c r="BP348" i="76"/>
  <c r="BP347" i="76"/>
  <c r="BP346" i="76"/>
  <c r="BP342" i="76"/>
  <c r="BP341" i="76"/>
  <c r="BP340" i="76"/>
  <c r="BP339" i="76"/>
  <c r="BP338" i="76"/>
  <c r="BP337" i="76"/>
  <c r="BP330" i="76"/>
  <c r="BP329" i="76"/>
  <c r="BP328" i="76"/>
  <c r="BP327" i="76"/>
  <c r="BP326" i="76"/>
  <c r="BP322" i="76"/>
  <c r="BP321" i="76"/>
  <c r="BP317" i="76"/>
  <c r="BP313" i="76"/>
  <c r="BP312" i="76"/>
  <c r="BP311" i="76"/>
  <c r="BP310" i="76"/>
  <c r="BP309" i="76"/>
  <c r="BP308" i="76"/>
  <c r="BP301" i="76"/>
  <c r="BP300" i="76"/>
  <c r="BP299" i="76"/>
  <c r="BP298" i="76"/>
  <c r="BP293" i="76"/>
  <c r="BP292" i="76"/>
  <c r="BP288" i="76"/>
  <c r="BP287" i="76"/>
  <c r="BP286" i="76"/>
  <c r="BP285" i="76"/>
  <c r="BP284" i="76"/>
  <c r="BP283" i="76"/>
  <c r="BP276" i="76"/>
  <c r="BP275" i="76"/>
  <c r="BP274" i="76"/>
  <c r="BP273" i="76"/>
  <c r="BP269" i="76"/>
  <c r="BP268" i="76"/>
  <c r="BP267" i="76"/>
  <c r="BP263" i="76"/>
  <c r="BP259" i="76"/>
  <c r="BP258" i="76"/>
  <c r="BP257" i="76"/>
  <c r="BP256" i="76"/>
  <c r="BP249" i="76"/>
  <c r="BP248" i="76"/>
  <c r="BP247" i="76"/>
  <c r="BP246" i="76"/>
  <c r="BP245" i="76"/>
  <c r="BP244" i="76"/>
  <c r="BP240" i="76"/>
  <c r="BP239" i="76"/>
  <c r="BP238" i="76"/>
  <c r="BP237" i="76"/>
  <c r="BP236" i="76"/>
  <c r="BP235" i="76"/>
  <c r="BP231" i="76"/>
  <c r="BP230" i="76"/>
  <c r="BP229" i="76"/>
  <c r="BP228" i="76"/>
  <c r="BP224" i="76"/>
  <c r="BP223" i="76"/>
  <c r="BP219" i="76"/>
  <c r="BP218" i="76"/>
  <c r="BP217" i="76"/>
  <c r="BP216" i="76"/>
  <c r="BP215" i="76"/>
  <c r="BP214" i="76"/>
  <c r="BP213" i="76"/>
  <c r="BP212" i="76"/>
  <c r="BP211" i="76"/>
  <c r="BP210" i="76"/>
  <c r="BP209" i="76"/>
  <c r="BP208" i="76"/>
  <c r="BP207" i="76"/>
  <c r="BP206" i="76"/>
  <c r="BP205" i="76"/>
  <c r="BP204" i="76"/>
  <c r="BP203" i="76"/>
  <c r="BP193" i="76"/>
  <c r="BP192" i="76"/>
  <c r="BP191" i="76"/>
  <c r="BP187" i="76"/>
  <c r="BP186" i="76"/>
  <c r="BP185" i="76"/>
  <c r="BP184" i="76"/>
  <c r="BP183" i="76"/>
  <c r="BP182" i="76"/>
  <c r="BP181" i="76"/>
  <c r="BP177" i="76"/>
  <c r="BP176" i="76"/>
  <c r="BP194" i="76"/>
  <c r="BP175" i="76"/>
  <c r="BP174" i="76"/>
  <c r="BP170" i="76"/>
  <c r="BP169" i="76"/>
  <c r="BP168" i="76"/>
  <c r="BP161" i="76"/>
  <c r="BP160" i="76"/>
  <c r="BP159" i="76"/>
  <c r="BP158" i="76"/>
  <c r="BP154" i="76"/>
  <c r="BP150" i="76"/>
  <c r="BP146" i="76"/>
  <c r="BP139" i="76"/>
  <c r="BP138" i="76"/>
  <c r="BP137" i="76"/>
  <c r="BP136" i="76"/>
  <c r="BP132" i="76"/>
  <c r="BP131" i="76"/>
  <c r="BP130" i="76"/>
  <c r="BP126" i="76"/>
  <c r="BP125" i="76"/>
  <c r="BP121" i="76"/>
  <c r="BP120" i="76"/>
  <c r="BP116" i="76"/>
  <c r="BP109" i="76"/>
  <c r="BP108" i="76"/>
  <c r="BP107" i="76"/>
  <c r="BP103" i="76"/>
  <c r="BP102" i="76"/>
  <c r="BP95" i="76"/>
  <c r="BP94" i="76"/>
  <c r="BP93" i="76"/>
  <c r="BP89" i="76"/>
  <c r="BP88" i="76"/>
  <c r="BP81" i="76"/>
  <c r="BP80" i="76"/>
  <c r="BP79" i="76"/>
  <c r="BP78" i="76"/>
  <c r="BP74" i="76"/>
  <c r="BP73" i="76"/>
  <c r="BP72" i="76"/>
  <c r="BP68" i="76"/>
  <c r="BP64" i="76"/>
  <c r="BP63" i="76"/>
  <c r="BP62" i="76"/>
  <c r="BP58" i="76"/>
  <c r="BP57" i="76"/>
  <c r="BP56" i="76"/>
  <c r="BP49" i="76"/>
  <c r="BP48" i="76"/>
  <c r="BP47" i="76"/>
  <c r="BP46" i="76"/>
  <c r="BP45" i="76"/>
  <c r="BP41" i="76"/>
  <c r="BP37" i="76"/>
  <c r="BP30" i="76"/>
  <c r="BP29" i="76"/>
  <c r="BP28" i="76"/>
  <c r="BP27" i="76"/>
  <c r="BP26" i="76"/>
  <c r="BP25" i="76"/>
  <c r="BP24" i="76"/>
  <c r="BP23" i="76"/>
  <c r="BP19" i="76"/>
  <c r="BP15" i="76"/>
  <c r="BP14" i="76"/>
  <c r="BP9" i="76"/>
  <c r="BP8" i="76"/>
  <c r="BP7" i="76"/>
  <c r="BP10" i="76"/>
  <c r="BP6" i="76"/>
  <c r="BP5" i="76"/>
  <c r="BQ5" i="76"/>
  <c r="BQ6" i="76"/>
  <c r="BQ10" i="76"/>
  <c r="BQ7" i="76"/>
  <c r="BQ8" i="76"/>
  <c r="BQ9" i="76"/>
  <c r="BQ11" i="76"/>
  <c r="BQ12" i="76"/>
  <c r="BQ13" i="76"/>
  <c r="BQ14" i="76"/>
  <c r="BQ15" i="76"/>
  <c r="BQ16" i="76"/>
  <c r="BQ17" i="76"/>
  <c r="BQ18" i="76"/>
  <c r="BQ19" i="76"/>
  <c r="BQ20" i="76"/>
  <c r="BQ21" i="76"/>
  <c r="BQ22" i="76"/>
  <c r="BQ23" i="76"/>
  <c r="BQ24" i="76"/>
  <c r="BQ25" i="76"/>
  <c r="BQ26" i="76"/>
  <c r="BQ27" i="76"/>
  <c r="BQ28" i="76"/>
  <c r="BQ29" i="76"/>
  <c r="BQ30" i="76"/>
  <c r="BQ31" i="76"/>
  <c r="BQ32" i="76"/>
  <c r="BQ33" i="76"/>
  <c r="BQ34" i="76"/>
  <c r="BQ35" i="76"/>
  <c r="BQ36" i="76"/>
  <c r="BQ37" i="76"/>
  <c r="BQ38" i="76"/>
  <c r="BQ39" i="76"/>
  <c r="BQ40" i="76"/>
  <c r="BQ41" i="76"/>
  <c r="BQ42" i="76"/>
  <c r="BQ43" i="76"/>
  <c r="BQ44" i="76"/>
  <c r="BQ45" i="76"/>
  <c r="BQ46" i="76"/>
  <c r="BQ47" i="76"/>
  <c r="BQ48" i="76"/>
  <c r="BQ49" i="76"/>
  <c r="BQ50" i="76"/>
  <c r="BQ51" i="76"/>
  <c r="BQ52" i="76"/>
  <c r="BQ53" i="76"/>
  <c r="BQ54" i="76"/>
  <c r="BQ55" i="76"/>
  <c r="BQ56" i="76"/>
  <c r="BQ57" i="76"/>
  <c r="BQ58" i="76"/>
  <c r="BQ59" i="76"/>
  <c r="BQ60" i="76"/>
  <c r="BQ61" i="76"/>
  <c r="BQ62" i="76"/>
  <c r="BQ63" i="76"/>
  <c r="BQ64" i="76"/>
  <c r="BQ65" i="76"/>
  <c r="BQ66" i="76"/>
  <c r="BQ67" i="76"/>
  <c r="BQ68" i="76"/>
  <c r="BQ69" i="76"/>
  <c r="BQ70" i="76"/>
  <c r="BQ71" i="76"/>
  <c r="BQ72" i="76"/>
  <c r="BQ73" i="76"/>
  <c r="BQ74" i="76"/>
  <c r="BQ75" i="76"/>
  <c r="BQ76" i="76"/>
  <c r="BQ77" i="76"/>
  <c r="BQ78" i="76"/>
  <c r="BQ79" i="76"/>
  <c r="BQ80" i="76"/>
  <c r="BQ81" i="76"/>
  <c r="BQ82" i="76"/>
  <c r="BQ83" i="76"/>
  <c r="BQ84" i="76"/>
  <c r="BQ85" i="76"/>
  <c r="BQ86" i="76"/>
  <c r="BQ87" i="76"/>
  <c r="BQ88" i="76"/>
  <c r="BQ89" i="76"/>
  <c r="BQ90" i="76"/>
  <c r="BQ91" i="76"/>
  <c r="BQ92" i="76"/>
  <c r="BQ93" i="76"/>
  <c r="BQ94" i="76"/>
  <c r="BQ95" i="76"/>
  <c r="BQ96" i="76"/>
  <c r="BQ97" i="76"/>
  <c r="BQ98" i="76"/>
  <c r="BQ99" i="76"/>
  <c r="BQ100" i="76"/>
  <c r="BQ101" i="76"/>
  <c r="BQ102" i="76"/>
  <c r="BQ103" i="76"/>
  <c r="BQ104" i="76"/>
  <c r="BQ105" i="76"/>
  <c r="BQ106" i="76"/>
  <c r="BQ107" i="76"/>
  <c r="BQ108" i="76"/>
  <c r="BQ109" i="76"/>
  <c r="BQ110" i="76"/>
  <c r="BQ111" i="76"/>
  <c r="BQ112" i="76"/>
  <c r="BQ113" i="76"/>
  <c r="BQ114" i="76"/>
  <c r="BQ115" i="76"/>
  <c r="BQ116" i="76"/>
  <c r="BQ117" i="76"/>
  <c r="BQ118" i="76"/>
  <c r="BQ119" i="76"/>
  <c r="BQ120" i="76"/>
  <c r="BQ121" i="76"/>
  <c r="BQ122" i="76"/>
  <c r="BQ123" i="76"/>
  <c r="BQ124" i="76"/>
  <c r="BQ125" i="76"/>
  <c r="BQ126" i="76"/>
  <c r="BQ127" i="76"/>
  <c r="BQ128" i="76"/>
  <c r="BQ129" i="76"/>
  <c r="BQ130" i="76"/>
  <c r="BQ131" i="76"/>
  <c r="BQ132" i="76"/>
  <c r="BQ133" i="76"/>
  <c r="BQ134" i="76"/>
  <c r="BQ135" i="76"/>
  <c r="BQ136" i="76"/>
  <c r="BQ137" i="76"/>
  <c r="BQ138" i="76"/>
  <c r="BQ139" i="76"/>
  <c r="BQ140" i="76"/>
  <c r="BQ141" i="76"/>
  <c r="BQ142" i="76"/>
  <c r="BQ143" i="76"/>
  <c r="BQ144" i="76"/>
  <c r="BQ145" i="76"/>
  <c r="BQ146" i="76"/>
  <c r="BQ147" i="76"/>
  <c r="BQ148" i="76"/>
  <c r="BQ149" i="76"/>
  <c r="BQ150" i="76"/>
  <c r="BQ151" i="76"/>
  <c r="BQ152" i="76"/>
  <c r="BQ153" i="76"/>
  <c r="BQ154" i="76"/>
  <c r="BQ155" i="76"/>
  <c r="BQ156" i="76"/>
  <c r="BQ157" i="76"/>
  <c r="BQ158" i="76"/>
  <c r="BQ159" i="76"/>
  <c r="BQ160" i="76"/>
  <c r="BQ161" i="76"/>
  <c r="BQ162" i="76"/>
  <c r="BQ163" i="76"/>
  <c r="BQ164" i="76"/>
  <c r="BQ165" i="76"/>
  <c r="BQ166" i="76"/>
  <c r="BQ167" i="76"/>
  <c r="BQ168" i="76"/>
  <c r="BQ169" i="76"/>
  <c r="BQ170" i="76"/>
  <c r="BQ171" i="76"/>
  <c r="BQ172" i="76"/>
  <c r="BQ173" i="76"/>
  <c r="BQ174" i="76"/>
  <c r="BQ175" i="76"/>
  <c r="BQ194" i="76"/>
  <c r="BQ176" i="76"/>
  <c r="BQ177" i="76"/>
  <c r="BQ178" i="76"/>
  <c r="BQ179" i="76"/>
  <c r="BQ180" i="76"/>
  <c r="BQ181" i="76"/>
  <c r="BQ182" i="76"/>
  <c r="BQ183" i="76"/>
  <c r="BQ184" i="76"/>
  <c r="BQ185" i="76"/>
  <c r="BQ186" i="76"/>
  <c r="BQ187" i="76"/>
  <c r="BQ188" i="76"/>
  <c r="BQ189" i="76"/>
  <c r="BQ190" i="76"/>
  <c r="BQ191" i="76"/>
  <c r="BQ192" i="76"/>
  <c r="BQ193" i="76"/>
  <c r="BQ195" i="76"/>
  <c r="BQ196" i="76"/>
  <c r="BQ197" i="76"/>
  <c r="BQ198" i="76"/>
  <c r="BQ199" i="76"/>
  <c r="BQ200" i="76"/>
  <c r="BQ201" i="76"/>
  <c r="BQ202" i="76"/>
  <c r="BQ203" i="76"/>
  <c r="BQ204" i="76"/>
  <c r="BQ205" i="76"/>
  <c r="BQ206" i="76"/>
  <c r="BQ207" i="76"/>
  <c r="BQ208" i="76"/>
  <c r="BQ209" i="76"/>
  <c r="BQ210" i="76"/>
  <c r="BQ211" i="76"/>
  <c r="BQ212" i="76"/>
  <c r="BQ213" i="76"/>
  <c r="BQ214" i="76"/>
  <c r="BQ215" i="76"/>
  <c r="BQ216" i="76"/>
  <c r="BQ217" i="76"/>
  <c r="BQ218" i="76"/>
  <c r="BQ219" i="76"/>
  <c r="BQ220" i="76"/>
  <c r="BQ221" i="76"/>
  <c r="BQ222" i="76"/>
  <c r="BQ223" i="76"/>
  <c r="BQ224" i="76"/>
  <c r="BQ225" i="76"/>
  <c r="BQ226" i="76"/>
  <c r="BQ227" i="76"/>
  <c r="BQ228" i="76"/>
  <c r="BQ229" i="76"/>
  <c r="BQ230" i="76"/>
  <c r="BQ231" i="76"/>
  <c r="BQ232" i="76"/>
  <c r="BQ233" i="76"/>
  <c r="BQ234" i="76"/>
  <c r="BQ235" i="76"/>
  <c r="BQ236" i="76"/>
  <c r="BQ237" i="76"/>
  <c r="BQ238" i="76"/>
  <c r="BQ239" i="76"/>
  <c r="BQ240" i="76"/>
  <c r="BQ241" i="76"/>
  <c r="BQ242" i="76"/>
  <c r="BQ243" i="76"/>
  <c r="BQ244" i="76"/>
  <c r="BQ245" i="76"/>
  <c r="BQ246" i="76"/>
  <c r="BQ247" i="76"/>
  <c r="BQ248" i="76"/>
  <c r="BQ249" i="76"/>
  <c r="BQ250" i="76"/>
  <c r="BQ251" i="76"/>
  <c r="BQ252" i="76"/>
  <c r="BQ253" i="76"/>
  <c r="BQ254" i="76"/>
  <c r="BQ255" i="76"/>
  <c r="BQ256" i="76"/>
  <c r="BQ257" i="76"/>
  <c r="BQ258" i="76"/>
  <c r="BQ259" i="76"/>
  <c r="BQ260" i="76"/>
  <c r="BQ261" i="76"/>
  <c r="BQ262" i="76"/>
  <c r="BQ263" i="76"/>
  <c r="BQ264" i="76"/>
  <c r="BQ265" i="76"/>
  <c r="BQ266" i="76"/>
  <c r="BQ267" i="76"/>
  <c r="BQ268" i="76"/>
  <c r="BQ269" i="76"/>
  <c r="BQ270" i="76"/>
  <c r="BQ271" i="76"/>
  <c r="BQ272" i="76"/>
  <c r="BQ273" i="76"/>
  <c r="BQ274" i="76"/>
  <c r="BQ275" i="76"/>
  <c r="BQ276" i="76"/>
  <c r="BQ277" i="76"/>
  <c r="BQ278" i="76"/>
  <c r="BQ279" i="76"/>
  <c r="BQ280" i="76"/>
  <c r="BQ281" i="76"/>
  <c r="BQ282" i="76"/>
  <c r="BQ283" i="76"/>
  <c r="BQ284" i="76"/>
  <c r="BQ285" i="76"/>
  <c r="BQ286" i="76"/>
  <c r="BQ287" i="76"/>
  <c r="BQ289" i="76"/>
  <c r="BQ290" i="76"/>
  <c r="BQ288" i="76"/>
  <c r="BQ291" i="76"/>
  <c r="BQ292" i="76"/>
  <c r="BQ293" i="76"/>
  <c r="BQ295" i="76"/>
  <c r="BQ296" i="76"/>
  <c r="BQ297" i="76"/>
  <c r="BQ298" i="76"/>
  <c r="BQ299" i="76"/>
  <c r="BQ300" i="76"/>
  <c r="BQ301" i="76"/>
  <c r="BQ302" i="76"/>
  <c r="BQ303" i="76"/>
  <c r="BQ304" i="76"/>
  <c r="BQ305" i="76"/>
  <c r="BQ306" i="76"/>
  <c r="BQ307" i="76"/>
  <c r="BQ308" i="76"/>
  <c r="BQ309" i="76"/>
  <c r="BQ310" i="76"/>
  <c r="BQ311" i="76"/>
  <c r="BQ312" i="76"/>
  <c r="BQ313" i="76"/>
  <c r="BQ314" i="76"/>
  <c r="BQ315" i="76"/>
  <c r="BQ316" i="76"/>
  <c r="BQ317" i="76"/>
  <c r="BQ318" i="76"/>
  <c r="BQ319" i="76"/>
  <c r="BQ320" i="76"/>
  <c r="BQ321" i="76"/>
  <c r="BQ322" i="76"/>
  <c r="BQ323" i="76"/>
  <c r="BQ324" i="76"/>
  <c r="BQ325" i="76"/>
  <c r="BQ326" i="76"/>
  <c r="BQ327" i="76"/>
  <c r="BQ328" i="76"/>
  <c r="BQ329" i="76"/>
  <c r="BQ330" i="76"/>
  <c r="BQ331" i="76"/>
  <c r="BQ332" i="76"/>
  <c r="BQ333" i="76"/>
  <c r="BQ334" i="76"/>
  <c r="BQ335" i="76"/>
  <c r="BQ336" i="76"/>
  <c r="BQ337" i="76"/>
  <c r="BQ338" i="76"/>
  <c r="BQ339" i="76"/>
  <c r="BQ340" i="76"/>
  <c r="BQ341" i="76"/>
  <c r="BQ342" i="76"/>
  <c r="BQ343" i="76"/>
  <c r="BQ344" i="76"/>
  <c r="BQ345" i="76"/>
  <c r="BQ346" i="76"/>
  <c r="BQ347" i="76"/>
  <c r="BQ348" i="76"/>
  <c r="BQ349" i="76"/>
  <c r="BQ350" i="76"/>
  <c r="BQ351" i="76"/>
  <c r="BQ352" i="76"/>
  <c r="BQ353" i="76"/>
  <c r="BQ354" i="76"/>
  <c r="BQ355" i="76"/>
  <c r="BQ356" i="76"/>
  <c r="BQ357" i="76"/>
  <c r="BQ358" i="76"/>
  <c r="BQ359" i="76"/>
  <c r="BQ360" i="76"/>
  <c r="BQ361" i="76"/>
  <c r="BQ362" i="76"/>
  <c r="BQ363" i="76"/>
  <c r="BQ364" i="76"/>
  <c r="BQ365" i="76"/>
  <c r="BQ366" i="76"/>
  <c r="BQ367" i="76"/>
  <c r="BQ368" i="76"/>
  <c r="BQ369" i="76"/>
  <c r="BQ370" i="76"/>
  <c r="BQ371" i="76"/>
  <c r="BQ372" i="76"/>
  <c r="BQ373" i="76"/>
  <c r="BQ374" i="76"/>
  <c r="BQ375" i="76"/>
  <c r="BQ376" i="76"/>
  <c r="BQ377" i="76"/>
  <c r="BQ378" i="76"/>
  <c r="BQ379" i="76"/>
  <c r="BQ380" i="76"/>
  <c r="BQ381" i="76"/>
  <c r="BQ382" i="76"/>
  <c r="BQ383" i="76"/>
  <c r="BQ384" i="76"/>
  <c r="BQ385" i="76"/>
  <c r="BQ386" i="76"/>
  <c r="BQ387" i="76"/>
  <c r="BQ388" i="76"/>
  <c r="BQ418" i="76"/>
  <c r="BQ389" i="76"/>
  <c r="BQ390" i="76"/>
  <c r="BQ391" i="76"/>
  <c r="BQ392" i="76"/>
  <c r="BQ393" i="76"/>
  <c r="BQ394" i="76"/>
  <c r="BQ395" i="76"/>
  <c r="BQ396" i="76"/>
  <c r="BQ397" i="76"/>
  <c r="BQ398" i="76"/>
  <c r="BQ399" i="76"/>
  <c r="BQ400" i="76"/>
  <c r="BQ401" i="76"/>
  <c r="BQ402" i="76"/>
  <c r="BQ403" i="76"/>
  <c r="BQ404" i="76"/>
  <c r="BQ405" i="76"/>
  <c r="BQ406" i="76"/>
  <c r="BQ407" i="76"/>
  <c r="BQ408" i="76"/>
  <c r="BQ409" i="76"/>
  <c r="BQ410" i="76"/>
  <c r="BQ411" i="76"/>
  <c r="BQ412" i="76"/>
  <c r="BQ413" i="76"/>
  <c r="BQ414" i="76"/>
  <c r="BQ415" i="76"/>
  <c r="BQ416" i="76"/>
  <c r="BQ417" i="76"/>
  <c r="BQ419" i="76"/>
  <c r="BQ420" i="76"/>
  <c r="BQ421" i="76"/>
  <c r="BQ422" i="76"/>
  <c r="BQ423" i="76"/>
  <c r="BQ424" i="76"/>
  <c r="BQ425" i="76"/>
  <c r="BQ426" i="76"/>
  <c r="BQ427" i="76"/>
  <c r="BQ428" i="76"/>
  <c r="BQ429" i="76"/>
  <c r="BQ430" i="76"/>
  <c r="BQ431" i="76"/>
  <c r="BQ432" i="76"/>
  <c r="BQ433" i="76"/>
  <c r="BQ434" i="76"/>
  <c r="BQ435" i="76"/>
  <c r="BQ436" i="76"/>
  <c r="BQ437" i="76"/>
  <c r="BQ438" i="76"/>
  <c r="BQ439" i="76"/>
  <c r="BQ440" i="76"/>
  <c r="BQ441" i="76"/>
  <c r="BQ442" i="76"/>
  <c r="BQ443" i="76"/>
  <c r="BQ444" i="76"/>
  <c r="BQ445" i="76"/>
  <c r="BQ446" i="76"/>
  <c r="BQ447" i="76"/>
  <c r="BQ448" i="76"/>
  <c r="BQ449" i="76"/>
  <c r="BQ450" i="76"/>
  <c r="BQ451" i="76"/>
  <c r="BQ452" i="76"/>
  <c r="BQ453" i="76"/>
  <c r="BQ454" i="76"/>
  <c r="BQ455" i="76"/>
  <c r="BQ456" i="76"/>
  <c r="BQ457" i="76"/>
  <c r="BQ458" i="76"/>
  <c r="BQ459" i="76"/>
  <c r="BQ460" i="76"/>
  <c r="BQ461" i="76"/>
  <c r="BQ462" i="76"/>
  <c r="BQ463" i="76"/>
  <c r="BQ464" i="76"/>
  <c r="BQ465" i="76"/>
  <c r="BQ466" i="76"/>
  <c r="BQ467" i="76"/>
  <c r="BQ468" i="76"/>
  <c r="BQ469" i="76"/>
  <c r="BQ470" i="76"/>
  <c r="BQ471" i="76"/>
  <c r="BQ472" i="76"/>
  <c r="BQ473" i="76"/>
  <c r="BQ474" i="76"/>
  <c r="BQ475" i="76"/>
  <c r="BQ476" i="76"/>
  <c r="BQ477" i="76"/>
  <c r="BQ478" i="76"/>
  <c r="BQ479" i="76"/>
  <c r="BQ486" i="76"/>
  <c r="BQ480" i="76"/>
  <c r="BQ481" i="76"/>
  <c r="BQ482" i="76"/>
  <c r="BQ483" i="76"/>
  <c r="BQ484" i="76"/>
  <c r="BQ485" i="76"/>
  <c r="BQ487" i="76"/>
  <c r="BQ488" i="76"/>
  <c r="BQ489" i="76"/>
  <c r="BQ490" i="76"/>
  <c r="BQ491" i="76"/>
  <c r="BQ492" i="76"/>
  <c r="BQ493" i="76"/>
  <c r="BQ494" i="76"/>
  <c r="BQ495" i="76"/>
  <c r="BQ496" i="76"/>
  <c r="BQ497" i="76"/>
  <c r="BQ498" i="76"/>
  <c r="BQ499" i="76"/>
  <c r="BQ500" i="76"/>
  <c r="BQ501" i="76"/>
  <c r="BQ502" i="76"/>
  <c r="BQ503" i="76"/>
  <c r="BQ504" i="76"/>
  <c r="BQ505" i="76"/>
  <c r="BQ506" i="76"/>
  <c r="BQ507" i="76"/>
  <c r="BQ508" i="76"/>
  <c r="BQ509" i="76"/>
  <c r="BQ510" i="76"/>
  <c r="BQ511" i="76"/>
  <c r="BQ512" i="76"/>
  <c r="BQ513" i="76"/>
  <c r="BQ514" i="76"/>
  <c r="BQ515" i="76"/>
  <c r="BQ516" i="76"/>
  <c r="BQ517" i="76"/>
  <c r="BQ518" i="76"/>
  <c r="BQ519" i="76"/>
  <c r="BQ520" i="76"/>
  <c r="BQ521" i="76"/>
  <c r="BQ522" i="76"/>
  <c r="BQ523" i="76"/>
  <c r="BQ524" i="76"/>
  <c r="BQ525" i="76"/>
  <c r="BQ526" i="76"/>
  <c r="BQ527" i="76"/>
  <c r="BQ528" i="76"/>
  <c r="BQ529" i="76"/>
  <c r="BQ530" i="76"/>
  <c r="BQ531" i="76"/>
  <c r="BQ532" i="76"/>
  <c r="BQ533" i="76"/>
  <c r="BQ534" i="76"/>
  <c r="BQ535" i="76"/>
  <c r="BQ536" i="76"/>
  <c r="BQ537" i="76"/>
  <c r="BQ538" i="76"/>
  <c r="BQ539" i="76"/>
  <c r="BQ540" i="76"/>
  <c r="BQ541" i="76"/>
  <c r="BQ542" i="76"/>
  <c r="BQ543" i="76"/>
  <c r="BQ544" i="76"/>
  <c r="BQ546" i="76"/>
  <c r="BQ547" i="76"/>
  <c r="BQ548" i="76"/>
  <c r="BQ549" i="76"/>
  <c r="BQ550" i="76"/>
  <c r="BQ551" i="76"/>
  <c r="BQ552" i="76"/>
  <c r="BQ553" i="76"/>
  <c r="BQ554" i="76"/>
  <c r="BQ555" i="76"/>
  <c r="BQ556" i="76"/>
  <c r="BQ557" i="76"/>
  <c r="BQ558" i="76"/>
  <c r="BQ559" i="76"/>
  <c r="BQ560" i="76"/>
  <c r="BQ561" i="76"/>
  <c r="BQ571" i="76"/>
  <c r="BQ562" i="76"/>
  <c r="BQ563" i="76"/>
  <c r="BQ564" i="76"/>
  <c r="BQ565" i="76"/>
  <c r="BQ566" i="76"/>
  <c r="BQ567" i="76"/>
  <c r="BQ568" i="76"/>
  <c r="BQ569" i="76"/>
  <c r="BQ570" i="76"/>
  <c r="BQ572" i="76"/>
  <c r="BQ573" i="76"/>
  <c r="BQ574" i="76"/>
  <c r="BQ575" i="76"/>
  <c r="BQ576" i="76"/>
  <c r="BQ577" i="76"/>
  <c r="BQ578" i="76"/>
  <c r="BQ579" i="76"/>
  <c r="BQ580" i="76"/>
  <c r="BQ581" i="76"/>
  <c r="BQ582" i="76"/>
  <c r="BQ583" i="76"/>
  <c r="BQ584" i="76"/>
  <c r="BQ585" i="76"/>
  <c r="BQ586" i="76"/>
  <c r="BQ587" i="76"/>
  <c r="BQ588" i="76"/>
  <c r="BQ589" i="76"/>
  <c r="BQ590" i="76"/>
  <c r="BQ591" i="76"/>
  <c r="BQ592" i="76"/>
  <c r="BQ593" i="76"/>
  <c r="BQ594" i="76"/>
  <c r="BQ595" i="76"/>
  <c r="BQ596" i="76"/>
  <c r="BQ597" i="76"/>
  <c r="BQ598" i="76"/>
  <c r="BQ599" i="76"/>
  <c r="BQ600" i="76"/>
  <c r="BQ601" i="76"/>
  <c r="BQ602" i="76"/>
  <c r="BQ603" i="76"/>
  <c r="BQ604" i="76"/>
  <c r="BQ605" i="76"/>
  <c r="BQ606" i="76"/>
  <c r="BQ607" i="76"/>
  <c r="BQ608" i="76"/>
  <c r="BQ609" i="76"/>
  <c r="BQ610" i="76"/>
  <c r="BQ611" i="76"/>
  <c r="BQ612" i="76"/>
  <c r="BQ613" i="76"/>
  <c r="BQ614" i="76"/>
  <c r="BQ615" i="76"/>
  <c r="BQ616" i="76"/>
  <c r="BQ617" i="76"/>
  <c r="BQ618" i="76"/>
  <c r="BQ619" i="76"/>
  <c r="BQ620" i="76"/>
  <c r="BQ621" i="76"/>
  <c r="BQ622" i="76"/>
  <c r="BQ623" i="76"/>
  <c r="BQ624" i="76"/>
  <c r="BQ625" i="76"/>
  <c r="BQ626" i="76"/>
  <c r="BQ627" i="76"/>
  <c r="BQ628" i="76"/>
  <c r="BQ629" i="76"/>
  <c r="BQ630" i="76"/>
  <c r="BQ631" i="76"/>
  <c r="BQ632" i="76"/>
  <c r="BQ633" i="76"/>
  <c r="BQ634" i="76"/>
  <c r="BQ635" i="76"/>
  <c r="BQ636" i="76"/>
  <c r="BQ637" i="76"/>
  <c r="BQ638" i="76"/>
  <c r="BQ639" i="76"/>
  <c r="BQ640" i="76"/>
  <c r="BQ641" i="76"/>
  <c r="BQ642" i="76"/>
  <c r="BQ643" i="76"/>
  <c r="BQ644" i="76"/>
  <c r="BQ645" i="76"/>
  <c r="BQ646" i="76"/>
  <c r="BQ647" i="76"/>
  <c r="BQ648" i="76"/>
  <c r="BQ649" i="76"/>
  <c r="BQ650" i="76"/>
  <c r="BQ651" i="76"/>
  <c r="BQ652" i="76"/>
  <c r="BQ653" i="76"/>
  <c r="BQ654" i="76"/>
  <c r="BQ655" i="76"/>
  <c r="BQ656" i="76"/>
  <c r="BQ657" i="76"/>
  <c r="BQ658" i="76"/>
  <c r="BQ660" i="76"/>
  <c r="BQ661" i="76"/>
  <c r="BQ662" i="76"/>
  <c r="BQ663" i="76"/>
  <c r="BQ664" i="76"/>
  <c r="BQ665" i="76"/>
  <c r="BQ666" i="76"/>
  <c r="BQ667" i="76"/>
  <c r="BQ668" i="76"/>
  <c r="BQ669" i="76"/>
  <c r="BQ670" i="76"/>
  <c r="BQ671" i="76"/>
  <c r="BQ672" i="76"/>
  <c r="BQ673" i="76"/>
  <c r="BQ674" i="76"/>
  <c r="BQ675" i="76"/>
  <c r="BQ676" i="76"/>
  <c r="BQ677" i="76"/>
  <c r="BQ678" i="76"/>
  <c r="BQ679" i="76"/>
  <c r="BQ680" i="76"/>
  <c r="BQ681" i="76"/>
  <c r="BQ682" i="76"/>
  <c r="BQ683" i="76"/>
  <c r="BQ684" i="76"/>
  <c r="BQ685" i="76"/>
  <c r="BQ686" i="76"/>
  <c r="BQ687" i="76"/>
  <c r="BQ688" i="76"/>
  <c r="BQ689" i="76"/>
  <c r="BQ690" i="76"/>
  <c r="BQ691" i="76"/>
  <c r="BQ692" i="76"/>
  <c r="BQ693" i="76"/>
  <c r="BQ694" i="76"/>
  <c r="BQ695" i="76"/>
  <c r="BQ696" i="76"/>
  <c r="BQ697" i="76"/>
  <c r="BQ698" i="76"/>
  <c r="BQ699" i="76"/>
  <c r="BQ700" i="76"/>
  <c r="BQ701" i="76"/>
  <c r="BQ702" i="76"/>
  <c r="BQ703" i="76"/>
  <c r="BQ704" i="76"/>
  <c r="BQ705" i="76"/>
  <c r="BQ706" i="76"/>
  <c r="BQ707" i="76"/>
  <c r="BQ708" i="76"/>
  <c r="BQ709" i="76"/>
  <c r="BQ710" i="76"/>
  <c r="BQ711" i="76"/>
  <c r="BQ712" i="76"/>
  <c r="BQ713" i="76"/>
  <c r="BQ714" i="76"/>
  <c r="BQ715" i="76"/>
  <c r="BQ716" i="76"/>
  <c r="BQ717" i="76"/>
  <c r="BQ545" i="76"/>
  <c r="BQ718" i="76"/>
  <c r="BQ719" i="76"/>
  <c r="BQ720" i="76"/>
  <c r="BQ721" i="76"/>
  <c r="BQ722" i="76"/>
  <c r="BQ723" i="76"/>
  <c r="BQ724" i="76"/>
  <c r="BQ725" i="76"/>
  <c r="BQ726" i="76"/>
  <c r="BQ727" i="76"/>
  <c r="BQ728" i="76"/>
  <c r="BQ729" i="76"/>
  <c r="BQ730" i="76"/>
  <c r="BQ731" i="76"/>
  <c r="BQ732" i="76"/>
  <c r="BQ733" i="76"/>
  <c r="BQ734" i="76"/>
  <c r="BQ735" i="76"/>
  <c r="BQ741" i="76"/>
  <c r="BQ742" i="76"/>
  <c r="BQ743" i="76"/>
  <c r="BQ744" i="76"/>
  <c r="BQ745" i="76"/>
  <c r="BQ746" i="76"/>
  <c r="BQ747" i="76"/>
  <c r="BQ748" i="76"/>
  <c r="BQ749" i="76"/>
  <c r="BQ750" i="76"/>
  <c r="BQ751" i="76"/>
  <c r="BQ752" i="76"/>
  <c r="BQ753" i="76"/>
  <c r="BQ754" i="76"/>
  <c r="BQ755" i="76"/>
  <c r="BQ756" i="76"/>
  <c r="BQ757" i="76"/>
  <c r="BQ758" i="76"/>
  <c r="BQ759" i="76"/>
  <c r="BQ760" i="76"/>
  <c r="BQ761" i="76"/>
  <c r="BQ762" i="76"/>
  <c r="BQ763" i="76"/>
  <c r="BQ764" i="76"/>
  <c r="BQ765" i="76"/>
  <c r="BQ766" i="76"/>
  <c r="BQ767" i="76"/>
  <c r="BQ768" i="76"/>
  <c r="BQ769" i="76"/>
  <c r="BQ770" i="76"/>
  <c r="BQ771" i="76"/>
  <c r="BQ772" i="76"/>
  <c r="BQ773" i="76"/>
  <c r="BQ774" i="76"/>
  <c r="BQ775" i="76"/>
  <c r="BQ776" i="76"/>
  <c r="BQ777" i="76"/>
  <c r="BQ778" i="76"/>
  <c r="BQ779" i="76"/>
  <c r="BQ780" i="76"/>
  <c r="BQ781" i="76"/>
  <c r="BQ782" i="76"/>
  <c r="BQ783" i="76"/>
  <c r="BQ784" i="76"/>
  <c r="BQ785" i="76"/>
  <c r="BQ786" i="76"/>
  <c r="BQ787" i="76"/>
  <c r="BQ788" i="76"/>
  <c r="BQ789" i="76"/>
  <c r="BQ790" i="76"/>
  <c r="BQ791" i="76"/>
  <c r="BQ792" i="76"/>
  <c r="BQ793" i="76"/>
  <c r="BQ794" i="76"/>
  <c r="BQ795" i="76"/>
  <c r="BQ796" i="76"/>
  <c r="BQ797" i="76"/>
  <c r="BQ798" i="76"/>
  <c r="BQ799" i="76"/>
  <c r="BQ800" i="76"/>
  <c r="BQ801" i="76"/>
  <c r="BQ803" i="76"/>
  <c r="BQ804" i="76"/>
  <c r="BQ805" i="76"/>
  <c r="BQ806" i="76"/>
  <c r="BQ807" i="76"/>
  <c r="BQ808" i="76"/>
  <c r="BQ809" i="76"/>
  <c r="BQ802" i="76"/>
  <c r="BQ810" i="76"/>
  <c r="BQ811" i="76"/>
  <c r="BQ812" i="76"/>
  <c r="BQ813" i="76"/>
  <c r="BQ814" i="76"/>
  <c r="BQ815" i="76"/>
  <c r="BQ816" i="76"/>
  <c r="BQ817" i="76"/>
  <c r="BQ818" i="76"/>
  <c r="BQ819" i="76"/>
  <c r="BQ820" i="76"/>
  <c r="BQ821" i="76"/>
  <c r="BQ822" i="76"/>
  <c r="BQ823" i="76"/>
  <c r="BQ824" i="76"/>
  <c r="BQ825" i="76"/>
  <c r="BQ826" i="76"/>
  <c r="BQ827" i="76"/>
  <c r="BQ828" i="76"/>
  <c r="BQ829" i="76"/>
  <c r="BQ830" i="76"/>
  <c r="BQ831" i="76"/>
  <c r="BQ832" i="76"/>
  <c r="BQ833" i="76"/>
  <c r="BQ834" i="76"/>
  <c r="BQ835" i="76"/>
  <c r="BQ836" i="76"/>
  <c r="BQ837" i="76"/>
  <c r="BQ838" i="76"/>
  <c r="BQ839" i="76"/>
  <c r="BQ840" i="76"/>
  <c r="BQ841" i="76"/>
  <c r="BQ842" i="76"/>
  <c r="BQ843" i="76"/>
  <c r="BQ844" i="76"/>
  <c r="BQ845" i="76"/>
  <c r="BQ846" i="76"/>
  <c r="BQ847" i="76"/>
  <c r="BQ848" i="76"/>
  <c r="BQ849" i="76"/>
  <c r="BQ850" i="76"/>
  <c r="BQ851" i="76"/>
  <c r="BQ852" i="76"/>
  <c r="BQ853" i="76"/>
  <c r="BQ854" i="76"/>
  <c r="BQ855" i="76"/>
  <c r="BQ856" i="76"/>
  <c r="BQ857" i="76"/>
  <c r="BQ858" i="76"/>
  <c r="BQ859" i="76"/>
  <c r="BQ860" i="76"/>
  <c r="BQ861" i="76"/>
  <c r="BQ862" i="76"/>
  <c r="BQ863" i="76"/>
  <c r="BQ864" i="76"/>
  <c r="BQ865" i="76"/>
  <c r="BQ866" i="76"/>
  <c r="BQ867" i="76"/>
  <c r="BQ868" i="76"/>
  <c r="BQ869" i="76"/>
  <c r="BQ870" i="76"/>
  <c r="BQ871" i="76"/>
  <c r="BQ872" i="76"/>
  <c r="BQ873" i="76"/>
  <c r="BQ874" i="76"/>
  <c r="BQ875" i="76"/>
  <c r="BQ876" i="76"/>
  <c r="BQ877" i="76"/>
  <c r="BQ878" i="76"/>
  <c r="BQ879" i="76"/>
  <c r="BQ880" i="76"/>
  <c r="BQ881" i="76"/>
  <c r="BQ882" i="76"/>
  <c r="BQ883" i="76"/>
  <c r="BQ884" i="76"/>
  <c r="BQ885" i="76"/>
  <c r="BQ886" i="76"/>
  <c r="BQ887" i="76"/>
  <c r="BQ888" i="76"/>
  <c r="BQ889" i="76"/>
  <c r="BQ890" i="76"/>
  <c r="BQ891" i="76"/>
  <c r="BQ892" i="76"/>
  <c r="BQ893" i="76"/>
  <c r="BQ894" i="76"/>
  <c r="BQ895" i="76"/>
  <c r="BQ896" i="76"/>
  <c r="BQ897" i="76"/>
  <c r="BQ898" i="76"/>
  <c r="BQ899" i="76"/>
  <c r="BQ900" i="76"/>
  <c r="BQ901" i="76"/>
  <c r="BQ902" i="76"/>
  <c r="BQ903" i="76"/>
  <c r="BQ904" i="76"/>
  <c r="BQ905" i="76"/>
  <c r="BQ906" i="76"/>
  <c r="BQ907" i="76"/>
  <c r="BQ908" i="76"/>
  <c r="BQ909" i="76"/>
  <c r="BQ910" i="76"/>
  <c r="BQ911" i="76"/>
  <c r="BQ912" i="76"/>
  <c r="BQ913" i="76"/>
  <c r="BQ914" i="76"/>
  <c r="BQ915" i="76"/>
  <c r="BQ916" i="76"/>
  <c r="BQ917" i="76"/>
  <c r="BQ918" i="76"/>
  <c r="BQ919" i="76"/>
  <c r="BQ920" i="76"/>
  <c r="BQ921" i="76"/>
  <c r="BQ922" i="76"/>
  <c r="BQ923" i="76"/>
  <c r="BQ924" i="76"/>
  <c r="BQ925" i="76"/>
  <c r="BQ926" i="76"/>
  <c r="BQ927" i="76"/>
  <c r="BQ928" i="76"/>
  <c r="BQ929" i="76"/>
  <c r="BQ930" i="76"/>
  <c r="BQ931" i="76"/>
  <c r="BQ932" i="76"/>
  <c r="BQ933" i="76"/>
  <c r="BQ934" i="76"/>
  <c r="BQ935" i="76"/>
  <c r="BQ936" i="76"/>
  <c r="BQ937" i="76"/>
  <c r="BQ938" i="76"/>
  <c r="BQ939" i="76"/>
  <c r="BQ940" i="76"/>
  <c r="BQ941" i="76"/>
  <c r="BQ942" i="76"/>
  <c r="BQ943" i="76"/>
  <c r="BQ944" i="76"/>
  <c r="BQ945" i="76"/>
  <c r="BQ946" i="76"/>
  <c r="BQ947" i="76"/>
  <c r="BQ948" i="76"/>
  <c r="BQ949" i="76"/>
  <c r="BQ950" i="76"/>
  <c r="BQ951" i="76"/>
  <c r="BQ952" i="76"/>
  <c r="BQ953" i="76"/>
  <c r="BQ954" i="76"/>
  <c r="BQ955" i="76"/>
  <c r="BQ956" i="76"/>
  <c r="BQ957" i="76"/>
  <c r="BQ958" i="76"/>
  <c r="BQ959" i="76"/>
  <c r="BQ960" i="76"/>
  <c r="BQ961" i="76"/>
  <c r="BQ962" i="76"/>
  <c r="BQ963" i="76"/>
  <c r="BQ964" i="76"/>
  <c r="BQ965" i="76"/>
  <c r="BQ966" i="76"/>
  <c r="BQ967" i="76"/>
  <c r="BQ968" i="76"/>
  <c r="BQ969" i="76"/>
  <c r="BQ970" i="76"/>
  <c r="BQ971" i="76"/>
  <c r="BQ972" i="76"/>
  <c r="BQ973" i="76"/>
  <c r="BQ974" i="76"/>
  <c r="BQ975" i="76"/>
  <c r="BQ976" i="76"/>
  <c r="BQ977" i="76"/>
  <c r="BQ978" i="76"/>
  <c r="BQ979" i="76"/>
  <c r="BQ980" i="76"/>
  <c r="BQ981" i="76"/>
  <c r="BQ982" i="76"/>
  <c r="BQ983" i="76"/>
  <c r="BQ984" i="76"/>
  <c r="BQ985" i="76"/>
  <c r="BQ986" i="76"/>
  <c r="BQ987" i="76"/>
  <c r="BQ988" i="76"/>
  <c r="BQ989" i="76"/>
  <c r="BQ990" i="76"/>
  <c r="BQ991" i="76"/>
  <c r="BQ992" i="76"/>
  <c r="BQ993" i="76"/>
  <c r="BQ994" i="76"/>
  <c r="BQ995" i="76"/>
  <c r="BQ996" i="76"/>
  <c r="BQ997" i="76"/>
  <c r="BQ998" i="76"/>
  <c r="BQ999" i="76"/>
  <c r="BQ1000" i="76"/>
  <c r="BQ1001" i="76"/>
  <c r="BQ1002" i="76"/>
  <c r="BQ1003" i="76"/>
  <c r="BQ1004" i="76"/>
  <c r="BQ1005" i="76"/>
  <c r="BQ1006" i="76"/>
  <c r="BQ1007" i="76"/>
  <c r="BQ1008" i="76"/>
  <c r="BQ1009" i="76"/>
  <c r="BQ1010" i="76"/>
  <c r="BQ1011" i="76"/>
  <c r="BQ1012" i="76"/>
  <c r="BQ1013" i="76"/>
  <c r="BQ1014" i="76"/>
  <c r="BQ1015" i="76"/>
  <c r="BQ1016" i="76"/>
  <c r="BQ1017" i="76"/>
  <c r="BQ1018" i="76"/>
  <c r="BQ1019" i="76"/>
  <c r="BQ1020" i="76"/>
  <c r="BQ1021" i="76"/>
  <c r="BQ1022" i="76"/>
  <c r="BQ1023" i="76"/>
  <c r="BQ1024" i="76"/>
  <c r="BQ1025" i="76"/>
  <c r="BQ1026" i="76"/>
  <c r="BQ1027" i="76"/>
  <c r="BQ1028" i="76"/>
  <c r="BQ1029" i="76"/>
  <c r="BQ1030" i="76"/>
  <c r="BQ1031" i="76"/>
  <c r="BQ1032" i="76"/>
  <c r="BQ1033" i="76"/>
  <c r="BQ1034" i="76"/>
  <c r="BQ1035" i="76"/>
  <c r="BQ1036" i="76"/>
  <c r="BQ1037" i="76"/>
  <c r="O482" i="76"/>
  <c r="X562" i="76"/>
  <c r="V562" i="76"/>
  <c r="S1009" i="76"/>
  <c r="S936" i="76"/>
  <c r="S932" i="76"/>
  <c r="S912" i="76"/>
  <c r="S880" i="76"/>
  <c r="S765" i="76"/>
  <c r="S686" i="76"/>
  <c r="S682" i="76"/>
  <c r="S669" i="76"/>
  <c r="S655" i="76"/>
  <c r="S642" i="76"/>
  <c r="S638" i="76"/>
  <c r="S623" i="76"/>
  <c r="S566" i="76"/>
  <c r="S562" i="76"/>
  <c r="S456" i="76"/>
  <c r="S452" i="76"/>
  <c r="S431" i="76"/>
  <c r="S395" i="76"/>
  <c r="S375" i="76"/>
  <c r="S371" i="76"/>
  <c r="S353" i="76"/>
  <c r="S323" i="76"/>
  <c r="S318" i="76"/>
  <c r="S264" i="76"/>
  <c r="S155" i="76"/>
  <c r="S151" i="76"/>
  <c r="S147" i="76"/>
  <c r="S117" i="76"/>
  <c r="S104" i="76"/>
  <c r="S69" i="76"/>
  <c r="S42" i="76"/>
  <c r="S38" i="76"/>
  <c r="S20" i="76"/>
  <c r="M894" i="76"/>
  <c r="X894" i="76" s="1"/>
  <c r="X482" i="76" l="1"/>
  <c r="W482" i="76"/>
  <c r="S127" i="76"/>
  <c r="S419" i="76"/>
  <c r="S16" i="76"/>
  <c r="S90" i="76"/>
  <c r="S195" i="76"/>
  <c r="S225" i="76"/>
  <c r="S364" i="76"/>
  <c r="S462" i="76"/>
  <c r="S31" i="76"/>
  <c r="S110" i="76"/>
  <c r="S112" i="76" s="1"/>
  <c r="S122" i="76"/>
  <c r="S133" i="76"/>
  <c r="S220" i="76"/>
  <c r="S270" i="76"/>
  <c r="S331" i="76"/>
  <c r="S474" i="76"/>
  <c r="S495" i="76"/>
  <c r="S530" i="76"/>
  <c r="S536" i="76"/>
  <c r="S593" i="76"/>
  <c r="S606" i="76"/>
  <c r="S703" i="76"/>
  <c r="S744" i="76"/>
  <c r="S791" i="76"/>
  <c r="S844" i="76"/>
  <c r="S861" i="76"/>
  <c r="S888" i="76"/>
  <c r="S942" i="76"/>
  <c r="S380" i="76"/>
  <c r="S382" i="76" s="1"/>
  <c r="S410" i="76"/>
  <c r="S598" i="76"/>
  <c r="S665" i="76"/>
  <c r="S724" i="76"/>
  <c r="S849" i="76"/>
  <c r="X546" i="76"/>
  <c r="S512" i="76"/>
  <c r="S585" i="76"/>
  <c r="S614" i="76"/>
  <c r="S648" i="76"/>
  <c r="S650" i="76" s="1"/>
  <c r="S178" i="76"/>
  <c r="S250" i="76"/>
  <c r="S343" i="76"/>
  <c r="S427" i="76"/>
  <c r="S507" i="76"/>
  <c r="S546" i="76"/>
  <c r="S675" i="76"/>
  <c r="S714" i="76"/>
  <c r="S761" i="76"/>
  <c r="S780" i="76"/>
  <c r="S804" i="76"/>
  <c r="S812" i="76"/>
  <c r="S825" i="76"/>
  <c r="S836" i="76"/>
  <c r="S868" i="76"/>
  <c r="S876" i="76"/>
  <c r="S890" i="76" s="1"/>
  <c r="S904" i="76"/>
  <c r="S917" i="76"/>
  <c r="S65" i="76"/>
  <c r="S162" i="76"/>
  <c r="S164" i="76" s="1"/>
  <c r="S695" i="76"/>
  <c r="S697" i="76" s="1"/>
  <c r="S1005" i="76"/>
  <c r="S1033" i="76"/>
  <c r="S82" i="76"/>
  <c r="S50" i="76"/>
  <c r="S52" i="76" s="1"/>
  <c r="S75" i="76"/>
  <c r="S171" i="76"/>
  <c r="S188" i="76"/>
  <c r="S448" i="76"/>
  <c r="S487" i="76"/>
  <c r="S555" i="76"/>
  <c r="S631" i="76"/>
  <c r="S709" i="76"/>
  <c r="S750" i="76"/>
  <c r="S59" i="76"/>
  <c r="S96" i="76"/>
  <c r="S140" i="76"/>
  <c r="S232" i="76"/>
  <c r="S241" i="76"/>
  <c r="S260" i="76"/>
  <c r="S277" i="76"/>
  <c r="S289" i="76"/>
  <c r="S302" i="76"/>
  <c r="S314" i="76"/>
  <c r="S349" i="76"/>
  <c r="S358" i="76"/>
  <c r="S405" i="76"/>
  <c r="S437" i="76"/>
  <c r="S520" i="76"/>
  <c r="S541" i="76"/>
  <c r="S574" i="76"/>
  <c r="S579" i="76"/>
  <c r="S619" i="76"/>
  <c r="S719" i="76"/>
  <c r="S770" i="76"/>
  <c r="S796" i="76"/>
  <c r="S820" i="76"/>
  <c r="S830" i="76"/>
  <c r="S923" i="76"/>
  <c r="S952" i="76"/>
  <c r="V419" i="76"/>
  <c r="V546" i="76"/>
  <c r="W562" i="76"/>
  <c r="P1033" i="76"/>
  <c r="Q1033" i="76"/>
  <c r="R1033" i="76"/>
  <c r="M1033" i="76"/>
  <c r="P1009" i="76"/>
  <c r="Q1009" i="76"/>
  <c r="R1009" i="76"/>
  <c r="P1005" i="76"/>
  <c r="Q1005" i="76"/>
  <c r="R1005" i="76"/>
  <c r="M1009" i="76"/>
  <c r="P825" i="76"/>
  <c r="Q825" i="76"/>
  <c r="R825" i="76"/>
  <c r="M825" i="76"/>
  <c r="P770" i="76"/>
  <c r="Q770" i="76"/>
  <c r="R770" i="76"/>
  <c r="P765" i="76"/>
  <c r="Q765" i="76"/>
  <c r="R765" i="76"/>
  <c r="M765" i="76"/>
  <c r="M770" i="76"/>
  <c r="R456" i="76"/>
  <c r="Q456" i="76"/>
  <c r="P456" i="76"/>
  <c r="M456" i="76"/>
  <c r="R318" i="76"/>
  <c r="Q318" i="76"/>
  <c r="P318" i="76"/>
  <c r="M318" i="76"/>
  <c r="R42" i="76"/>
  <c r="Q42" i="76"/>
  <c r="P42" i="76"/>
  <c r="M42" i="76"/>
  <c r="P20" i="76"/>
  <c r="Q20" i="76"/>
  <c r="R20" i="76"/>
  <c r="M20" i="76"/>
  <c r="O1029" i="76"/>
  <c r="O911" i="76"/>
  <c r="BQ4" i="76"/>
  <c r="X1029" i="76" l="1"/>
  <c r="W1029" i="76"/>
  <c r="X911" i="76"/>
  <c r="W911" i="76"/>
  <c r="O912" i="76"/>
  <c r="S439" i="76"/>
  <c r="S98" i="76"/>
  <c r="S608" i="76"/>
  <c r="S925" i="76"/>
  <c r="S782" i="76"/>
  <c r="S587" i="76"/>
  <c r="S333" i="76"/>
  <c r="S197" i="76"/>
  <c r="S752" i="76"/>
  <c r="S497" i="76"/>
  <c r="S412" i="76"/>
  <c r="S954" i="76"/>
  <c r="S814" i="76"/>
  <c r="S633" i="76"/>
  <c r="S522" i="76"/>
  <c r="S279" i="76"/>
  <c r="S142" i="76"/>
  <c r="S726" i="76"/>
  <c r="S476" i="76"/>
  <c r="S870" i="76"/>
  <c r="S677" i="76"/>
  <c r="S366" i="76"/>
  <c r="S304" i="76"/>
  <c r="S1035" i="76"/>
  <c r="S557" i="76"/>
  <c r="S838" i="76"/>
  <c r="S84" i="76"/>
  <c r="S252" i="76"/>
  <c r="W546" i="76"/>
  <c r="BP4" i="76"/>
  <c r="S499" i="76" l="1"/>
  <c r="S784" i="76"/>
  <c r="S927" i="76"/>
  <c r="O803" i="76"/>
  <c r="O867" i="76"/>
  <c r="O807" i="76"/>
  <c r="O824" i="76"/>
  <c r="O759" i="76"/>
  <c r="O693" i="76"/>
  <c r="O773" i="76"/>
  <c r="O717" i="76"/>
  <c r="O701" i="76"/>
  <c r="O779" i="76"/>
  <c r="O490" i="76"/>
  <c r="O485" i="76"/>
  <c r="O238" i="76"/>
  <c r="O465" i="76"/>
  <c r="O78" i="76"/>
  <c r="O390" i="76"/>
  <c r="O363" i="76"/>
  <c r="O287" i="76"/>
  <c r="O256" i="76"/>
  <c r="O138" i="76"/>
  <c r="O120" i="76"/>
  <c r="O9" i="76"/>
  <c r="X1009" i="76"/>
  <c r="X765" i="76"/>
  <c r="X456" i="76"/>
  <c r="X318" i="76"/>
  <c r="X42" i="76"/>
  <c r="X20" i="76"/>
  <c r="I1032" i="76"/>
  <c r="I1031" i="76"/>
  <c r="I1030" i="76"/>
  <c r="I1029" i="76"/>
  <c r="I1028" i="76"/>
  <c r="I1027" i="76"/>
  <c r="I1026" i="76"/>
  <c r="I1025" i="76"/>
  <c r="I1024" i="76"/>
  <c r="I1023" i="76"/>
  <c r="I1022" i="76"/>
  <c r="I1021" i="76"/>
  <c r="I1020" i="76"/>
  <c r="I1019" i="76"/>
  <c r="I1018" i="76"/>
  <c r="I1017" i="76"/>
  <c r="I1016" i="76"/>
  <c r="I1015" i="76"/>
  <c r="I1014" i="76"/>
  <c r="I1013" i="76"/>
  <c r="I1012" i="76"/>
  <c r="I1008" i="76"/>
  <c r="I1004" i="76"/>
  <c r="I1003" i="76"/>
  <c r="I1002" i="76"/>
  <c r="I1001" i="76"/>
  <c r="I1000" i="76"/>
  <c r="I999" i="76"/>
  <c r="I998" i="76"/>
  <c r="I997" i="76"/>
  <c r="I996" i="76"/>
  <c r="I995" i="76"/>
  <c r="I994" i="76"/>
  <c r="I993" i="76"/>
  <c r="I992" i="76"/>
  <c r="I991" i="76"/>
  <c r="I990" i="76"/>
  <c r="I989" i="76"/>
  <c r="I988" i="76"/>
  <c r="I987" i="76"/>
  <c r="I986" i="76"/>
  <c r="I985" i="76"/>
  <c r="I984" i="76"/>
  <c r="I983" i="76"/>
  <c r="I982" i="76"/>
  <c r="I981" i="76"/>
  <c r="I980" i="76"/>
  <c r="I979" i="76"/>
  <c r="I978" i="76"/>
  <c r="I977" i="76"/>
  <c r="I976" i="76"/>
  <c r="I975" i="76"/>
  <c r="I974" i="76"/>
  <c r="I973" i="76"/>
  <c r="I972" i="76"/>
  <c r="I971" i="76"/>
  <c r="I970" i="76"/>
  <c r="I969" i="76"/>
  <c r="I968" i="76"/>
  <c r="I967" i="76"/>
  <c r="I966" i="76"/>
  <c r="I965" i="76"/>
  <c r="I964" i="76"/>
  <c r="I963" i="76"/>
  <c r="I962" i="76"/>
  <c r="I961" i="76"/>
  <c r="I960" i="76"/>
  <c r="I959" i="76"/>
  <c r="I958" i="76"/>
  <c r="I951" i="76"/>
  <c r="I950" i="76"/>
  <c r="I949" i="76"/>
  <c r="I948" i="76"/>
  <c r="I947" i="76"/>
  <c r="I946" i="76"/>
  <c r="I945" i="76"/>
  <c r="I941" i="76"/>
  <c r="I940" i="76"/>
  <c r="I939" i="76"/>
  <c r="I935" i="76"/>
  <c r="I931" i="76"/>
  <c r="I922" i="76"/>
  <c r="I921" i="76"/>
  <c r="I916" i="76"/>
  <c r="I915" i="76"/>
  <c r="I911" i="76"/>
  <c r="I900" i="76"/>
  <c r="I899" i="76"/>
  <c r="I898" i="76"/>
  <c r="I897" i="76"/>
  <c r="I896" i="76"/>
  <c r="I895" i="76"/>
  <c r="I894" i="76"/>
  <c r="I887" i="76"/>
  <c r="I886" i="76"/>
  <c r="I885" i="76"/>
  <c r="I884" i="76"/>
  <c r="I883" i="76"/>
  <c r="I879" i="76"/>
  <c r="I875" i="76"/>
  <c r="I874" i="76"/>
  <c r="I867" i="76"/>
  <c r="I866" i="76"/>
  <c r="I865" i="76"/>
  <c r="I864" i="76"/>
  <c r="I860" i="76"/>
  <c r="I859" i="76"/>
  <c r="I858" i="76"/>
  <c r="I857" i="76"/>
  <c r="I856" i="76"/>
  <c r="I855" i="76"/>
  <c r="I854" i="76"/>
  <c r="I853" i="76"/>
  <c r="I852" i="76"/>
  <c r="I848" i="76"/>
  <c r="I847" i="76"/>
  <c r="I843" i="76"/>
  <c r="I842" i="76"/>
  <c r="I835" i="76"/>
  <c r="I834" i="76"/>
  <c r="I824" i="76"/>
  <c r="I833" i="76"/>
  <c r="I829" i="76"/>
  <c r="I828" i="76"/>
  <c r="I823" i="76"/>
  <c r="I819" i="76"/>
  <c r="I818" i="76"/>
  <c r="I811" i="76"/>
  <c r="I810" i="76"/>
  <c r="I809" i="76"/>
  <c r="I808" i="76"/>
  <c r="I807" i="76"/>
  <c r="I803" i="76"/>
  <c r="I801" i="76"/>
  <c r="I800" i="76"/>
  <c r="I799" i="76"/>
  <c r="I795" i="76"/>
  <c r="I794" i="76"/>
  <c r="I790" i="76"/>
  <c r="I789" i="76"/>
  <c r="I788" i="76"/>
  <c r="I779" i="76"/>
  <c r="I773" i="76"/>
  <c r="I768" i="76"/>
  <c r="I769" i="76"/>
  <c r="I764" i="76"/>
  <c r="I760" i="76"/>
  <c r="I759" i="76"/>
  <c r="I758" i="76"/>
  <c r="I757" i="76"/>
  <c r="I756" i="76"/>
  <c r="I749" i="76"/>
  <c r="I748" i="76"/>
  <c r="I747" i="76"/>
  <c r="I743" i="76"/>
  <c r="I742" i="76"/>
  <c r="I733" i="76"/>
  <c r="I732" i="76"/>
  <c r="I731" i="76"/>
  <c r="I730" i="76"/>
  <c r="I723" i="76"/>
  <c r="I545" i="76"/>
  <c r="I722" i="76"/>
  <c r="I718" i="76"/>
  <c r="I717" i="76"/>
  <c r="I713" i="76"/>
  <c r="I712" i="76"/>
  <c r="I708" i="76"/>
  <c r="I706" i="76"/>
  <c r="I702" i="76"/>
  <c r="I701" i="76"/>
  <c r="I694" i="76"/>
  <c r="I693" i="76"/>
  <c r="I692" i="76"/>
  <c r="I691" i="76"/>
  <c r="I690" i="76"/>
  <c r="I689" i="76"/>
  <c r="I685" i="76"/>
  <c r="I681" i="76"/>
  <c r="I674" i="76"/>
  <c r="I673" i="76"/>
  <c r="I672" i="76"/>
  <c r="I668" i="76"/>
  <c r="I664" i="76"/>
  <c r="I663" i="76"/>
  <c r="I658" i="76"/>
  <c r="I654" i="76"/>
  <c r="I647" i="76"/>
  <c r="I646" i="76"/>
  <c r="I645" i="76"/>
  <c r="I641" i="76"/>
  <c r="I637" i="76"/>
  <c r="I630" i="76"/>
  <c r="I628" i="76"/>
  <c r="I627" i="76"/>
  <c r="I626" i="76"/>
  <c r="I622" i="76"/>
  <c r="I618" i="76"/>
  <c r="I617" i="76"/>
  <c r="I613" i="76"/>
  <c r="I612" i="76"/>
  <c r="I605" i="76"/>
  <c r="I604" i="76"/>
  <c r="I603" i="76"/>
  <c r="I602" i="76"/>
  <c r="I601" i="76"/>
  <c r="I597" i="76"/>
  <c r="I596" i="76"/>
  <c r="I592" i="76"/>
  <c r="I591" i="76"/>
  <c r="I584" i="76"/>
  <c r="I583" i="76"/>
  <c r="I582" i="76"/>
  <c r="I572" i="76"/>
  <c r="I578" i="76"/>
  <c r="I577" i="76"/>
  <c r="I573" i="76"/>
  <c r="I570" i="76"/>
  <c r="I569" i="76"/>
  <c r="I565" i="76"/>
  <c r="I571" i="76"/>
  <c r="I561" i="76"/>
  <c r="I554" i="76"/>
  <c r="I553" i="76"/>
  <c r="I551" i="76"/>
  <c r="I550" i="76"/>
  <c r="I549" i="76"/>
  <c r="I544" i="76"/>
  <c r="I540" i="76"/>
  <c r="I539" i="76"/>
  <c r="I535" i="76"/>
  <c r="I534" i="76"/>
  <c r="I533" i="76"/>
  <c r="I529" i="76"/>
  <c r="I528" i="76"/>
  <c r="I527" i="76"/>
  <c r="I526" i="76"/>
  <c r="I519" i="76"/>
  <c r="I518" i="76"/>
  <c r="I517" i="76"/>
  <c r="I516" i="76"/>
  <c r="I515" i="76"/>
  <c r="I511" i="76"/>
  <c r="I510" i="76"/>
  <c r="I506" i="76"/>
  <c r="I505" i="76"/>
  <c r="I503" i="76"/>
  <c r="I491" i="76"/>
  <c r="I490" i="76"/>
  <c r="I485" i="76"/>
  <c r="I483" i="76"/>
  <c r="I482" i="76"/>
  <c r="I481" i="76"/>
  <c r="I480" i="76"/>
  <c r="I486" i="76"/>
  <c r="I473" i="76"/>
  <c r="I472" i="76"/>
  <c r="I471" i="76"/>
  <c r="I470" i="76"/>
  <c r="I469" i="76"/>
  <c r="I468" i="76"/>
  <c r="I467" i="76"/>
  <c r="I466" i="76"/>
  <c r="I465" i="76"/>
  <c r="I460" i="76"/>
  <c r="I461" i="76"/>
  <c r="I455" i="76"/>
  <c r="I459" i="76"/>
  <c r="I451" i="76"/>
  <c r="I447" i="76"/>
  <c r="I446" i="76"/>
  <c r="I445" i="76"/>
  <c r="I444" i="76"/>
  <c r="I443" i="76"/>
  <c r="I436" i="76"/>
  <c r="I435" i="76"/>
  <c r="I425" i="76"/>
  <c r="I434" i="76"/>
  <c r="I430" i="76"/>
  <c r="I426" i="76"/>
  <c r="I424" i="76"/>
  <c r="I423" i="76"/>
  <c r="I422" i="76"/>
  <c r="I417" i="76"/>
  <c r="I409" i="76"/>
  <c r="I403" i="76"/>
  <c r="I408" i="76"/>
  <c r="I404" i="76"/>
  <c r="I402" i="76"/>
  <c r="I400" i="76"/>
  <c r="I401" i="76"/>
  <c r="I399" i="76"/>
  <c r="I398" i="76"/>
  <c r="I394" i="76"/>
  <c r="I390" i="76"/>
  <c r="I389" i="76"/>
  <c r="I418" i="76"/>
  <c r="I388" i="76"/>
  <c r="I387" i="76"/>
  <c r="I386" i="76"/>
  <c r="I379" i="76"/>
  <c r="I378" i="76"/>
  <c r="I374" i="76"/>
  <c r="I370" i="76"/>
  <c r="I363" i="76"/>
  <c r="I362" i="76"/>
  <c r="I361" i="76"/>
  <c r="I357" i="76"/>
  <c r="I356" i="76"/>
  <c r="I352" i="76"/>
  <c r="I348" i="76"/>
  <c r="I347" i="76"/>
  <c r="I346" i="76"/>
  <c r="I342" i="76"/>
  <c r="I341" i="76"/>
  <c r="I340" i="76"/>
  <c r="I339" i="76"/>
  <c r="I338" i="76"/>
  <c r="I337" i="76"/>
  <c r="I330" i="76"/>
  <c r="I329" i="76"/>
  <c r="I328" i="76"/>
  <c r="I327" i="76"/>
  <c r="I326" i="76"/>
  <c r="I317" i="76"/>
  <c r="I322" i="76"/>
  <c r="I321" i="76"/>
  <c r="I313" i="76"/>
  <c r="I312" i="76"/>
  <c r="I311" i="76"/>
  <c r="I310" i="76"/>
  <c r="I309" i="76"/>
  <c r="I308" i="76"/>
  <c r="I301" i="76"/>
  <c r="I300" i="76"/>
  <c r="I299" i="76"/>
  <c r="I298" i="76"/>
  <c r="I293" i="76"/>
  <c r="I292" i="76"/>
  <c r="I288" i="76"/>
  <c r="I287" i="76"/>
  <c r="I286" i="76"/>
  <c r="I285" i="76"/>
  <c r="I284" i="76"/>
  <c r="I283" i="76"/>
  <c r="I276" i="76"/>
  <c r="I275" i="76"/>
  <c r="I274" i="76"/>
  <c r="I273" i="76"/>
  <c r="I269" i="76"/>
  <c r="I268" i="76"/>
  <c r="I267" i="76"/>
  <c r="I263" i="76"/>
  <c r="I259" i="76"/>
  <c r="I258" i="76"/>
  <c r="I257" i="76"/>
  <c r="I256" i="76"/>
  <c r="I249" i="76"/>
  <c r="I248" i="76"/>
  <c r="I247" i="76"/>
  <c r="I246" i="76"/>
  <c r="I245" i="76"/>
  <c r="I244" i="76"/>
  <c r="I240" i="76"/>
  <c r="I239" i="76"/>
  <c r="I238" i="76"/>
  <c r="I237" i="76"/>
  <c r="I236" i="76"/>
  <c r="I235" i="76"/>
  <c r="I231" i="76"/>
  <c r="I230" i="76"/>
  <c r="I229" i="76"/>
  <c r="I228" i="76"/>
  <c r="I224" i="76"/>
  <c r="I223" i="76"/>
  <c r="I219" i="76"/>
  <c r="I218" i="76"/>
  <c r="I217" i="76"/>
  <c r="I216" i="76"/>
  <c r="I215" i="76"/>
  <c r="I214" i="76"/>
  <c r="I213" i="76"/>
  <c r="I212" i="76"/>
  <c r="I211" i="76"/>
  <c r="I210" i="76"/>
  <c r="I209" i="76"/>
  <c r="I208" i="76"/>
  <c r="I207" i="76"/>
  <c r="I206" i="76"/>
  <c r="I205" i="76"/>
  <c r="I204" i="76"/>
  <c r="I203" i="76"/>
  <c r="I193" i="76"/>
  <c r="I192" i="76"/>
  <c r="I191" i="76"/>
  <c r="I185" i="76"/>
  <c r="I184" i="76"/>
  <c r="I183" i="76"/>
  <c r="I182" i="76"/>
  <c r="I181" i="76"/>
  <c r="I177" i="76"/>
  <c r="I176" i="76"/>
  <c r="I194" i="76"/>
  <c r="I175" i="76"/>
  <c r="I174" i="76"/>
  <c r="I170" i="76"/>
  <c r="I169" i="76"/>
  <c r="I168" i="76"/>
  <c r="I161" i="76"/>
  <c r="I160" i="76"/>
  <c r="I159" i="76"/>
  <c r="I158" i="76"/>
  <c r="I154" i="76"/>
  <c r="I150" i="76"/>
  <c r="I146" i="76"/>
  <c r="I139" i="76"/>
  <c r="I138" i="76"/>
  <c r="I137" i="76"/>
  <c r="I136" i="76"/>
  <c r="I132" i="76"/>
  <c r="I131" i="76"/>
  <c r="I130" i="76"/>
  <c r="I126" i="76"/>
  <c r="I125" i="76"/>
  <c r="I121" i="76"/>
  <c r="I120" i="76"/>
  <c r="I116" i="76"/>
  <c r="I109" i="76"/>
  <c r="I108" i="76"/>
  <c r="I107" i="76"/>
  <c r="I103" i="76"/>
  <c r="I102" i="76"/>
  <c r="I95" i="76"/>
  <c r="I94" i="76"/>
  <c r="I93" i="76"/>
  <c r="I89" i="76"/>
  <c r="I88" i="76"/>
  <c r="I81" i="76"/>
  <c r="I80" i="76"/>
  <c r="I79" i="76"/>
  <c r="I78" i="76"/>
  <c r="I74" i="76"/>
  <c r="I73" i="76"/>
  <c r="I72" i="76"/>
  <c r="I68" i="76"/>
  <c r="I64" i="76"/>
  <c r="I63" i="76"/>
  <c r="I62" i="76"/>
  <c r="I58" i="76"/>
  <c r="I57" i="76"/>
  <c r="I56" i="76"/>
  <c r="I49" i="76"/>
  <c r="I48" i="76"/>
  <c r="I41" i="76"/>
  <c r="I47" i="76"/>
  <c r="I46" i="76"/>
  <c r="I45" i="76"/>
  <c r="I37" i="76"/>
  <c r="I30" i="76"/>
  <c r="I29" i="76"/>
  <c r="I28" i="76"/>
  <c r="I27" i="76"/>
  <c r="I26" i="76"/>
  <c r="I25" i="76"/>
  <c r="I19" i="76"/>
  <c r="I24" i="76"/>
  <c r="I23" i="76"/>
  <c r="I15" i="76"/>
  <c r="I14" i="76"/>
  <c r="I9" i="76"/>
  <c r="I8" i="76"/>
  <c r="I7" i="76"/>
  <c r="I10" i="76"/>
  <c r="I6" i="76"/>
  <c r="I5" i="76"/>
  <c r="K1032" i="76"/>
  <c r="K1031" i="76"/>
  <c r="K1030" i="76"/>
  <c r="K1029" i="76"/>
  <c r="K1028" i="76"/>
  <c r="K1027" i="76"/>
  <c r="K1026" i="76"/>
  <c r="K1025" i="76"/>
  <c r="K1024" i="76"/>
  <c r="K1023" i="76"/>
  <c r="K1022" i="76"/>
  <c r="K1021" i="76"/>
  <c r="K1020" i="76"/>
  <c r="K1019" i="76"/>
  <c r="K1018" i="76"/>
  <c r="K1017" i="76"/>
  <c r="K1016" i="76"/>
  <c r="K1015" i="76"/>
  <c r="K1014" i="76"/>
  <c r="K1013" i="76"/>
  <c r="K1012" i="76"/>
  <c r="K1008" i="76"/>
  <c r="K1004" i="76"/>
  <c r="K1003" i="76"/>
  <c r="K1002" i="76"/>
  <c r="K1001" i="76"/>
  <c r="K1000" i="76"/>
  <c r="K999" i="76"/>
  <c r="K998" i="76"/>
  <c r="K997" i="76"/>
  <c r="K996" i="76"/>
  <c r="K995" i="76"/>
  <c r="K994" i="76"/>
  <c r="K993" i="76"/>
  <c r="K992" i="76"/>
  <c r="K991" i="76"/>
  <c r="K990" i="76"/>
  <c r="K989" i="76"/>
  <c r="K988" i="76"/>
  <c r="K987" i="76"/>
  <c r="K986" i="76"/>
  <c r="K985" i="76"/>
  <c r="K984" i="76"/>
  <c r="K983" i="76"/>
  <c r="K982" i="76"/>
  <c r="K981" i="76"/>
  <c r="K980" i="76"/>
  <c r="K979" i="76"/>
  <c r="K978" i="76"/>
  <c r="K977" i="76"/>
  <c r="K976" i="76"/>
  <c r="K975" i="76"/>
  <c r="K974" i="76"/>
  <c r="K973" i="76"/>
  <c r="K972" i="76"/>
  <c r="K971" i="76"/>
  <c r="K970" i="76"/>
  <c r="K969" i="76"/>
  <c r="K968" i="76"/>
  <c r="K967" i="76"/>
  <c r="K966" i="76"/>
  <c r="K965" i="76"/>
  <c r="K964" i="76"/>
  <c r="K963" i="76"/>
  <c r="K962" i="76"/>
  <c r="K961" i="76"/>
  <c r="K960" i="76"/>
  <c r="K959" i="76"/>
  <c r="K958" i="76"/>
  <c r="K951" i="76"/>
  <c r="K950" i="76"/>
  <c r="K949" i="76"/>
  <c r="K948" i="76"/>
  <c r="K947" i="76"/>
  <c r="K946" i="76"/>
  <c r="K945" i="76"/>
  <c r="K941" i="76"/>
  <c r="K940" i="76"/>
  <c r="K939" i="76"/>
  <c r="K935" i="76"/>
  <c r="K931" i="76"/>
  <c r="K922" i="76"/>
  <c r="K921" i="76"/>
  <c r="K920" i="76"/>
  <c r="K916" i="76"/>
  <c r="K915" i="76"/>
  <c r="K911" i="76"/>
  <c r="K907" i="76"/>
  <c r="K903" i="76"/>
  <c r="K902" i="76"/>
  <c r="K901" i="76"/>
  <c r="K900" i="76"/>
  <c r="K899" i="76"/>
  <c r="K898" i="76"/>
  <c r="K897" i="76"/>
  <c r="K896" i="76"/>
  <c r="K895" i="76"/>
  <c r="K894" i="76"/>
  <c r="K887" i="76"/>
  <c r="K886" i="76"/>
  <c r="K885" i="76"/>
  <c r="K884" i="76"/>
  <c r="K883" i="76"/>
  <c r="K879" i="76"/>
  <c r="K875" i="76"/>
  <c r="K874" i="76"/>
  <c r="K867" i="76"/>
  <c r="K866" i="76"/>
  <c r="K865" i="76"/>
  <c r="K864" i="76"/>
  <c r="K860" i="76"/>
  <c r="K859" i="76"/>
  <c r="K858" i="76"/>
  <c r="K857" i="76"/>
  <c r="K856" i="76"/>
  <c r="K855" i="76"/>
  <c r="K854" i="76"/>
  <c r="K853" i="76"/>
  <c r="K852" i="76"/>
  <c r="K848" i="76"/>
  <c r="K847" i="76"/>
  <c r="K843" i="76"/>
  <c r="K842" i="76"/>
  <c r="K835" i="76"/>
  <c r="K834" i="76"/>
  <c r="K824" i="76"/>
  <c r="K833" i="76"/>
  <c r="K829" i="76"/>
  <c r="K828" i="76"/>
  <c r="K823" i="76"/>
  <c r="K819" i="76"/>
  <c r="K818" i="76"/>
  <c r="K811" i="76"/>
  <c r="K810" i="76"/>
  <c r="K809" i="76"/>
  <c r="K808" i="76"/>
  <c r="K807" i="76"/>
  <c r="K803" i="76"/>
  <c r="K801" i="76"/>
  <c r="K800" i="76"/>
  <c r="K799" i="76"/>
  <c r="K795" i="76"/>
  <c r="K794" i="76"/>
  <c r="K790" i="76"/>
  <c r="K789" i="76"/>
  <c r="K788" i="76"/>
  <c r="K779" i="76"/>
  <c r="K778" i="76"/>
  <c r="K777" i="76"/>
  <c r="K776" i="76"/>
  <c r="K775" i="76"/>
  <c r="K774" i="76"/>
  <c r="K773" i="76"/>
  <c r="K768" i="76"/>
  <c r="K769" i="76"/>
  <c r="K764" i="76"/>
  <c r="K760" i="76"/>
  <c r="K759" i="76"/>
  <c r="K758" i="76"/>
  <c r="K757" i="76"/>
  <c r="K756" i="76"/>
  <c r="K749" i="76"/>
  <c r="K748" i="76"/>
  <c r="K747" i="76"/>
  <c r="K743" i="76"/>
  <c r="K742" i="76"/>
  <c r="K733" i="76"/>
  <c r="K732" i="76"/>
  <c r="K731" i="76"/>
  <c r="K730" i="76"/>
  <c r="K723" i="76"/>
  <c r="K545" i="76"/>
  <c r="K722" i="76"/>
  <c r="K718" i="76"/>
  <c r="K717" i="76"/>
  <c r="K713" i="76"/>
  <c r="K712" i="76"/>
  <c r="K708" i="76"/>
  <c r="K707" i="76"/>
  <c r="K706" i="76"/>
  <c r="K702" i="76"/>
  <c r="K701" i="76"/>
  <c r="K694" i="76"/>
  <c r="K693" i="76"/>
  <c r="K692" i="76"/>
  <c r="K691" i="76"/>
  <c r="K690" i="76"/>
  <c r="K689" i="76"/>
  <c r="K685" i="76"/>
  <c r="K681" i="76"/>
  <c r="K674" i="76"/>
  <c r="K673" i="76"/>
  <c r="K672" i="76"/>
  <c r="K668" i="76"/>
  <c r="K664" i="76"/>
  <c r="K663" i="76"/>
  <c r="K658" i="76"/>
  <c r="K654" i="76"/>
  <c r="K647" i="76"/>
  <c r="K646" i="76"/>
  <c r="K645" i="76"/>
  <c r="K641" i="76"/>
  <c r="K637" i="76"/>
  <c r="K630" i="76"/>
  <c r="K628" i="76"/>
  <c r="K627" i="76"/>
  <c r="K626" i="76"/>
  <c r="K622" i="76"/>
  <c r="K618" i="76"/>
  <c r="K617" i="76"/>
  <c r="K613" i="76"/>
  <c r="K612" i="76"/>
  <c r="K605" i="76"/>
  <c r="K604" i="76"/>
  <c r="K603" i="76"/>
  <c r="K602" i="76"/>
  <c r="K601" i="76"/>
  <c r="K597" i="76"/>
  <c r="K596" i="76"/>
  <c r="K592" i="76"/>
  <c r="K591" i="76"/>
  <c r="K584" i="76"/>
  <c r="K583" i="76"/>
  <c r="K582" i="76"/>
  <c r="K572" i="76"/>
  <c r="K578" i="76"/>
  <c r="K577" i="76"/>
  <c r="K573" i="76"/>
  <c r="K570" i="76"/>
  <c r="K569" i="76"/>
  <c r="K565" i="76"/>
  <c r="K571" i="76"/>
  <c r="K561" i="76"/>
  <c r="K554" i="76"/>
  <c r="K553" i="76"/>
  <c r="K551" i="76"/>
  <c r="K550" i="76"/>
  <c r="K549" i="76"/>
  <c r="K544" i="76"/>
  <c r="K540" i="76"/>
  <c r="K539" i="76"/>
  <c r="K535" i="76"/>
  <c r="K534" i="76"/>
  <c r="K533" i="76"/>
  <c r="K529" i="76"/>
  <c r="K528" i="76"/>
  <c r="K527" i="76"/>
  <c r="K526" i="76"/>
  <c r="K519" i="76"/>
  <c r="K518" i="76"/>
  <c r="K517" i="76"/>
  <c r="K516" i="76"/>
  <c r="K515" i="76"/>
  <c r="K511" i="76"/>
  <c r="K510" i="76"/>
  <c r="K506" i="76"/>
  <c r="K505" i="76"/>
  <c r="K504" i="76"/>
  <c r="K503" i="76"/>
  <c r="K494" i="76"/>
  <c r="K493" i="76"/>
  <c r="K492" i="76"/>
  <c r="K491" i="76"/>
  <c r="K490" i="76"/>
  <c r="K485" i="76"/>
  <c r="K484" i="76"/>
  <c r="K483" i="76"/>
  <c r="K482" i="76"/>
  <c r="K481" i="76"/>
  <c r="K480" i="76"/>
  <c r="K486" i="76"/>
  <c r="K473" i="76"/>
  <c r="K472" i="76"/>
  <c r="K471" i="76"/>
  <c r="K470" i="76"/>
  <c r="K469" i="76"/>
  <c r="K468" i="76"/>
  <c r="K467" i="76"/>
  <c r="K466" i="76"/>
  <c r="K465" i="76"/>
  <c r="K460" i="76"/>
  <c r="K461" i="76"/>
  <c r="K455" i="76"/>
  <c r="K459" i="76"/>
  <c r="K451" i="76"/>
  <c r="K447" i="76"/>
  <c r="K446" i="76"/>
  <c r="K445" i="76"/>
  <c r="K444" i="76"/>
  <c r="K443" i="76"/>
  <c r="K436" i="76"/>
  <c r="K435" i="76"/>
  <c r="K425" i="76"/>
  <c r="K434" i="76"/>
  <c r="K430" i="76"/>
  <c r="K426" i="76"/>
  <c r="K424" i="76"/>
  <c r="K423" i="76"/>
  <c r="K422" i="76"/>
  <c r="K417" i="76"/>
  <c r="K409" i="76"/>
  <c r="K403" i="76"/>
  <c r="K408" i="76"/>
  <c r="K404" i="76"/>
  <c r="K402" i="76"/>
  <c r="K400" i="76"/>
  <c r="K401" i="76"/>
  <c r="K399" i="76"/>
  <c r="K398" i="76"/>
  <c r="K394" i="76"/>
  <c r="K390" i="76"/>
  <c r="K389" i="76"/>
  <c r="K418" i="76"/>
  <c r="K388" i="76"/>
  <c r="K387" i="76"/>
  <c r="K386" i="76"/>
  <c r="K379" i="76"/>
  <c r="K378" i="76"/>
  <c r="K374" i="76"/>
  <c r="K370" i="76"/>
  <c r="K363" i="76"/>
  <c r="K362" i="76"/>
  <c r="K361" i="76"/>
  <c r="K357" i="76"/>
  <c r="K356" i="76"/>
  <c r="K352" i="76"/>
  <c r="K348" i="76"/>
  <c r="K347" i="76"/>
  <c r="K346" i="76"/>
  <c r="K342" i="76"/>
  <c r="K341" i="76"/>
  <c r="K340" i="76"/>
  <c r="K339" i="76"/>
  <c r="K338" i="76"/>
  <c r="K337" i="76"/>
  <c r="K330" i="76"/>
  <c r="K329" i="76"/>
  <c r="K328" i="76"/>
  <c r="K327" i="76"/>
  <c r="K326" i="76"/>
  <c r="K317" i="76"/>
  <c r="K322" i="76"/>
  <c r="K321" i="76"/>
  <c r="K313" i="76"/>
  <c r="K312" i="76"/>
  <c r="K311" i="76"/>
  <c r="K310" i="76"/>
  <c r="K309" i="76"/>
  <c r="K308" i="76"/>
  <c r="K301" i="76"/>
  <c r="K300" i="76"/>
  <c r="K299" i="76"/>
  <c r="K298" i="76"/>
  <c r="K293" i="76"/>
  <c r="K292" i="76"/>
  <c r="K288" i="76"/>
  <c r="K287" i="76"/>
  <c r="K286" i="76"/>
  <c r="K285" i="76"/>
  <c r="K284" i="76"/>
  <c r="K283" i="76"/>
  <c r="K276" i="76"/>
  <c r="K275" i="76"/>
  <c r="K274" i="76"/>
  <c r="K273" i="76"/>
  <c r="K269" i="76"/>
  <c r="K268" i="76"/>
  <c r="K267" i="76"/>
  <c r="K263" i="76"/>
  <c r="K259" i="76"/>
  <c r="K258" i="76"/>
  <c r="K257" i="76"/>
  <c r="K256" i="76"/>
  <c r="K249" i="76"/>
  <c r="K248" i="76"/>
  <c r="K247" i="76"/>
  <c r="K246" i="76"/>
  <c r="K245" i="76"/>
  <c r="K244" i="76"/>
  <c r="K240" i="76"/>
  <c r="K239" i="76"/>
  <c r="K238" i="76"/>
  <c r="K237" i="76"/>
  <c r="K236" i="76"/>
  <c r="K235" i="76"/>
  <c r="K231" i="76"/>
  <c r="K230" i="76"/>
  <c r="K229" i="76"/>
  <c r="K228" i="76"/>
  <c r="K224" i="76"/>
  <c r="K223" i="76"/>
  <c r="K219" i="76"/>
  <c r="K218" i="76"/>
  <c r="K217" i="76"/>
  <c r="K216" i="76"/>
  <c r="K215" i="76"/>
  <c r="K214" i="76"/>
  <c r="K213" i="76"/>
  <c r="K212" i="76"/>
  <c r="K211" i="76"/>
  <c r="K210" i="76"/>
  <c r="K209" i="76"/>
  <c r="K208" i="76"/>
  <c r="K207" i="76"/>
  <c r="K206" i="76"/>
  <c r="K205" i="76"/>
  <c r="K204" i="76"/>
  <c r="K203" i="76"/>
  <c r="K193" i="76"/>
  <c r="K192" i="76"/>
  <c r="K191" i="76"/>
  <c r="K187" i="76"/>
  <c r="K186" i="76"/>
  <c r="K185" i="76"/>
  <c r="K184" i="76"/>
  <c r="K183" i="76"/>
  <c r="K182" i="76"/>
  <c r="K181" i="76"/>
  <c r="K177" i="76"/>
  <c r="K176" i="76"/>
  <c r="K194" i="76"/>
  <c r="K175" i="76"/>
  <c r="K174" i="76"/>
  <c r="K170" i="76"/>
  <c r="K169" i="76"/>
  <c r="K168" i="76"/>
  <c r="K161" i="76"/>
  <c r="K160" i="76"/>
  <c r="K159" i="76"/>
  <c r="K158" i="76"/>
  <c r="K154" i="76"/>
  <c r="K150" i="76"/>
  <c r="K146" i="76"/>
  <c r="K139" i="76"/>
  <c r="K138" i="76"/>
  <c r="K137" i="76"/>
  <c r="K136" i="76"/>
  <c r="K132" i="76"/>
  <c r="K131" i="76"/>
  <c r="K130" i="76"/>
  <c r="K126" i="76"/>
  <c r="K125" i="76"/>
  <c r="K121" i="76"/>
  <c r="K120" i="76"/>
  <c r="K116" i="76"/>
  <c r="K109" i="76"/>
  <c r="K108" i="76"/>
  <c r="K107" i="76"/>
  <c r="K103" i="76"/>
  <c r="K102" i="76"/>
  <c r="K95" i="76"/>
  <c r="K94" i="76"/>
  <c r="K93" i="76"/>
  <c r="K89" i="76"/>
  <c r="K88" i="76"/>
  <c r="K81" i="76"/>
  <c r="K80" i="76"/>
  <c r="K79" i="76"/>
  <c r="K78" i="76"/>
  <c r="K74" i="76"/>
  <c r="K73" i="76"/>
  <c r="K72" i="76"/>
  <c r="K68" i="76"/>
  <c r="K64" i="76"/>
  <c r="K63" i="76"/>
  <c r="K62" i="76"/>
  <c r="K58" i="76"/>
  <c r="K57" i="76"/>
  <c r="K56" i="76"/>
  <c r="K49" i="76"/>
  <c r="K48" i="76"/>
  <c r="K41" i="76"/>
  <c r="K47" i="76"/>
  <c r="K46" i="76"/>
  <c r="K45" i="76"/>
  <c r="K37" i="76"/>
  <c r="K30" i="76"/>
  <c r="K29" i="76"/>
  <c r="K28" i="76"/>
  <c r="K27" i="76"/>
  <c r="K26" i="76"/>
  <c r="K25" i="76"/>
  <c r="K19" i="76"/>
  <c r="K24" i="76"/>
  <c r="K23" i="76"/>
  <c r="K15" i="76"/>
  <c r="K14" i="76"/>
  <c r="K9" i="76"/>
  <c r="K8" i="76"/>
  <c r="K7" i="76"/>
  <c r="K10" i="76"/>
  <c r="K6" i="76"/>
  <c r="K5" i="76"/>
  <c r="V1009" i="76"/>
  <c r="O260" i="76" l="1"/>
  <c r="O279" i="76" s="1"/>
  <c r="X256" i="76"/>
  <c r="W256" i="76"/>
  <c r="O82" i="76"/>
  <c r="X78" i="76"/>
  <c r="W78" i="76"/>
  <c r="O495" i="76"/>
  <c r="X490" i="76"/>
  <c r="W490" i="76"/>
  <c r="O719" i="76"/>
  <c r="X717" i="76"/>
  <c r="W717" i="76"/>
  <c r="O825" i="76"/>
  <c r="X824" i="76"/>
  <c r="W824" i="76"/>
  <c r="O804" i="76"/>
  <c r="X803" i="76"/>
  <c r="W803" i="76"/>
  <c r="O11" i="76"/>
  <c r="X9" i="76"/>
  <c r="W9" i="76"/>
  <c r="O289" i="76"/>
  <c r="X287" i="76"/>
  <c r="W287" i="76"/>
  <c r="O474" i="76"/>
  <c r="X465" i="76"/>
  <c r="W465" i="76"/>
  <c r="X733" i="76"/>
  <c r="X734" i="76" s="1"/>
  <c r="W733" i="76"/>
  <c r="W734" i="76" s="1"/>
  <c r="X773" i="76"/>
  <c r="W773" i="76"/>
  <c r="O812" i="76"/>
  <c r="X807" i="76"/>
  <c r="W807" i="76"/>
  <c r="O122" i="76"/>
  <c r="X120" i="76"/>
  <c r="W120" i="76"/>
  <c r="O364" i="76"/>
  <c r="X363" i="76"/>
  <c r="W363" i="76"/>
  <c r="X238" i="76"/>
  <c r="W238" i="76"/>
  <c r="X779" i="76"/>
  <c r="W779" i="76"/>
  <c r="O695" i="76"/>
  <c r="O697" i="76" s="1"/>
  <c r="X693" i="76"/>
  <c r="W693" i="76"/>
  <c r="O868" i="76"/>
  <c r="O870" i="76" s="1"/>
  <c r="X867" i="76"/>
  <c r="W867" i="76"/>
  <c r="O140" i="76"/>
  <c r="X138" i="76"/>
  <c r="W138" i="76"/>
  <c r="X390" i="76"/>
  <c r="X391" i="76" s="1"/>
  <c r="W390" i="76"/>
  <c r="W391" i="76" s="1"/>
  <c r="X485" i="76"/>
  <c r="W485" i="76"/>
  <c r="O703" i="76"/>
  <c r="X701" i="76"/>
  <c r="W701" i="76"/>
  <c r="O761" i="76"/>
  <c r="X759" i="76"/>
  <c r="W759" i="76"/>
  <c r="O923" i="76"/>
  <c r="X921" i="76"/>
  <c r="W921" i="76"/>
  <c r="O142" i="76"/>
  <c r="O780" i="76"/>
  <c r="V1005" i="76"/>
  <c r="V1033" i="76"/>
  <c r="W1009" i="76"/>
  <c r="X770" i="76"/>
  <c r="V825" i="76"/>
  <c r="W765" i="76"/>
  <c r="V765" i="76"/>
  <c r="W770" i="76"/>
  <c r="V770" i="76"/>
  <c r="W456" i="76"/>
  <c r="V456" i="76"/>
  <c r="W318" i="76"/>
  <c r="V318" i="76"/>
  <c r="W42" i="76"/>
  <c r="V42" i="76"/>
  <c r="W20" i="76"/>
  <c r="V20" i="76"/>
  <c r="O726" i="76" l="1"/>
  <c r="O814" i="76"/>
  <c r="O782" i="76"/>
  <c r="AM928" i="76"/>
  <c r="AR928" i="76"/>
  <c r="AZ928" i="76"/>
  <c r="BO928" i="76"/>
  <c r="C7" i="71"/>
  <c r="P750" i="76" l="1"/>
  <c r="Q750" i="76"/>
  <c r="R750" i="76"/>
  <c r="M750" i="76"/>
  <c r="M512" i="76"/>
  <c r="M507" i="76"/>
  <c r="P744" i="76" l="1"/>
  <c r="Q744" i="76"/>
  <c r="R744" i="76"/>
  <c r="M744" i="76"/>
  <c r="P714" i="76"/>
  <c r="Q714" i="76"/>
  <c r="R714" i="76"/>
  <c r="M714" i="76"/>
  <c r="P669" i="76"/>
  <c r="Q669" i="76"/>
  <c r="R669" i="76"/>
  <c r="M669" i="76"/>
  <c r="P665" i="76"/>
  <c r="Q665" i="76"/>
  <c r="R665" i="76"/>
  <c r="M665" i="76"/>
  <c r="J171" i="98"/>
  <c r="I171" i="98"/>
  <c r="I258" i="98" l="1"/>
  <c r="J258" i="98"/>
  <c r="I249" i="98"/>
  <c r="J249" i="98"/>
  <c r="I239" i="98"/>
  <c r="J239" i="98"/>
  <c r="I232" i="98"/>
  <c r="J232" i="98"/>
  <c r="I222" i="98"/>
  <c r="J222" i="98"/>
  <c r="I216" i="98"/>
  <c r="J216" i="98"/>
  <c r="I209" i="98"/>
  <c r="J209" i="98"/>
  <c r="I197" i="98"/>
  <c r="J197" i="98"/>
  <c r="I189" i="98"/>
  <c r="J189" i="98"/>
  <c r="I182" i="98"/>
  <c r="J182" i="98"/>
  <c r="I165" i="98"/>
  <c r="J165" i="98"/>
  <c r="I155" i="98"/>
  <c r="J155" i="98"/>
  <c r="I147" i="98"/>
  <c r="J147" i="98"/>
  <c r="I133" i="98"/>
  <c r="J133" i="98"/>
  <c r="I125" i="98"/>
  <c r="J125" i="98"/>
  <c r="I114" i="98"/>
  <c r="J114" i="98"/>
  <c r="I104" i="98"/>
  <c r="J104" i="98"/>
  <c r="I99" i="98"/>
  <c r="J99" i="98"/>
  <c r="I92" i="98"/>
  <c r="J92" i="98"/>
  <c r="I85" i="98"/>
  <c r="J85" i="98"/>
  <c r="I79" i="98"/>
  <c r="J79" i="98"/>
  <c r="I70" i="98"/>
  <c r="J70" i="98"/>
  <c r="I58" i="98"/>
  <c r="J58" i="98"/>
  <c r="I51" i="98"/>
  <c r="J51" i="98"/>
  <c r="I44" i="98"/>
  <c r="J44" i="98"/>
  <c r="I35" i="98"/>
  <c r="J35" i="98"/>
  <c r="I23" i="98"/>
  <c r="J23" i="98"/>
  <c r="I15" i="98"/>
  <c r="J15" i="98"/>
  <c r="I6" i="98"/>
  <c r="J6" i="98"/>
  <c r="L256" i="98"/>
  <c r="Q255" i="98"/>
  <c r="Q252" i="98"/>
  <c r="Q248" i="98"/>
  <c r="Q245" i="98"/>
  <c r="Q242" i="98"/>
  <c r="Q244" i="98"/>
  <c r="Q237" i="98"/>
  <c r="Q236" i="98"/>
  <c r="N227" i="98"/>
  <c r="Q230" i="98"/>
  <c r="Q229" i="98"/>
  <c r="Q221" i="98"/>
  <c r="Q220" i="98"/>
  <c r="Q219" i="98"/>
  <c r="Q214" i="98"/>
  <c r="Q208" i="98"/>
  <c r="Q207" i="98"/>
  <c r="M206" i="98"/>
  <c r="M204" i="98"/>
  <c r="Q202" i="98"/>
  <c r="Q201" i="98"/>
  <c r="Q196" i="98"/>
  <c r="Q195" i="98"/>
  <c r="Q193" i="98"/>
  <c r="Q188" i="98"/>
  <c r="Q187" i="98"/>
  <c r="Q176" i="98"/>
  <c r="Q175" i="98"/>
  <c r="Q181" i="98"/>
  <c r="Q178" i="98"/>
  <c r="Q170" i="98"/>
  <c r="Q160" i="98"/>
  <c r="Q164" i="98"/>
  <c r="Q161" i="98"/>
  <c r="Q154" i="98"/>
  <c r="Q152" i="98"/>
  <c r="Q146" i="98"/>
  <c r="Q143" i="98"/>
  <c r="L141" i="98"/>
  <c r="L140" i="98"/>
  <c r="Q142" i="98"/>
  <c r="Q138" i="98"/>
  <c r="Q132" i="98"/>
  <c r="Q130" i="98"/>
  <c r="Q129" i="98"/>
  <c r="Q128" i="98"/>
  <c r="Q124" i="98"/>
  <c r="Q119" i="98"/>
  <c r="Q117" i="98"/>
  <c r="Q113" i="98"/>
  <c r="Q112" i="98"/>
  <c r="Q109" i="98"/>
  <c r="M108" i="98"/>
  <c r="L103" i="98"/>
  <c r="L102" i="98"/>
  <c r="Q96" i="98"/>
  <c r="L98" i="98"/>
  <c r="L95" i="98"/>
  <c r="L97" i="98"/>
  <c r="Q90" i="98"/>
  <c r="L84" i="98"/>
  <c r="L82" i="98"/>
  <c r="Q78" i="98"/>
  <c r="Q77" i="98"/>
  <c r="Q69" i="98"/>
  <c r="N68" i="98"/>
  <c r="Q66" i="98"/>
  <c r="Q65" i="98"/>
  <c r="Q56" i="98"/>
  <c r="Q55" i="98"/>
  <c r="Q54" i="98"/>
  <c r="Q47" i="98"/>
  <c r="Q42" i="98"/>
  <c r="Q41" i="98"/>
  <c r="Q40" i="98"/>
  <c r="Q34" i="98"/>
  <c r="Q32" i="98"/>
  <c r="Q31" i="98"/>
  <c r="Q30" i="98"/>
  <c r="Q29" i="98"/>
  <c r="Q28" i="98"/>
  <c r="Q27" i="98"/>
  <c r="Q26" i="98"/>
  <c r="Q21" i="98"/>
  <c r="Q20" i="98"/>
  <c r="Q19" i="98"/>
  <c r="Q14" i="98"/>
  <c r="Q13" i="98"/>
  <c r="Q9" i="98"/>
  <c r="Q4" i="98"/>
  <c r="Q3" i="98"/>
  <c r="P141" i="98" l="1"/>
  <c r="P103" i="98"/>
  <c r="P206" i="98"/>
  <c r="P95" i="98"/>
  <c r="Q95" i="98" s="1"/>
  <c r="L99" i="98"/>
  <c r="P82" i="98"/>
  <c r="Q82" i="98" s="1"/>
  <c r="L85" i="98"/>
  <c r="P98" i="98"/>
  <c r="Q98" i="98" s="1"/>
  <c r="M114" i="98"/>
  <c r="M135" i="98" s="1"/>
  <c r="P108" i="98"/>
  <c r="Q108" i="98" s="1"/>
  <c r="M209" i="98"/>
  <c r="M224" i="98" s="1"/>
  <c r="P204" i="98"/>
  <c r="P68" i="98"/>
  <c r="N70" i="98"/>
  <c r="N135" i="98" s="1"/>
  <c r="P140" i="98"/>
  <c r="L147" i="98"/>
  <c r="L224" i="98" s="1"/>
  <c r="N232" i="98"/>
  <c r="N260" i="98" s="1"/>
  <c r="P227" i="98"/>
  <c r="P256" i="98"/>
  <c r="Q256" i="98" s="1"/>
  <c r="L258" i="98"/>
  <c r="L260" i="98" s="1"/>
  <c r="P84" i="98"/>
  <c r="Q84" i="98" s="1"/>
  <c r="P97" i="98"/>
  <c r="Q97" i="98" s="1"/>
  <c r="P102" i="98"/>
  <c r="L104" i="98"/>
  <c r="Q169" i="98"/>
  <c r="J224" i="98"/>
  <c r="I224" i="98"/>
  <c r="J60" i="98"/>
  <c r="I260" i="98"/>
  <c r="J260" i="98"/>
  <c r="J135" i="98"/>
  <c r="I135" i="98"/>
  <c r="I60" i="98"/>
  <c r="Q222" i="98"/>
  <c r="P216" i="98"/>
  <c r="P155" i="98"/>
  <c r="P58" i="98"/>
  <c r="P6" i="98"/>
  <c r="P44" i="98"/>
  <c r="P79" i="98"/>
  <c r="P249" i="98"/>
  <c r="P85" i="98"/>
  <c r="P189" i="98"/>
  <c r="P222" i="98"/>
  <c r="P23" i="98"/>
  <c r="P125" i="98"/>
  <c r="P197" i="98"/>
  <c r="P35" i="98"/>
  <c r="P133" i="98"/>
  <c r="Q153" i="98"/>
  <c r="Q140" i="98"/>
  <c r="Q180" i="98"/>
  <c r="Q76" i="98"/>
  <c r="Q206" i="98"/>
  <c r="Q186" i="98"/>
  <c r="Q185" i="98"/>
  <c r="Q10" i="98"/>
  <c r="Q33" i="98"/>
  <c r="Q35" i="98" s="1"/>
  <c r="Q75" i="98"/>
  <c r="Q88" i="98"/>
  <c r="Q103" i="98"/>
  <c r="Q144" i="98"/>
  <c r="Q200" i="98"/>
  <c r="Q212" i="98"/>
  <c r="Q247" i="98"/>
  <c r="Q91" i="98"/>
  <c r="Q111" i="98"/>
  <c r="Q231" i="98"/>
  <c r="Q194" i="98"/>
  <c r="Q49" i="98"/>
  <c r="Q18" i="98"/>
  <c r="Q22" i="98"/>
  <c r="Q123" i="98"/>
  <c r="Q121" i="98"/>
  <c r="Q5" i="98"/>
  <c r="Q6" i="98" s="1"/>
  <c r="Q50" i="98"/>
  <c r="Q64" i="98"/>
  <c r="Q73" i="98"/>
  <c r="Q74" i="98"/>
  <c r="Q151" i="98"/>
  <c r="Q107" i="98"/>
  <c r="Q110" i="98"/>
  <c r="Q83" i="98"/>
  <c r="Q120" i="98"/>
  <c r="Q168" i="98"/>
  <c r="Q179" i="98"/>
  <c r="Q192" i="98"/>
  <c r="Q204" i="98"/>
  <c r="Q257" i="98"/>
  <c r="Q177" i="98"/>
  <c r="Q238" i="98"/>
  <c r="Q254" i="98"/>
  <c r="Q38" i="98"/>
  <c r="Q43" i="98"/>
  <c r="Q57" i="98"/>
  <c r="Q58" i="98" s="1"/>
  <c r="Q12" i="98"/>
  <c r="Q39" i="98"/>
  <c r="Q48" i="98"/>
  <c r="Q131" i="98"/>
  <c r="Q133" i="98" s="1"/>
  <c r="Q150" i="98"/>
  <c r="Q158" i="98"/>
  <c r="Q67" i="98"/>
  <c r="Q68" i="98"/>
  <c r="Q89" i="98"/>
  <c r="Q118" i="98"/>
  <c r="Q122" i="98"/>
  <c r="Q139" i="98"/>
  <c r="Q145" i="98"/>
  <c r="Q162" i="98"/>
  <c r="Q203" i="98"/>
  <c r="Q205" i="98"/>
  <c r="Q159" i="98"/>
  <c r="Q213" i="98"/>
  <c r="Q215" i="98"/>
  <c r="Q228" i="98"/>
  <c r="Q243" i="98"/>
  <c r="Q246" i="98"/>
  <c r="Q253" i="98"/>
  <c r="L135" i="98" l="1"/>
  <c r="L262" i="98" s="1"/>
  <c r="P99" i="98"/>
  <c r="N262" i="98"/>
  <c r="M262" i="98"/>
  <c r="Q99" i="98"/>
  <c r="Q85" i="98"/>
  <c r="Q171" i="98"/>
  <c r="P171" i="98"/>
  <c r="I262" i="98"/>
  <c r="J262" i="98"/>
  <c r="Q51" i="98"/>
  <c r="Q227" i="98"/>
  <c r="Q232" i="98" s="1"/>
  <c r="Q155" i="98"/>
  <c r="Q249" i="98"/>
  <c r="Q23" i="98"/>
  <c r="Q216" i="98"/>
  <c r="Q258" i="98"/>
  <c r="Q15" i="98"/>
  <c r="Q125" i="98"/>
  <c r="P232" i="98"/>
  <c r="Q79" i="98"/>
  <c r="Q92" i="98"/>
  <c r="Q44" i="98"/>
  <c r="Q197" i="98"/>
  <c r="Q114" i="98"/>
  <c r="Q209" i="98"/>
  <c r="Q189" i="98"/>
  <c r="Q235" i="98"/>
  <c r="Q239" i="98" s="1"/>
  <c r="P239" i="98"/>
  <c r="P15" i="98"/>
  <c r="P114" i="98"/>
  <c r="Q63" i="98"/>
  <c r="Q70" i="98" s="1"/>
  <c r="P70" i="98"/>
  <c r="P92" i="98"/>
  <c r="P258" i="98"/>
  <c r="Q163" i="98"/>
  <c r="Q165" i="98" s="1"/>
  <c r="P165" i="98"/>
  <c r="Q174" i="98"/>
  <c r="Q182" i="98" s="1"/>
  <c r="P182" i="98"/>
  <c r="Q102" i="98"/>
  <c r="Q104" i="98" s="1"/>
  <c r="P104" i="98"/>
  <c r="P209" i="98"/>
  <c r="P51" i="98"/>
  <c r="P147" i="98"/>
  <c r="Q141" i="98"/>
  <c r="Q147" i="98" s="1"/>
  <c r="P224" i="98" l="1"/>
  <c r="Q224" i="98"/>
  <c r="P60" i="98"/>
  <c r="Q60" i="98"/>
  <c r="P260" i="98"/>
  <c r="Q260" i="98"/>
  <c r="P135" i="98"/>
  <c r="Q135" i="98"/>
  <c r="Q262" i="98" l="1"/>
  <c r="P262" i="98"/>
  <c r="P395" i="76" l="1"/>
  <c r="Q395" i="76"/>
  <c r="R395" i="76"/>
  <c r="M395" i="76"/>
  <c r="O1014" i="76"/>
  <c r="O898" i="76"/>
  <c r="O834" i="76"/>
  <c r="O743" i="76"/>
  <c r="O505" i="76"/>
  <c r="O408" i="76"/>
  <c r="O330" i="76"/>
  <c r="O326" i="76"/>
  <c r="O247" i="76"/>
  <c r="O249" i="76"/>
  <c r="O25" i="76"/>
  <c r="BO545" i="76"/>
  <c r="X326" i="76" l="1"/>
  <c r="W326" i="76"/>
  <c r="O744" i="76"/>
  <c r="O752" i="76" s="1"/>
  <c r="X743" i="76"/>
  <c r="W743" i="76"/>
  <c r="X249" i="76"/>
  <c r="W249" i="76"/>
  <c r="O410" i="76"/>
  <c r="X408" i="76"/>
  <c r="W408" i="76"/>
  <c r="O904" i="76"/>
  <c r="X898" i="76"/>
  <c r="W898" i="76"/>
  <c r="O250" i="76"/>
  <c r="X247" i="76"/>
  <c r="W247" i="76"/>
  <c r="O507" i="76"/>
  <c r="X505" i="76"/>
  <c r="W505" i="76"/>
  <c r="X1014" i="76"/>
  <c r="W1014" i="76"/>
  <c r="O31" i="76"/>
  <c r="X25" i="76"/>
  <c r="W25" i="76"/>
  <c r="X330" i="76"/>
  <c r="W330" i="76"/>
  <c r="O836" i="76"/>
  <c r="O838" i="76" s="1"/>
  <c r="X834" i="76"/>
  <c r="W834" i="76"/>
  <c r="BO5" i="76"/>
  <c r="BO6" i="76"/>
  <c r="BO10" i="76"/>
  <c r="BO7" i="76"/>
  <c r="BO8" i="76"/>
  <c r="BO9" i="76"/>
  <c r="BO11" i="76"/>
  <c r="BO12" i="76"/>
  <c r="BO13" i="76"/>
  <c r="BO14" i="76"/>
  <c r="BO15" i="76"/>
  <c r="BO16" i="76"/>
  <c r="BO17" i="76"/>
  <c r="BO22" i="76"/>
  <c r="BO23" i="76"/>
  <c r="BO24" i="76"/>
  <c r="BO19" i="76"/>
  <c r="BO25" i="76"/>
  <c r="BO26" i="76"/>
  <c r="BO27" i="76"/>
  <c r="BO28" i="76"/>
  <c r="BO29" i="76"/>
  <c r="BO30" i="76"/>
  <c r="BO31" i="76"/>
  <c r="BO32" i="76"/>
  <c r="BO33" i="76"/>
  <c r="BO34" i="76"/>
  <c r="BO35" i="76"/>
  <c r="BO36" i="76"/>
  <c r="BO37" i="76"/>
  <c r="BO38" i="76"/>
  <c r="BO39" i="76"/>
  <c r="BO44" i="76"/>
  <c r="BO45" i="76"/>
  <c r="BO46" i="76"/>
  <c r="BO47" i="76"/>
  <c r="BO41" i="76"/>
  <c r="BO48" i="76"/>
  <c r="BO49" i="76"/>
  <c r="BO50" i="76"/>
  <c r="BO51" i="76"/>
  <c r="BO52" i="76"/>
  <c r="BO53" i="76"/>
  <c r="BO54" i="76"/>
  <c r="BO55" i="76"/>
  <c r="BO56" i="76"/>
  <c r="BO57" i="76"/>
  <c r="BO58" i="76"/>
  <c r="BO59" i="76"/>
  <c r="BO60" i="76"/>
  <c r="BO61" i="76"/>
  <c r="BO62" i="76"/>
  <c r="BO63" i="76"/>
  <c r="BO64" i="76"/>
  <c r="BO65" i="76"/>
  <c r="BO66" i="76"/>
  <c r="BO67" i="76"/>
  <c r="BO68" i="76"/>
  <c r="BO69" i="76"/>
  <c r="BO70" i="76"/>
  <c r="BO71" i="76"/>
  <c r="BO72" i="76"/>
  <c r="BO73" i="76"/>
  <c r="BO74" i="76"/>
  <c r="BO75" i="76"/>
  <c r="BO76" i="76"/>
  <c r="BO77" i="76"/>
  <c r="BO78" i="76"/>
  <c r="BO79" i="76"/>
  <c r="BO80" i="76"/>
  <c r="BO81" i="76"/>
  <c r="BO82" i="76"/>
  <c r="BO83" i="76"/>
  <c r="BO84" i="76"/>
  <c r="BO85" i="76"/>
  <c r="BO86" i="76"/>
  <c r="BO87" i="76"/>
  <c r="BO88" i="76"/>
  <c r="BO89" i="76"/>
  <c r="BO90" i="76"/>
  <c r="BO91" i="76"/>
  <c r="BO92" i="76"/>
  <c r="BO93" i="76"/>
  <c r="BO94" i="76"/>
  <c r="BO95" i="76"/>
  <c r="BO96" i="76"/>
  <c r="BO97" i="76"/>
  <c r="BO98" i="76"/>
  <c r="BO99" i="76"/>
  <c r="BO100" i="76"/>
  <c r="BO101" i="76"/>
  <c r="BO102" i="76"/>
  <c r="BO103" i="76"/>
  <c r="BO104" i="76"/>
  <c r="BO105" i="76"/>
  <c r="BO106" i="76"/>
  <c r="BO107" i="76"/>
  <c r="BO108" i="76"/>
  <c r="BO109" i="76"/>
  <c r="BO110" i="76"/>
  <c r="BO111" i="76"/>
  <c r="BO112" i="76"/>
  <c r="BO113" i="76"/>
  <c r="BO114" i="76"/>
  <c r="BO115" i="76"/>
  <c r="BO116" i="76"/>
  <c r="BO117" i="76"/>
  <c r="BO118" i="76"/>
  <c r="BO119" i="76"/>
  <c r="BO120" i="76"/>
  <c r="BO121" i="76"/>
  <c r="BO122" i="76"/>
  <c r="BO123" i="76"/>
  <c r="BO124" i="76"/>
  <c r="BO125" i="76"/>
  <c r="BO126" i="76"/>
  <c r="BO127" i="76"/>
  <c r="BO128" i="76"/>
  <c r="BO129" i="76"/>
  <c r="BO130" i="76"/>
  <c r="BO131" i="76"/>
  <c r="BO132" i="76"/>
  <c r="BO133" i="76"/>
  <c r="BO134" i="76"/>
  <c r="BO135" i="76"/>
  <c r="BO136" i="76"/>
  <c r="BO137" i="76"/>
  <c r="BO138" i="76"/>
  <c r="BO139" i="76"/>
  <c r="BO140" i="76"/>
  <c r="BO141" i="76"/>
  <c r="BO142" i="76"/>
  <c r="BO143" i="76"/>
  <c r="BO144" i="76"/>
  <c r="BO145" i="76"/>
  <c r="BO146" i="76"/>
  <c r="BO147" i="76"/>
  <c r="BO148" i="76"/>
  <c r="BO149" i="76"/>
  <c r="BO150" i="76"/>
  <c r="BO151" i="76"/>
  <c r="BO152" i="76"/>
  <c r="BO153" i="76"/>
  <c r="BO154" i="76"/>
  <c r="BO155" i="76"/>
  <c r="BO156" i="76"/>
  <c r="BO157" i="76"/>
  <c r="BO158" i="76"/>
  <c r="BO159" i="76"/>
  <c r="BO160" i="76"/>
  <c r="BO161" i="76"/>
  <c r="BO162" i="76"/>
  <c r="BO163" i="76"/>
  <c r="BO164" i="76"/>
  <c r="BO165" i="76"/>
  <c r="BO166" i="76"/>
  <c r="BO167" i="76"/>
  <c r="BO168" i="76"/>
  <c r="BO169" i="76"/>
  <c r="BO170" i="76"/>
  <c r="BO171" i="76"/>
  <c r="BO172" i="76"/>
  <c r="BO173" i="76"/>
  <c r="BO174" i="76"/>
  <c r="BO175" i="76"/>
  <c r="BO194" i="76"/>
  <c r="BO176" i="76"/>
  <c r="BO177" i="76"/>
  <c r="BO178" i="76"/>
  <c r="BO179" i="76"/>
  <c r="BO180" i="76"/>
  <c r="BO181" i="76"/>
  <c r="BO182" i="76"/>
  <c r="BO183" i="76"/>
  <c r="BO184" i="76"/>
  <c r="BO185" i="76"/>
  <c r="BO186" i="76"/>
  <c r="BO187" i="76"/>
  <c r="BO188" i="76"/>
  <c r="BO189" i="76"/>
  <c r="BO190" i="76"/>
  <c r="BO191" i="76"/>
  <c r="BO192" i="76"/>
  <c r="BO193" i="76"/>
  <c r="BO195" i="76"/>
  <c r="BO196" i="76"/>
  <c r="BO197" i="76"/>
  <c r="BO198" i="76"/>
  <c r="BO199" i="76"/>
  <c r="BO200" i="76"/>
  <c r="BO201" i="76"/>
  <c r="BO202" i="76"/>
  <c r="BO203" i="76"/>
  <c r="BO204" i="76"/>
  <c r="BO205" i="76"/>
  <c r="BO206" i="76"/>
  <c r="BO207" i="76"/>
  <c r="BO208" i="76"/>
  <c r="BO209" i="76"/>
  <c r="BO210" i="76"/>
  <c r="BO211" i="76"/>
  <c r="BO212" i="76"/>
  <c r="BO213" i="76"/>
  <c r="BO214" i="76"/>
  <c r="BO218" i="76"/>
  <c r="BO216" i="76"/>
  <c r="BO217" i="76"/>
  <c r="BO215" i="76"/>
  <c r="BO220" i="76"/>
  <c r="BO221" i="76"/>
  <c r="BO222" i="76"/>
  <c r="BO223" i="76"/>
  <c r="BO224" i="76"/>
  <c r="BO225" i="76"/>
  <c r="BO226" i="76"/>
  <c r="BO227" i="76"/>
  <c r="BO228" i="76"/>
  <c r="BO229" i="76"/>
  <c r="BO230" i="76"/>
  <c r="BO219" i="76"/>
  <c r="BO231" i="76"/>
  <c r="BO232" i="76"/>
  <c r="BO233" i="76"/>
  <c r="BO234" i="76"/>
  <c r="BO235" i="76"/>
  <c r="BO236" i="76"/>
  <c r="BO237" i="76"/>
  <c r="BO238" i="76"/>
  <c r="BO239" i="76"/>
  <c r="BO240" i="76"/>
  <c r="BO241" i="76"/>
  <c r="BO242" i="76"/>
  <c r="BO243" i="76"/>
  <c r="BO244" i="76"/>
  <c r="BO245" i="76"/>
  <c r="BO246" i="76"/>
  <c r="BO247" i="76"/>
  <c r="BO248" i="76"/>
  <c r="BO249" i="76"/>
  <c r="BO250" i="76"/>
  <c r="BO251" i="76"/>
  <c r="BO252" i="76"/>
  <c r="BO253" i="76"/>
  <c r="BO254" i="76"/>
  <c r="BO255" i="76"/>
  <c r="BO256" i="76"/>
  <c r="BO257" i="76"/>
  <c r="BO258" i="76"/>
  <c r="BO260" i="76"/>
  <c r="BO261" i="76"/>
  <c r="BO262" i="76"/>
  <c r="BO263" i="76"/>
  <c r="BO264" i="76"/>
  <c r="BO265" i="76"/>
  <c r="BO259" i="76"/>
  <c r="BO266" i="76"/>
  <c r="BO267" i="76"/>
  <c r="BO268" i="76"/>
  <c r="BO269" i="76"/>
  <c r="BO270" i="76"/>
  <c r="BO271" i="76"/>
  <c r="BO272" i="76"/>
  <c r="BO273" i="76"/>
  <c r="BO274" i="76"/>
  <c r="BO275" i="76"/>
  <c r="BO276" i="76"/>
  <c r="BO277" i="76"/>
  <c r="BO278" i="76"/>
  <c r="BO279" i="76"/>
  <c r="BO280" i="76"/>
  <c r="BO281" i="76"/>
  <c r="BO282" i="76"/>
  <c r="BO283" i="76"/>
  <c r="BO284" i="76"/>
  <c r="BO285" i="76"/>
  <c r="BO287" i="76"/>
  <c r="BO289" i="76"/>
  <c r="BO290" i="76"/>
  <c r="BO288" i="76"/>
  <c r="BO291" i="76"/>
  <c r="BO292" i="76"/>
  <c r="BO295" i="76"/>
  <c r="BO293" i="76"/>
  <c r="BO296" i="76"/>
  <c r="BO297" i="76"/>
  <c r="BO298" i="76"/>
  <c r="BO299" i="76"/>
  <c r="BO300" i="76"/>
  <c r="BO301" i="76"/>
  <c r="BO302" i="76"/>
  <c r="BO303" i="76"/>
  <c r="BO304" i="76"/>
  <c r="BO305" i="76"/>
  <c r="BO306" i="76"/>
  <c r="BO307" i="76"/>
  <c r="BO308" i="76"/>
  <c r="BO309" i="76"/>
  <c r="BO310" i="76"/>
  <c r="BO311" i="76"/>
  <c r="BO312" i="76"/>
  <c r="BO313" i="76"/>
  <c r="BO314" i="76"/>
  <c r="BO315" i="76"/>
  <c r="BO320" i="76"/>
  <c r="BO322" i="76"/>
  <c r="BO321" i="76"/>
  <c r="BO317" i="76"/>
  <c r="BO323" i="76"/>
  <c r="BO324" i="76"/>
  <c r="BO325" i="76"/>
  <c r="BO326" i="76"/>
  <c r="BO327" i="76"/>
  <c r="BO328" i="76"/>
  <c r="BO329" i="76"/>
  <c r="BO330" i="76"/>
  <c r="BO331" i="76"/>
  <c r="BO332" i="76"/>
  <c r="BO333" i="76"/>
  <c r="BO334" i="76"/>
  <c r="BO335" i="76"/>
  <c r="BO336" i="76"/>
  <c r="BO337" i="76"/>
  <c r="BO338" i="76"/>
  <c r="BO339" i="76"/>
  <c r="BO340" i="76"/>
  <c r="BO341" i="76"/>
  <c r="BO342" i="76"/>
  <c r="BO343" i="76"/>
  <c r="BO344" i="76"/>
  <c r="BO345" i="76"/>
  <c r="BO346" i="76"/>
  <c r="BO347" i="76"/>
  <c r="BO348" i="76"/>
  <c r="BO349" i="76"/>
  <c r="BO350" i="76"/>
  <c r="BO351" i="76"/>
  <c r="BO352" i="76"/>
  <c r="BO353" i="76"/>
  <c r="BO354" i="76"/>
  <c r="BO355" i="76"/>
  <c r="BO356" i="76"/>
  <c r="BO357" i="76"/>
  <c r="BO358" i="76"/>
  <c r="BO359" i="76"/>
  <c r="BO360" i="76"/>
  <c r="BO361" i="76"/>
  <c r="BO362" i="76"/>
  <c r="BO363" i="76"/>
  <c r="BO364" i="76"/>
  <c r="BO365" i="76"/>
  <c r="BO366" i="76"/>
  <c r="BO367" i="76"/>
  <c r="BO368" i="76"/>
  <c r="BO369" i="76"/>
  <c r="BO370" i="76"/>
  <c r="BO371" i="76"/>
  <c r="BO372" i="76"/>
  <c r="BO373" i="76"/>
  <c r="BO374" i="76"/>
  <c r="BO375" i="76"/>
  <c r="BO376" i="76"/>
  <c r="BO377" i="76"/>
  <c r="BO378" i="76"/>
  <c r="BO379" i="76"/>
  <c r="BO380" i="76"/>
  <c r="BO381" i="76"/>
  <c r="BO382" i="76"/>
  <c r="BO383" i="76"/>
  <c r="BO384" i="76"/>
  <c r="BO385" i="76"/>
  <c r="BO386" i="76"/>
  <c r="BO387" i="76"/>
  <c r="BO388" i="76"/>
  <c r="BO418" i="76"/>
  <c r="BO390" i="76"/>
  <c r="BO391" i="76"/>
  <c r="BO392" i="76"/>
  <c r="BO393" i="76"/>
  <c r="BO389" i="76"/>
  <c r="BO394" i="76"/>
  <c r="BO395" i="76"/>
  <c r="BO396" i="76"/>
  <c r="BO397" i="76"/>
  <c r="BO398" i="76"/>
  <c r="BO399" i="76"/>
  <c r="BO401" i="76"/>
  <c r="BO400" i="76"/>
  <c r="BO402" i="76"/>
  <c r="BO404" i="76"/>
  <c r="BO405" i="76"/>
  <c r="BO406" i="76"/>
  <c r="BO407" i="76"/>
  <c r="BO408" i="76"/>
  <c r="BO403" i="76"/>
  <c r="BO409" i="76"/>
  <c r="BO410" i="76"/>
  <c r="BO411" i="76"/>
  <c r="BO412" i="76"/>
  <c r="BO413" i="76"/>
  <c r="BO414" i="76"/>
  <c r="BO415" i="76"/>
  <c r="BO416" i="76"/>
  <c r="BO417" i="76"/>
  <c r="BO419" i="76"/>
  <c r="BO420" i="76"/>
  <c r="BO421" i="76"/>
  <c r="BO424" i="76"/>
  <c r="BO422" i="76"/>
  <c r="BO423" i="76"/>
  <c r="BO426" i="76"/>
  <c r="BO427" i="76"/>
  <c r="BO428" i="76"/>
  <c r="BO429" i="76"/>
  <c r="BO430" i="76"/>
  <c r="BO431" i="76"/>
  <c r="BO432" i="76"/>
  <c r="BO433" i="76"/>
  <c r="BO434" i="76"/>
  <c r="BO425" i="76"/>
  <c r="BO435" i="76"/>
  <c r="BO436" i="76"/>
  <c r="BO437" i="76"/>
  <c r="BO438" i="76"/>
  <c r="BO439" i="76"/>
  <c r="BO440" i="76"/>
  <c r="BO441" i="76"/>
  <c r="BO442" i="76"/>
  <c r="BO443" i="76"/>
  <c r="BO444" i="76"/>
  <c r="BO445" i="76"/>
  <c r="BO447" i="76"/>
  <c r="BO448" i="76"/>
  <c r="BO449" i="76"/>
  <c r="BO450" i="76"/>
  <c r="BO451" i="76"/>
  <c r="BO452" i="76"/>
  <c r="BO453" i="76"/>
  <c r="BO458" i="76"/>
  <c r="BO459" i="76"/>
  <c r="BO455" i="76"/>
  <c r="BO461" i="76"/>
  <c r="BO460" i="76"/>
  <c r="BO462" i="76"/>
  <c r="BO463" i="76"/>
  <c r="BO464" i="76"/>
  <c r="BO465" i="76"/>
  <c r="BO466" i="76"/>
  <c r="BO467" i="76"/>
  <c r="BO468" i="76"/>
  <c r="BO469" i="76"/>
  <c r="BO470" i="76"/>
  <c r="BO471" i="76"/>
  <c r="BO472" i="76"/>
  <c r="BO473" i="76"/>
  <c r="BO474" i="76"/>
  <c r="BO475" i="76"/>
  <c r="BO476" i="76"/>
  <c r="BO477" i="76"/>
  <c r="BO478" i="76"/>
  <c r="BO479" i="76"/>
  <c r="BO486" i="76"/>
  <c r="BO480" i="76"/>
  <c r="BO481" i="76"/>
  <c r="BO482" i="76"/>
  <c r="BO483" i="76"/>
  <c r="BO484" i="76"/>
  <c r="BO485" i="76"/>
  <c r="BO487" i="76"/>
  <c r="BO488" i="76"/>
  <c r="BO489" i="76"/>
  <c r="BO490" i="76"/>
  <c r="BO491" i="76"/>
  <c r="BO492" i="76"/>
  <c r="BO493" i="76"/>
  <c r="BO494" i="76"/>
  <c r="BO495" i="76"/>
  <c r="BO496" i="76"/>
  <c r="BO497" i="76"/>
  <c r="BO498" i="76"/>
  <c r="BO499" i="76"/>
  <c r="BO500" i="76"/>
  <c r="BO501" i="76"/>
  <c r="BO502" i="76"/>
  <c r="BO503" i="76"/>
  <c r="BO504" i="76"/>
  <c r="BO505" i="76"/>
  <c r="BO506" i="76"/>
  <c r="BO507" i="76"/>
  <c r="BO508" i="76"/>
  <c r="BO509" i="76"/>
  <c r="BO510" i="76"/>
  <c r="BO511" i="76"/>
  <c r="BO512" i="76"/>
  <c r="BO513" i="76"/>
  <c r="BO514" i="76"/>
  <c r="BO515" i="76"/>
  <c r="BO516" i="76"/>
  <c r="BO517" i="76"/>
  <c r="BO518" i="76"/>
  <c r="BO519" i="76"/>
  <c r="BO520" i="76"/>
  <c r="BO521" i="76"/>
  <c r="BO522" i="76"/>
  <c r="BO523" i="76"/>
  <c r="BO524" i="76"/>
  <c r="BO525" i="76"/>
  <c r="BO526" i="76"/>
  <c r="BO527" i="76"/>
  <c r="BO528" i="76"/>
  <c r="BO529" i="76"/>
  <c r="BO530" i="76"/>
  <c r="BO531" i="76"/>
  <c r="BO532" i="76"/>
  <c r="BO533" i="76"/>
  <c r="BO534" i="76"/>
  <c r="BO535" i="76"/>
  <c r="BO536" i="76"/>
  <c r="BO537" i="76"/>
  <c r="BO538" i="76"/>
  <c r="BO539" i="76"/>
  <c r="BO540" i="76"/>
  <c r="BO541" i="76"/>
  <c r="BO542" i="76"/>
  <c r="BO543" i="76"/>
  <c r="BO544" i="76"/>
  <c r="BO546" i="76"/>
  <c r="BO547" i="76"/>
  <c r="BO548" i="76"/>
  <c r="BO549" i="76"/>
  <c r="BO550" i="76"/>
  <c r="BO551" i="76"/>
  <c r="BO553" i="76"/>
  <c r="BO554" i="76"/>
  <c r="BO555" i="76"/>
  <c r="BO556" i="76"/>
  <c r="BO557" i="76"/>
  <c r="BO558" i="76"/>
  <c r="BO559" i="76"/>
  <c r="BO560" i="76"/>
  <c r="BO561" i="76"/>
  <c r="BO571" i="76"/>
  <c r="BO562" i="76"/>
  <c r="BO563" i="76"/>
  <c r="BO564" i="76"/>
  <c r="BO565" i="76"/>
  <c r="BO566" i="76"/>
  <c r="BO567" i="76"/>
  <c r="BO568" i="76"/>
  <c r="BO569" i="76"/>
  <c r="BO570" i="76"/>
  <c r="BO573" i="76"/>
  <c r="BO574" i="76"/>
  <c r="BO575" i="76"/>
  <c r="BO576" i="76"/>
  <c r="BO577" i="76"/>
  <c r="BO578" i="76"/>
  <c r="BO572" i="76"/>
  <c r="BO579" i="76"/>
  <c r="BO580" i="76"/>
  <c r="BO581" i="76"/>
  <c r="BO582" i="76"/>
  <c r="BO583" i="76"/>
  <c r="BO584" i="76"/>
  <c r="BO585" i="76"/>
  <c r="BO586" i="76"/>
  <c r="BO587" i="76"/>
  <c r="BO588" i="76"/>
  <c r="BO589" i="76"/>
  <c r="BO590" i="76"/>
  <c r="BO591" i="76"/>
  <c r="BO592" i="76"/>
  <c r="BO593" i="76"/>
  <c r="BO594" i="76"/>
  <c r="BO595" i="76"/>
  <c r="BO596" i="76"/>
  <c r="BO597" i="76"/>
  <c r="BO598" i="76"/>
  <c r="BO599" i="76"/>
  <c r="BO600" i="76"/>
  <c r="BO601" i="76"/>
  <c r="BO602" i="76"/>
  <c r="BO603" i="76"/>
  <c r="BO604" i="76"/>
  <c r="BO605" i="76"/>
  <c r="BO606" i="76"/>
  <c r="BO607" i="76"/>
  <c r="BO608" i="76"/>
  <c r="BO609" i="76"/>
  <c r="BO610" i="76"/>
  <c r="BO611" i="76"/>
  <c r="BO612" i="76"/>
  <c r="BO613" i="76"/>
  <c r="BO614" i="76"/>
  <c r="BO615" i="76"/>
  <c r="BO616" i="76"/>
  <c r="BO617" i="76"/>
  <c r="BO618" i="76"/>
  <c r="BO619" i="76"/>
  <c r="BO620" i="76"/>
  <c r="BO621" i="76"/>
  <c r="BO622" i="76"/>
  <c r="BO623" i="76"/>
  <c r="BO624" i="76"/>
  <c r="BO625" i="76"/>
  <c r="BO626" i="76"/>
  <c r="BO627" i="76"/>
  <c r="BO628" i="76"/>
  <c r="BO630" i="76"/>
  <c r="BO631" i="76"/>
  <c r="BO632" i="76"/>
  <c r="BO633" i="76"/>
  <c r="BO634" i="76"/>
  <c r="BO635" i="76"/>
  <c r="BO636" i="76"/>
  <c r="BO637" i="76"/>
  <c r="BO638" i="76"/>
  <c r="BO639" i="76"/>
  <c r="BO640" i="76"/>
  <c r="BO641" i="76"/>
  <c r="BO642" i="76"/>
  <c r="BO643" i="76"/>
  <c r="BO644" i="76"/>
  <c r="BO645" i="76"/>
  <c r="BO646" i="76"/>
  <c r="BO647" i="76"/>
  <c r="BO648" i="76"/>
  <c r="BO649" i="76"/>
  <c r="BO650" i="76"/>
  <c r="BO651" i="76"/>
  <c r="BO652" i="76"/>
  <c r="BO653" i="76"/>
  <c r="BO654" i="76"/>
  <c r="BO655" i="76"/>
  <c r="BO656" i="76"/>
  <c r="BO657" i="76"/>
  <c r="BO658" i="76"/>
  <c r="BO660" i="76"/>
  <c r="BO661" i="76"/>
  <c r="BO662" i="76"/>
  <c r="BO663" i="76"/>
  <c r="BO665" i="76"/>
  <c r="BO666" i="76"/>
  <c r="BO667" i="76"/>
  <c r="BO664" i="76"/>
  <c r="BO668" i="76"/>
  <c r="BO669" i="76"/>
  <c r="BO670" i="76"/>
  <c r="BO671" i="76"/>
  <c r="BO672" i="76"/>
  <c r="BO673" i="76"/>
  <c r="BO674" i="76"/>
  <c r="BO675" i="76"/>
  <c r="BO676" i="76"/>
  <c r="BO677" i="76"/>
  <c r="BO678" i="76"/>
  <c r="BO679" i="76"/>
  <c r="BO680" i="76"/>
  <c r="BO681" i="76"/>
  <c r="BO682" i="76"/>
  <c r="BO683" i="76"/>
  <c r="BO684" i="76"/>
  <c r="BO685" i="76"/>
  <c r="BO686" i="76"/>
  <c r="BO687" i="76"/>
  <c r="BO688" i="76"/>
  <c r="BO689" i="76"/>
  <c r="BO690" i="76"/>
  <c r="BO691" i="76"/>
  <c r="BO692" i="76"/>
  <c r="BO693" i="76"/>
  <c r="BO694" i="76"/>
  <c r="BO695" i="76"/>
  <c r="BO696" i="76"/>
  <c r="BO697" i="76"/>
  <c r="BO698" i="76"/>
  <c r="BO699" i="76"/>
  <c r="BO700" i="76"/>
  <c r="BO701" i="76"/>
  <c r="BO702" i="76"/>
  <c r="BO703" i="76"/>
  <c r="BO704" i="76"/>
  <c r="BO705" i="76"/>
  <c r="BO706" i="76"/>
  <c r="BO707" i="76"/>
  <c r="BO708" i="76"/>
  <c r="BO709" i="76"/>
  <c r="BO710" i="76"/>
  <c r="BO711" i="76"/>
  <c r="BO712" i="76"/>
  <c r="BO714" i="76"/>
  <c r="BO715" i="76"/>
  <c r="BO716" i="76"/>
  <c r="BO717" i="76"/>
  <c r="BO713" i="76"/>
  <c r="BO718" i="76"/>
  <c r="BO719" i="76"/>
  <c r="BO720" i="76"/>
  <c r="BO721" i="76"/>
  <c r="BO722" i="76"/>
  <c r="BO723" i="76"/>
  <c r="BO724" i="76"/>
  <c r="BO725" i="76"/>
  <c r="BO726" i="76"/>
  <c r="BO727" i="76"/>
  <c r="BO728" i="76"/>
  <c r="BO729" i="76"/>
  <c r="BO730" i="76"/>
  <c r="BO731" i="76"/>
  <c r="BO732" i="76"/>
  <c r="BO733" i="76"/>
  <c r="BO734" i="76"/>
  <c r="BO735" i="76"/>
  <c r="BO741" i="76"/>
  <c r="BO742" i="76"/>
  <c r="BO744" i="76"/>
  <c r="BO745" i="76"/>
  <c r="BO746" i="76"/>
  <c r="BO743" i="76"/>
  <c r="BO747" i="76"/>
  <c r="BO748" i="76"/>
  <c r="BO749" i="76"/>
  <c r="BO750" i="76"/>
  <c r="BO751" i="76"/>
  <c r="BO752" i="76"/>
  <c r="BO753" i="76"/>
  <c r="BO754" i="76"/>
  <c r="BO755" i="76"/>
  <c r="BO756" i="76"/>
  <c r="BO757" i="76"/>
  <c r="BO758" i="76"/>
  <c r="BO760" i="76"/>
  <c r="BO761" i="76"/>
  <c r="BO762" i="76"/>
  <c r="BO763" i="76"/>
  <c r="BO764" i="76"/>
  <c r="BO769" i="76"/>
  <c r="BO765" i="76"/>
  <c r="BO766" i="76"/>
  <c r="BO767" i="76"/>
  <c r="BO759" i="76"/>
  <c r="BO768" i="76"/>
  <c r="BO770" i="76"/>
  <c r="BO771" i="76"/>
  <c r="BO772" i="76"/>
  <c r="BO773" i="76"/>
  <c r="BO774" i="76"/>
  <c r="BO775" i="76"/>
  <c r="BO776" i="76"/>
  <c r="BO777" i="76"/>
  <c r="BO778" i="76"/>
  <c r="BO779" i="76"/>
  <c r="BO780" i="76"/>
  <c r="BO781" i="76"/>
  <c r="BO782" i="76"/>
  <c r="BO783" i="76"/>
  <c r="BO784" i="76"/>
  <c r="BO785" i="76"/>
  <c r="BO786" i="76"/>
  <c r="BO787" i="76"/>
  <c r="BO788" i="76"/>
  <c r="BO790" i="76"/>
  <c r="BO791" i="76"/>
  <c r="BO792" i="76"/>
  <c r="BO793" i="76"/>
  <c r="BO794" i="76"/>
  <c r="BO795" i="76"/>
  <c r="BO796" i="76"/>
  <c r="BO797" i="76"/>
  <c r="BO798" i="76"/>
  <c r="BO799" i="76"/>
  <c r="BO800" i="76"/>
  <c r="BO801" i="76"/>
  <c r="BO803" i="76"/>
  <c r="BO804" i="76"/>
  <c r="BO805" i="76"/>
  <c r="BO806" i="76"/>
  <c r="BO807" i="76"/>
  <c r="BO808" i="76"/>
  <c r="BO809" i="76"/>
  <c r="BO810" i="76"/>
  <c r="BO811" i="76"/>
  <c r="BO812" i="76"/>
  <c r="BO813" i="76"/>
  <c r="BO814" i="76"/>
  <c r="BO815" i="76"/>
  <c r="BO816" i="76"/>
  <c r="BO817" i="76"/>
  <c r="BO818" i="76"/>
  <c r="BO819" i="76"/>
  <c r="BO820" i="76"/>
  <c r="BO821" i="76"/>
  <c r="BO822" i="76"/>
  <c r="BO823" i="76"/>
  <c r="BO825" i="76"/>
  <c r="BO826" i="76"/>
  <c r="BO827" i="76"/>
  <c r="BO828" i="76"/>
  <c r="BO829" i="76"/>
  <c r="BO830" i="76"/>
  <c r="BO831" i="76"/>
  <c r="BO832" i="76"/>
  <c r="BO833" i="76"/>
  <c r="BO824" i="76"/>
  <c r="BO834" i="76"/>
  <c r="BO835" i="76"/>
  <c r="BO836" i="76"/>
  <c r="BO837" i="76"/>
  <c r="BO838" i="76"/>
  <c r="BO839" i="76"/>
  <c r="BO840" i="76"/>
  <c r="BO841" i="76"/>
  <c r="BO842" i="76"/>
  <c r="BO843" i="76"/>
  <c r="BO844" i="76"/>
  <c r="BO845" i="76"/>
  <c r="BO846" i="76"/>
  <c r="BO847" i="76"/>
  <c r="BO848" i="76"/>
  <c r="BO849" i="76"/>
  <c r="BO850" i="76"/>
  <c r="BO851" i="76"/>
  <c r="BO852" i="76"/>
  <c r="BO853" i="76"/>
  <c r="BO854" i="76"/>
  <c r="BO855" i="76"/>
  <c r="BO856" i="76"/>
  <c r="BO857" i="76"/>
  <c r="BO858" i="76"/>
  <c r="BO860" i="76"/>
  <c r="BO861" i="76"/>
  <c r="BO862" i="76"/>
  <c r="BO863" i="76"/>
  <c r="BO864" i="76"/>
  <c r="BO865" i="76"/>
  <c r="BO859" i="76"/>
  <c r="BO866" i="76"/>
  <c r="BO867" i="76"/>
  <c r="BO868" i="76"/>
  <c r="BO869" i="76"/>
  <c r="BO870" i="76"/>
  <c r="BO871" i="76"/>
  <c r="BO872" i="76"/>
  <c r="BO873" i="76"/>
  <c r="BO874" i="76"/>
  <c r="BO875" i="76"/>
  <c r="BO876" i="76"/>
  <c r="BO877" i="76"/>
  <c r="BO878" i="76"/>
  <c r="BO879" i="76"/>
  <c r="BO880" i="76"/>
  <c r="BO881" i="76"/>
  <c r="BO882" i="76"/>
  <c r="BO883" i="76"/>
  <c r="BO884" i="76"/>
  <c r="BO885" i="76"/>
  <c r="BO886" i="76"/>
  <c r="BO887" i="76"/>
  <c r="BO888" i="76"/>
  <c r="BO889" i="76"/>
  <c r="BO890" i="76"/>
  <c r="BO891" i="76"/>
  <c r="BO892" i="76"/>
  <c r="BO893" i="76"/>
  <c r="BO894" i="76"/>
  <c r="BO895" i="76"/>
  <c r="BO896" i="76"/>
  <c r="BO897" i="76"/>
  <c r="BO898" i="76"/>
  <c r="BO899" i="76"/>
  <c r="BO900" i="76"/>
  <c r="BO901" i="76"/>
  <c r="BO902" i="76"/>
  <c r="BO903" i="76"/>
  <c r="BO904" i="76"/>
  <c r="BO905" i="76"/>
  <c r="BO906" i="76"/>
  <c r="BO907" i="76"/>
  <c r="BO908" i="76"/>
  <c r="BO909" i="76"/>
  <c r="BO910" i="76"/>
  <c r="BO911" i="76"/>
  <c r="BO912" i="76"/>
  <c r="BO913" i="76"/>
  <c r="BO914" i="76"/>
  <c r="BO915" i="76"/>
  <c r="BO916" i="76"/>
  <c r="BO917" i="76"/>
  <c r="BO918" i="76"/>
  <c r="BO919" i="76"/>
  <c r="BO920" i="76"/>
  <c r="BO921" i="76"/>
  <c r="BO922" i="76"/>
  <c r="BO923" i="76"/>
  <c r="BO924" i="76"/>
  <c r="BO925" i="76"/>
  <c r="BO926" i="76"/>
  <c r="BO927" i="76"/>
  <c r="BO950" i="76"/>
  <c r="BO929" i="76"/>
  <c r="BO930" i="76"/>
  <c r="BO931" i="76"/>
  <c r="BO932" i="76"/>
  <c r="BO933" i="76"/>
  <c r="BO934" i="76"/>
  <c r="BO935" i="76"/>
  <c r="BO936" i="76"/>
  <c r="BO937" i="76"/>
  <c r="BO938" i="76"/>
  <c r="BO939" i="76"/>
  <c r="BO940" i="76"/>
  <c r="BO941" i="76"/>
  <c r="BO942" i="76"/>
  <c r="BO943" i="76"/>
  <c r="BO944" i="76"/>
  <c r="BO945" i="76"/>
  <c r="BO946" i="76"/>
  <c r="BO947" i="76"/>
  <c r="BO948" i="76"/>
  <c r="BO949" i="76"/>
  <c r="BO951" i="76"/>
  <c r="BO952" i="76"/>
  <c r="BO953" i="76"/>
  <c r="BO954" i="76"/>
  <c r="BO955" i="76"/>
  <c r="BO956" i="76"/>
  <c r="BO957" i="76"/>
  <c r="BO958" i="76"/>
  <c r="BO959" i="76"/>
  <c r="BO960" i="76"/>
  <c r="BO961" i="76"/>
  <c r="BO962" i="76"/>
  <c r="BO963" i="76"/>
  <c r="BO964" i="76"/>
  <c r="BO965" i="76"/>
  <c r="BO966" i="76"/>
  <c r="BO967" i="76"/>
  <c r="BO968" i="76"/>
  <c r="BO969" i="76"/>
  <c r="BO970" i="76"/>
  <c r="BO971" i="76"/>
  <c r="BO972" i="76"/>
  <c r="BO973" i="76"/>
  <c r="BO974" i="76"/>
  <c r="BO975" i="76"/>
  <c r="BO976" i="76"/>
  <c r="BO977" i="76"/>
  <c r="BO978" i="76"/>
  <c r="BO979" i="76"/>
  <c r="BO980" i="76"/>
  <c r="BO981" i="76"/>
  <c r="BO982" i="76"/>
  <c r="BO983" i="76"/>
  <c r="BO984" i="76"/>
  <c r="BO985" i="76"/>
  <c r="BO986" i="76"/>
  <c r="BO987" i="76"/>
  <c r="BO988" i="76"/>
  <c r="BO989" i="76"/>
  <c r="BO990" i="76"/>
  <c r="BO991" i="76"/>
  <c r="BO992" i="76"/>
  <c r="BO993" i="76"/>
  <c r="BO994" i="76"/>
  <c r="BO995" i="76"/>
  <c r="BO996" i="76"/>
  <c r="BO997" i="76"/>
  <c r="BO998" i="76"/>
  <c r="BO999" i="76"/>
  <c r="BO1000" i="76"/>
  <c r="BO1001" i="76"/>
  <c r="BO1002" i="76"/>
  <c r="BO1003" i="76"/>
  <c r="BO1004" i="76"/>
  <c r="BO1005" i="76"/>
  <c r="BO1006" i="76"/>
  <c r="BO1011" i="76"/>
  <c r="BO1008" i="76"/>
  <c r="BO1012" i="76"/>
  <c r="BO1013" i="76"/>
  <c r="BO1014" i="76"/>
  <c r="BO1015" i="76"/>
  <c r="BO1016" i="76"/>
  <c r="BO1017" i="76"/>
  <c r="BO1018" i="76"/>
  <c r="BO1019" i="76"/>
  <c r="BO1020" i="76"/>
  <c r="BO1021" i="76"/>
  <c r="BO1022" i="76"/>
  <c r="BO1023" i="76"/>
  <c r="BO1024" i="76"/>
  <c r="BO1025" i="76"/>
  <c r="BO1026" i="76"/>
  <c r="BO1027" i="76"/>
  <c r="BO1028" i="76"/>
  <c r="BO1029" i="76"/>
  <c r="BO1030" i="76"/>
  <c r="BO1031" i="76"/>
  <c r="BO1032" i="76"/>
  <c r="O174" i="76"/>
  <c r="X174" i="76" l="1"/>
  <c r="W174" i="76"/>
  <c r="BO4" i="76"/>
  <c r="V669" i="76"/>
  <c r="V395" i="76"/>
  <c r="V750" i="76" l="1"/>
  <c r="V665" i="76"/>
  <c r="V744" i="76"/>
  <c r="V714" i="76"/>
  <c r="F51" i="52"/>
  <c r="F52" i="52"/>
  <c r="F53" i="52"/>
  <c r="F54" i="52"/>
  <c r="F55" i="52"/>
  <c r="F56" i="52"/>
  <c r="F57" i="52"/>
  <c r="F58" i="52"/>
  <c r="F50" i="52"/>
  <c r="E51" i="52" l="1"/>
  <c r="E52" i="52"/>
  <c r="E53" i="52"/>
  <c r="E54" i="52"/>
  <c r="E55" i="52"/>
  <c r="E56" i="52"/>
  <c r="E57" i="52"/>
  <c r="E58" i="52"/>
  <c r="E50" i="52"/>
  <c r="D55" i="52"/>
  <c r="D54" i="52"/>
  <c r="D53" i="52"/>
  <c r="D59" i="52"/>
  <c r="D60" i="52" s="1"/>
  <c r="E60" i="52" s="1"/>
  <c r="D51" i="52"/>
  <c r="D50" i="52"/>
  <c r="D57" i="52"/>
  <c r="D52" i="52"/>
  <c r="D56" i="52"/>
  <c r="D58" i="52"/>
  <c r="AB1032" i="76"/>
  <c r="AB1031" i="76"/>
  <c r="AB1030" i="76"/>
  <c r="AB1029" i="76"/>
  <c r="AB1028" i="76"/>
  <c r="AB1027" i="76"/>
  <c r="AB1026" i="76"/>
  <c r="AB1025" i="76"/>
  <c r="AB1024" i="76"/>
  <c r="AB1023" i="76"/>
  <c r="AB1022" i="76"/>
  <c r="AB1021" i="76"/>
  <c r="AB1020" i="76"/>
  <c r="AB1019" i="76"/>
  <c r="AB1018" i="76"/>
  <c r="AB1017" i="76"/>
  <c r="AB1016" i="76"/>
  <c r="AB1015" i="76"/>
  <c r="AB1014" i="76"/>
  <c r="AB1013" i="76"/>
  <c r="AB1012" i="76"/>
  <c r="AB1008" i="76"/>
  <c r="AB1004" i="76"/>
  <c r="AB1003" i="76"/>
  <c r="AB1002" i="76"/>
  <c r="AB1001" i="76"/>
  <c r="AB1000" i="76"/>
  <c r="AB999" i="76"/>
  <c r="AB998" i="76"/>
  <c r="AB997" i="76"/>
  <c r="AB996" i="76"/>
  <c r="AB995" i="76"/>
  <c r="AB994" i="76"/>
  <c r="AB993" i="76"/>
  <c r="AB992" i="76"/>
  <c r="AB991" i="76"/>
  <c r="AB990" i="76"/>
  <c r="AB989" i="76"/>
  <c r="AB988" i="76"/>
  <c r="AB987" i="76"/>
  <c r="AB986" i="76"/>
  <c r="AB985" i="76"/>
  <c r="AB984" i="76"/>
  <c r="AB983" i="76"/>
  <c r="AB982" i="76"/>
  <c r="AB981" i="76"/>
  <c r="AB980" i="76"/>
  <c r="AB979" i="76"/>
  <c r="AB978" i="76"/>
  <c r="AB977" i="76"/>
  <c r="AB976" i="76"/>
  <c r="AB975" i="76"/>
  <c r="AB974" i="76"/>
  <c r="AB973" i="76"/>
  <c r="AB972" i="76"/>
  <c r="AB971" i="76"/>
  <c r="AB970" i="76"/>
  <c r="AB969" i="76"/>
  <c r="AB968" i="76"/>
  <c r="AB967" i="76"/>
  <c r="AB966" i="76"/>
  <c r="AB965" i="76"/>
  <c r="AB964" i="76"/>
  <c r="AB963" i="76"/>
  <c r="AB962" i="76"/>
  <c r="AB961" i="76"/>
  <c r="AB960" i="76"/>
  <c r="AB959" i="76"/>
  <c r="AB958" i="76"/>
  <c r="AB951" i="76"/>
  <c r="AB949" i="76"/>
  <c r="AB948" i="76"/>
  <c r="AB947" i="76"/>
  <c r="AB946" i="76"/>
  <c r="AB945" i="76"/>
  <c r="AB941" i="76"/>
  <c r="AB940" i="76"/>
  <c r="AB939" i="76"/>
  <c r="AB935" i="76"/>
  <c r="AB931" i="76"/>
  <c r="AB950" i="76"/>
  <c r="AB922" i="76"/>
  <c r="AB921" i="76"/>
  <c r="AB920" i="76"/>
  <c r="AB916" i="76"/>
  <c r="AB915" i="76"/>
  <c r="AB911" i="76"/>
  <c r="AB907" i="76"/>
  <c r="AB903" i="76"/>
  <c r="AB902" i="76"/>
  <c r="AB901" i="76"/>
  <c r="AB900" i="76"/>
  <c r="AB899" i="76"/>
  <c r="AB898" i="76"/>
  <c r="AB897" i="76"/>
  <c r="AB896" i="76"/>
  <c r="AB895" i="76"/>
  <c r="AB894" i="76"/>
  <c r="AB887" i="76"/>
  <c r="AB886" i="76"/>
  <c r="AB885" i="76"/>
  <c r="AB884" i="76"/>
  <c r="AB883" i="76"/>
  <c r="AB879" i="76"/>
  <c r="AB875" i="76"/>
  <c r="AB874" i="76"/>
  <c r="AB867" i="76"/>
  <c r="AB866" i="76"/>
  <c r="AB859" i="76"/>
  <c r="AB865" i="76"/>
  <c r="AB864" i="76"/>
  <c r="AB860" i="76"/>
  <c r="AB858" i="76"/>
  <c r="AB857" i="76"/>
  <c r="AB856" i="76"/>
  <c r="AB855" i="76"/>
  <c r="AB854" i="76"/>
  <c r="AB853" i="76"/>
  <c r="AB852" i="76"/>
  <c r="AB848" i="76"/>
  <c r="AB847" i="76"/>
  <c r="AB843" i="76"/>
  <c r="AB842" i="76"/>
  <c r="AB835" i="76"/>
  <c r="AB834" i="76"/>
  <c r="AB824" i="76"/>
  <c r="AB833" i="76"/>
  <c r="AB829" i="76"/>
  <c r="AB828" i="76"/>
  <c r="AB823" i="76"/>
  <c r="AB819" i="76"/>
  <c r="AB818" i="76"/>
  <c r="AB811" i="76"/>
  <c r="AB810" i="76"/>
  <c r="AB809" i="76"/>
  <c r="AB808" i="76"/>
  <c r="AB807" i="76"/>
  <c r="AB803" i="76"/>
  <c r="AB801" i="76"/>
  <c r="AB800" i="76"/>
  <c r="AB799" i="76"/>
  <c r="AB795" i="76"/>
  <c r="AB794" i="76"/>
  <c r="AB790" i="76"/>
  <c r="AB788" i="76"/>
  <c r="AB779" i="76"/>
  <c r="AB778" i="76"/>
  <c r="AB777" i="76"/>
  <c r="AB776" i="76"/>
  <c r="AB775" i="76"/>
  <c r="AB774" i="76"/>
  <c r="AB773" i="76"/>
  <c r="AB768" i="76"/>
  <c r="AB759" i="76"/>
  <c r="AB769" i="76"/>
  <c r="AB764" i="76"/>
  <c r="AB760" i="76"/>
  <c r="AB758" i="76"/>
  <c r="AB757" i="76"/>
  <c r="AB756" i="76"/>
  <c r="AB749" i="76"/>
  <c r="AB748" i="76"/>
  <c r="AB747" i="76"/>
  <c r="AB743" i="76"/>
  <c r="AB742" i="76"/>
  <c r="AB733" i="76"/>
  <c r="AB732" i="76"/>
  <c r="AB731" i="76"/>
  <c r="AB730" i="76"/>
  <c r="AB723" i="76"/>
  <c r="AB722" i="76"/>
  <c r="AB718" i="76"/>
  <c r="AB713" i="76"/>
  <c r="AB717" i="76"/>
  <c r="AB712" i="76"/>
  <c r="AB708" i="76"/>
  <c r="AB707" i="76"/>
  <c r="AB706" i="76"/>
  <c r="AB702" i="76"/>
  <c r="AB701" i="76"/>
  <c r="AB694" i="76"/>
  <c r="AB693" i="76"/>
  <c r="AB692" i="76"/>
  <c r="AB691" i="76"/>
  <c r="AB690" i="76"/>
  <c r="AB689" i="76"/>
  <c r="AB685" i="76"/>
  <c r="AB681" i="76"/>
  <c r="AB674" i="76"/>
  <c r="AB673" i="76"/>
  <c r="AB672" i="76"/>
  <c r="AB668" i="76"/>
  <c r="AB664" i="76"/>
  <c r="AB663" i="76"/>
  <c r="AB658" i="76"/>
  <c r="AB654" i="76"/>
  <c r="AB647" i="76"/>
  <c r="AB646" i="76"/>
  <c r="AB645" i="76"/>
  <c r="AB641" i="76"/>
  <c r="AB637" i="76"/>
  <c r="AB630" i="76"/>
  <c r="AB628" i="76"/>
  <c r="AB627" i="76"/>
  <c r="AB626" i="76"/>
  <c r="AB622" i="76"/>
  <c r="AB618" i="76"/>
  <c r="AB617" i="76"/>
  <c r="AB613" i="76"/>
  <c r="AB612" i="76"/>
  <c r="AB605" i="76"/>
  <c r="AB604" i="76"/>
  <c r="AB603" i="76"/>
  <c r="AB602" i="76"/>
  <c r="AB601" i="76"/>
  <c r="AB597" i="76"/>
  <c r="AB596" i="76"/>
  <c r="AB592" i="76"/>
  <c r="AB591" i="76"/>
  <c r="AB584" i="76"/>
  <c r="AB583" i="76"/>
  <c r="AB582" i="76"/>
  <c r="AB572" i="76"/>
  <c r="AB578" i="76"/>
  <c r="AB577" i="76"/>
  <c r="AB573" i="76"/>
  <c r="AB570" i="76"/>
  <c r="AB569" i="76"/>
  <c r="AB565" i="76"/>
  <c r="AB571" i="76"/>
  <c r="AB561" i="76"/>
  <c r="AB554" i="76"/>
  <c r="AB553" i="76"/>
  <c r="AB551" i="76"/>
  <c r="AB550" i="76"/>
  <c r="AB549" i="76"/>
  <c r="AB544" i="76"/>
  <c r="AB540" i="76"/>
  <c r="AB539" i="76"/>
  <c r="AB535" i="76"/>
  <c r="AB534" i="76"/>
  <c r="AB533" i="76"/>
  <c r="AB529" i="76"/>
  <c r="AB528" i="76"/>
  <c r="AB527" i="76"/>
  <c r="AB526" i="76"/>
  <c r="AB519" i="76"/>
  <c r="AB518" i="76"/>
  <c r="AB517" i="76"/>
  <c r="AB516" i="76"/>
  <c r="AB515" i="76"/>
  <c r="AB511" i="76"/>
  <c r="AB510" i="76"/>
  <c r="AB506" i="76"/>
  <c r="AB505" i="76"/>
  <c r="AB504" i="76"/>
  <c r="AB503" i="76"/>
  <c r="AB494" i="76"/>
  <c r="AB493" i="76"/>
  <c r="AB492" i="76"/>
  <c r="AB491" i="76"/>
  <c r="AB490" i="76"/>
  <c r="AB485" i="76"/>
  <c r="AB484" i="76"/>
  <c r="AB483" i="76"/>
  <c r="AB482" i="76"/>
  <c r="AB481" i="76"/>
  <c r="AB480" i="76"/>
  <c r="AB486" i="76"/>
  <c r="AB473" i="76"/>
  <c r="AB472" i="76"/>
  <c r="AB471" i="76"/>
  <c r="AB470" i="76"/>
  <c r="AB469" i="76"/>
  <c r="AB468" i="76"/>
  <c r="AB467" i="76"/>
  <c r="AB466" i="76"/>
  <c r="AB465" i="76"/>
  <c r="AB460" i="76"/>
  <c r="AB461" i="76"/>
  <c r="AB455" i="76"/>
  <c r="AB459" i="76"/>
  <c r="AB451" i="76"/>
  <c r="AB447" i="76"/>
  <c r="AB445" i="76"/>
  <c r="AB444" i="76"/>
  <c r="AB443" i="76"/>
  <c r="AB436" i="76"/>
  <c r="AB435" i="76"/>
  <c r="AB425" i="76"/>
  <c r="AB434" i="76"/>
  <c r="AB430" i="76"/>
  <c r="AB426" i="76"/>
  <c r="AB423" i="76"/>
  <c r="AB422" i="76"/>
  <c r="AB424" i="76"/>
  <c r="AB417" i="76"/>
  <c r="AB409" i="76"/>
  <c r="AB408" i="76"/>
  <c r="AB404" i="76"/>
  <c r="AB402" i="76"/>
  <c r="AB400" i="76"/>
  <c r="AB401" i="76"/>
  <c r="AB399" i="76"/>
  <c r="AB398" i="76"/>
  <c r="AB394" i="76"/>
  <c r="AB389" i="76"/>
  <c r="AB390" i="76"/>
  <c r="AB418" i="76"/>
  <c r="AB388" i="76"/>
  <c r="AB387" i="76"/>
  <c r="AB386" i="76"/>
  <c r="AB379" i="76"/>
  <c r="AB378" i="76"/>
  <c r="AB374" i="76"/>
  <c r="AB370" i="76"/>
  <c r="AB363" i="76"/>
  <c r="AB362" i="76"/>
  <c r="AB361" i="76"/>
  <c r="AB357" i="76"/>
  <c r="AB356" i="76"/>
  <c r="AB352" i="76"/>
  <c r="AB348" i="76"/>
  <c r="AB347" i="76"/>
  <c r="AB346" i="76"/>
  <c r="AB342" i="76"/>
  <c r="AB341" i="76"/>
  <c r="AB340" i="76"/>
  <c r="AB339" i="76"/>
  <c r="AB338" i="76"/>
  <c r="AB337" i="76"/>
  <c r="AB330" i="76"/>
  <c r="AB329" i="76"/>
  <c r="AB328" i="76"/>
  <c r="AB327" i="76"/>
  <c r="AB326" i="76"/>
  <c r="AB317" i="76"/>
  <c r="AB321" i="76"/>
  <c r="AB322" i="76"/>
  <c r="AB313" i="76"/>
  <c r="AB312" i="76"/>
  <c r="AB311" i="76"/>
  <c r="AB310" i="76"/>
  <c r="AB309" i="76"/>
  <c r="AB308" i="76"/>
  <c r="AB301" i="76"/>
  <c r="AB300" i="76"/>
  <c r="AB299" i="76"/>
  <c r="AB298" i="76"/>
  <c r="AB293" i="76"/>
  <c r="AB292" i="76"/>
  <c r="AB288" i="76"/>
  <c r="AB287" i="76"/>
  <c r="AB285" i="76"/>
  <c r="AB284" i="76"/>
  <c r="AB283" i="76"/>
  <c r="AB276" i="76"/>
  <c r="AB275" i="76"/>
  <c r="AB274" i="76"/>
  <c r="AB273" i="76"/>
  <c r="AB269" i="76"/>
  <c r="AB268" i="76"/>
  <c r="AB267" i="76"/>
  <c r="AB259" i="76"/>
  <c r="AB263" i="76"/>
  <c r="AB258" i="76"/>
  <c r="AB257" i="76"/>
  <c r="AB256" i="76"/>
  <c r="AB249" i="76"/>
  <c r="AB248" i="76"/>
  <c r="AB247" i="76"/>
  <c r="AB246" i="76"/>
  <c r="AB245" i="76"/>
  <c r="AB244" i="76"/>
  <c r="AB240" i="76"/>
  <c r="AB239" i="76"/>
  <c r="AB238" i="76"/>
  <c r="AB237" i="76"/>
  <c r="AB236" i="76"/>
  <c r="AB235" i="76"/>
  <c r="AB231" i="76"/>
  <c r="AB219" i="76"/>
  <c r="AB230" i="76"/>
  <c r="AB229" i="76"/>
  <c r="AB228" i="76"/>
  <c r="AB224" i="76"/>
  <c r="AB223" i="76"/>
  <c r="AB215" i="76"/>
  <c r="AB217" i="76"/>
  <c r="AB216" i="76"/>
  <c r="AB218" i="76"/>
  <c r="AB214" i="76"/>
  <c r="AB213" i="76"/>
  <c r="AB212" i="76"/>
  <c r="AB211" i="76"/>
  <c r="AB210" i="76"/>
  <c r="AB209" i="76"/>
  <c r="AB208" i="76"/>
  <c r="AB207" i="76"/>
  <c r="AB206" i="76"/>
  <c r="AB205" i="76"/>
  <c r="AB204" i="76"/>
  <c r="AB203" i="76"/>
  <c r="AB193" i="76"/>
  <c r="AB192" i="76"/>
  <c r="AB191" i="76"/>
  <c r="AB187" i="76"/>
  <c r="AB186" i="76"/>
  <c r="AB185" i="76"/>
  <c r="AB184" i="76"/>
  <c r="AB183" i="76"/>
  <c r="AB182" i="76"/>
  <c r="AB181" i="76"/>
  <c r="AB177" i="76"/>
  <c r="AB176" i="76"/>
  <c r="AB194" i="76"/>
  <c r="AB175" i="76"/>
  <c r="AB174" i="76"/>
  <c r="AB170" i="76"/>
  <c r="AB169" i="76"/>
  <c r="AB168" i="76"/>
  <c r="AB161" i="76"/>
  <c r="AB160" i="76"/>
  <c r="AB159" i="76"/>
  <c r="AB158" i="76"/>
  <c r="AB154" i="76"/>
  <c r="AB150" i="76"/>
  <c r="AB146" i="76"/>
  <c r="AB139" i="76"/>
  <c r="AB138" i="76"/>
  <c r="AB137" i="76"/>
  <c r="AB136" i="76"/>
  <c r="AB132" i="76"/>
  <c r="AB131" i="76"/>
  <c r="AB130" i="76"/>
  <c r="AB126" i="76"/>
  <c r="AB125" i="76"/>
  <c r="AB121" i="76"/>
  <c r="AB120" i="76"/>
  <c r="AB116" i="76"/>
  <c r="AB109" i="76"/>
  <c r="AB108" i="76"/>
  <c r="AB107" i="76"/>
  <c r="AB103" i="76"/>
  <c r="AB102" i="76"/>
  <c r="AB95" i="76"/>
  <c r="AB94" i="76"/>
  <c r="AB93" i="76"/>
  <c r="AB89" i="76"/>
  <c r="AB88" i="76"/>
  <c r="AB81" i="76"/>
  <c r="AB80" i="76"/>
  <c r="AB79" i="76"/>
  <c r="AB78" i="76"/>
  <c r="AB74" i="76"/>
  <c r="AB73" i="76"/>
  <c r="AB72" i="76"/>
  <c r="AB68" i="76"/>
  <c r="AB64" i="76"/>
  <c r="AB63" i="76"/>
  <c r="AB62" i="76"/>
  <c r="AB58" i="76"/>
  <c r="AB57" i="76"/>
  <c r="AB56" i="76"/>
  <c r="AB49" i="76"/>
  <c r="AB48" i="76"/>
  <c r="AB41" i="76"/>
  <c r="AB47" i="76"/>
  <c r="AB46" i="76"/>
  <c r="AB45" i="76"/>
  <c r="AB37" i="76"/>
  <c r="AB30" i="76"/>
  <c r="AB29" i="76"/>
  <c r="AB28" i="76"/>
  <c r="AB27" i="76"/>
  <c r="AB26" i="76"/>
  <c r="AB25" i="76"/>
  <c r="AB19" i="76"/>
  <c r="AB24" i="76"/>
  <c r="AB23" i="76"/>
  <c r="AB15" i="76"/>
  <c r="AB14" i="76"/>
  <c r="AB9" i="76"/>
  <c r="AB8" i="76"/>
  <c r="AB7" i="76"/>
  <c r="AB10" i="76"/>
  <c r="AB6" i="76"/>
  <c r="AB5" i="76"/>
  <c r="AB4" i="76"/>
  <c r="C60" i="52"/>
  <c r="E59" i="52" l="1"/>
  <c r="M310" i="76"/>
  <c r="X310" i="76" s="1"/>
  <c r="O292" i="76"/>
  <c r="T681" i="76"/>
  <c r="T529" i="76"/>
  <c r="BF1032" i="76"/>
  <c r="BG1032" i="76" s="1"/>
  <c r="BF1031" i="76"/>
  <c r="BG1031" i="76" s="1"/>
  <c r="BF1030" i="76"/>
  <c r="BG1030" i="76" s="1"/>
  <c r="BF1029" i="76"/>
  <c r="BG1029" i="76" s="1"/>
  <c r="BF1028" i="76"/>
  <c r="BG1028" i="76" s="1"/>
  <c r="BF1027" i="76"/>
  <c r="BG1027" i="76" s="1"/>
  <c r="BF1026" i="76"/>
  <c r="BG1026" i="76" s="1"/>
  <c r="BF1025" i="76"/>
  <c r="BG1025" i="76" s="1"/>
  <c r="BF1024" i="76"/>
  <c r="BG1024" i="76" s="1"/>
  <c r="BF1023" i="76"/>
  <c r="BG1023" i="76" s="1"/>
  <c r="BF1022" i="76"/>
  <c r="BG1022" i="76" s="1"/>
  <c r="BF1021" i="76"/>
  <c r="BG1021" i="76" s="1"/>
  <c r="BF1020" i="76"/>
  <c r="BG1020" i="76" s="1"/>
  <c r="BF1019" i="76"/>
  <c r="BG1019" i="76" s="1"/>
  <c r="BF1018" i="76"/>
  <c r="BG1018" i="76" s="1"/>
  <c r="BF1017" i="76"/>
  <c r="BG1017" i="76" s="1"/>
  <c r="BF1016" i="76"/>
  <c r="BG1016" i="76" s="1"/>
  <c r="BF1015" i="76"/>
  <c r="BG1015" i="76" s="1"/>
  <c r="BF1014" i="76"/>
  <c r="BG1014" i="76" s="1"/>
  <c r="BF1013" i="76"/>
  <c r="BG1013" i="76" s="1"/>
  <c r="BF1012" i="76"/>
  <c r="BG1012" i="76" s="1"/>
  <c r="BF1008" i="76"/>
  <c r="BG1008" i="76" s="1"/>
  <c r="BF1004" i="76"/>
  <c r="BG1004" i="76" s="1"/>
  <c r="BF1003" i="76"/>
  <c r="BG1003" i="76" s="1"/>
  <c r="BF1002" i="76"/>
  <c r="BG1002" i="76" s="1"/>
  <c r="BF1001" i="76"/>
  <c r="BG1001" i="76" s="1"/>
  <c r="BF1000" i="76"/>
  <c r="BG1000" i="76" s="1"/>
  <c r="BF999" i="76"/>
  <c r="BG999" i="76" s="1"/>
  <c r="BF998" i="76"/>
  <c r="BG998" i="76" s="1"/>
  <c r="BF997" i="76"/>
  <c r="BG997" i="76" s="1"/>
  <c r="BF996" i="76"/>
  <c r="BG996" i="76" s="1"/>
  <c r="BF995" i="76"/>
  <c r="BG995" i="76" s="1"/>
  <c r="BF994" i="76"/>
  <c r="BG994" i="76" s="1"/>
  <c r="BF993" i="76"/>
  <c r="BG993" i="76" s="1"/>
  <c r="BF992" i="76"/>
  <c r="BG992" i="76" s="1"/>
  <c r="BF991" i="76"/>
  <c r="BG991" i="76" s="1"/>
  <c r="BF990" i="76"/>
  <c r="BG990" i="76" s="1"/>
  <c r="BF989" i="76"/>
  <c r="BG989" i="76" s="1"/>
  <c r="BF988" i="76"/>
  <c r="BG988" i="76" s="1"/>
  <c r="BF987" i="76"/>
  <c r="BG987" i="76" s="1"/>
  <c r="BF986" i="76"/>
  <c r="BG986" i="76" s="1"/>
  <c r="BF985" i="76"/>
  <c r="BG985" i="76" s="1"/>
  <c r="BF984" i="76"/>
  <c r="BG984" i="76" s="1"/>
  <c r="BF983" i="76"/>
  <c r="BG983" i="76" s="1"/>
  <c r="BF982" i="76"/>
  <c r="BG982" i="76" s="1"/>
  <c r="BF981" i="76"/>
  <c r="BG981" i="76" s="1"/>
  <c r="BF980" i="76"/>
  <c r="BG980" i="76" s="1"/>
  <c r="BF979" i="76"/>
  <c r="BG979" i="76" s="1"/>
  <c r="BF978" i="76"/>
  <c r="BG978" i="76" s="1"/>
  <c r="BF977" i="76"/>
  <c r="BG977" i="76" s="1"/>
  <c r="BF976" i="76"/>
  <c r="BG976" i="76" s="1"/>
  <c r="BF975" i="76"/>
  <c r="BG975" i="76" s="1"/>
  <c r="BF974" i="76"/>
  <c r="BG974" i="76" s="1"/>
  <c r="BF973" i="76"/>
  <c r="BG973" i="76" s="1"/>
  <c r="BF972" i="76"/>
  <c r="BG972" i="76" s="1"/>
  <c r="BF971" i="76"/>
  <c r="BG971" i="76" s="1"/>
  <c r="BF970" i="76"/>
  <c r="BG970" i="76" s="1"/>
  <c r="BF969" i="76"/>
  <c r="BG969" i="76" s="1"/>
  <c r="BF968" i="76"/>
  <c r="BG968" i="76" s="1"/>
  <c r="BF967" i="76"/>
  <c r="BG967" i="76" s="1"/>
  <c r="BF966" i="76"/>
  <c r="BG966" i="76" s="1"/>
  <c r="BF965" i="76"/>
  <c r="BG965" i="76" s="1"/>
  <c r="BF964" i="76"/>
  <c r="BG964" i="76" s="1"/>
  <c r="BF963" i="76"/>
  <c r="BG963" i="76" s="1"/>
  <c r="BF962" i="76"/>
  <c r="BG962" i="76" s="1"/>
  <c r="BF961" i="76"/>
  <c r="BG961" i="76" s="1"/>
  <c r="BF960" i="76"/>
  <c r="BG960" i="76" s="1"/>
  <c r="BF959" i="76"/>
  <c r="BG959" i="76" s="1"/>
  <c r="BF958" i="76"/>
  <c r="BG958" i="76" s="1"/>
  <c r="BF951" i="76"/>
  <c r="BG951" i="76" s="1"/>
  <c r="BF949" i="76"/>
  <c r="BG949" i="76" s="1"/>
  <c r="BF948" i="76"/>
  <c r="BG948" i="76" s="1"/>
  <c r="BF947" i="76"/>
  <c r="BG947" i="76" s="1"/>
  <c r="BF946" i="76"/>
  <c r="BG946" i="76" s="1"/>
  <c r="BF945" i="76"/>
  <c r="BG945" i="76" s="1"/>
  <c r="BF941" i="76"/>
  <c r="BG941" i="76" s="1"/>
  <c r="BF940" i="76"/>
  <c r="BG940" i="76" s="1"/>
  <c r="BF939" i="76"/>
  <c r="BG939" i="76" s="1"/>
  <c r="BF935" i="76"/>
  <c r="BG935" i="76" s="1"/>
  <c r="BF931" i="76"/>
  <c r="BG931" i="76" s="1"/>
  <c r="BF950" i="76"/>
  <c r="BG950" i="76" s="1"/>
  <c r="BF922" i="76"/>
  <c r="BG922" i="76" s="1"/>
  <c r="BF921" i="76"/>
  <c r="BG921" i="76" s="1"/>
  <c r="BF920" i="76"/>
  <c r="BG920" i="76" s="1"/>
  <c r="BF916" i="76"/>
  <c r="BG916" i="76" s="1"/>
  <c r="BF915" i="76"/>
  <c r="BG915" i="76" s="1"/>
  <c r="BF911" i="76"/>
  <c r="BG911" i="76" s="1"/>
  <c r="BF907" i="76"/>
  <c r="BG907" i="76" s="1"/>
  <c r="BF903" i="76"/>
  <c r="BG903" i="76" s="1"/>
  <c r="BF902" i="76"/>
  <c r="BG902" i="76" s="1"/>
  <c r="BF901" i="76"/>
  <c r="BG901" i="76" s="1"/>
  <c r="BF900" i="76"/>
  <c r="BG900" i="76" s="1"/>
  <c r="BF899" i="76"/>
  <c r="BG899" i="76" s="1"/>
  <c r="BF898" i="76"/>
  <c r="BG898" i="76" s="1"/>
  <c r="BF897" i="76"/>
  <c r="BG897" i="76" s="1"/>
  <c r="BF896" i="76"/>
  <c r="BG896" i="76" s="1"/>
  <c r="BF895" i="76"/>
  <c r="BG895" i="76" s="1"/>
  <c r="BF894" i="76"/>
  <c r="BG894" i="76" s="1"/>
  <c r="BF887" i="76"/>
  <c r="BG887" i="76" s="1"/>
  <c r="BF886" i="76"/>
  <c r="BG886" i="76" s="1"/>
  <c r="BF885" i="76"/>
  <c r="BG885" i="76" s="1"/>
  <c r="BF884" i="76"/>
  <c r="BG884" i="76" s="1"/>
  <c r="BF883" i="76"/>
  <c r="BG883" i="76" s="1"/>
  <c r="BF879" i="76"/>
  <c r="BG879" i="76" s="1"/>
  <c r="BF875" i="76"/>
  <c r="BG875" i="76" s="1"/>
  <c r="BF874" i="76"/>
  <c r="BG874" i="76" s="1"/>
  <c r="BF867" i="76"/>
  <c r="BG867" i="76" s="1"/>
  <c r="BF866" i="76"/>
  <c r="BG866" i="76" s="1"/>
  <c r="BF859" i="76"/>
  <c r="BG859" i="76" s="1"/>
  <c r="BF865" i="76"/>
  <c r="BG865" i="76" s="1"/>
  <c r="BF864" i="76"/>
  <c r="BG864" i="76" s="1"/>
  <c r="BF860" i="76"/>
  <c r="BG860" i="76" s="1"/>
  <c r="BF858" i="76"/>
  <c r="BG858" i="76" s="1"/>
  <c r="BF857" i="76"/>
  <c r="BG857" i="76" s="1"/>
  <c r="BF856" i="76"/>
  <c r="BG856" i="76" s="1"/>
  <c r="BF855" i="76"/>
  <c r="BG855" i="76" s="1"/>
  <c r="BF854" i="76"/>
  <c r="BG854" i="76" s="1"/>
  <c r="BF853" i="76"/>
  <c r="BG853" i="76" s="1"/>
  <c r="BF852" i="76"/>
  <c r="BG852" i="76" s="1"/>
  <c r="BF848" i="76"/>
  <c r="BG848" i="76" s="1"/>
  <c r="BF847" i="76"/>
  <c r="BG847" i="76" s="1"/>
  <c r="BF843" i="76"/>
  <c r="BG843" i="76" s="1"/>
  <c r="BF842" i="76"/>
  <c r="BG842" i="76" s="1"/>
  <c r="BF835" i="76"/>
  <c r="BG835" i="76" s="1"/>
  <c r="BF834" i="76"/>
  <c r="BG834" i="76" s="1"/>
  <c r="BF824" i="76"/>
  <c r="BG824" i="76" s="1"/>
  <c r="BF833" i="76"/>
  <c r="BG833" i="76" s="1"/>
  <c r="BF829" i="76"/>
  <c r="BG829" i="76" s="1"/>
  <c r="BF828" i="76"/>
  <c r="BG828" i="76" s="1"/>
  <c r="BF823" i="76"/>
  <c r="BG823" i="76" s="1"/>
  <c r="BF819" i="76"/>
  <c r="BG819" i="76" s="1"/>
  <c r="BF818" i="76"/>
  <c r="BG818" i="76" s="1"/>
  <c r="BF811" i="76"/>
  <c r="BG811" i="76" s="1"/>
  <c r="BF810" i="76"/>
  <c r="BG810" i="76" s="1"/>
  <c r="BF809" i="76"/>
  <c r="BG809" i="76" s="1"/>
  <c r="BF808" i="76"/>
  <c r="BG808" i="76" s="1"/>
  <c r="BF807" i="76"/>
  <c r="BG807" i="76" s="1"/>
  <c r="BF803" i="76"/>
  <c r="BG803" i="76" s="1"/>
  <c r="BF801" i="76"/>
  <c r="BG801" i="76" s="1"/>
  <c r="BF800" i="76"/>
  <c r="BG800" i="76" s="1"/>
  <c r="BF799" i="76"/>
  <c r="BG799" i="76" s="1"/>
  <c r="BF795" i="76"/>
  <c r="BG795" i="76" s="1"/>
  <c r="BF794" i="76"/>
  <c r="BG794" i="76" s="1"/>
  <c r="BF790" i="76"/>
  <c r="BG790" i="76" s="1"/>
  <c r="BF788" i="76"/>
  <c r="BG788" i="76" s="1"/>
  <c r="BF779" i="76"/>
  <c r="BG779" i="76" s="1"/>
  <c r="BF778" i="76"/>
  <c r="BG778" i="76" s="1"/>
  <c r="BF777" i="76"/>
  <c r="BG777" i="76" s="1"/>
  <c r="BF776" i="76"/>
  <c r="BG776" i="76" s="1"/>
  <c r="BF775" i="76"/>
  <c r="BG775" i="76" s="1"/>
  <c r="BF774" i="76"/>
  <c r="BG774" i="76" s="1"/>
  <c r="BF773" i="76"/>
  <c r="BG773" i="76" s="1"/>
  <c r="BF768" i="76"/>
  <c r="BG768" i="76" s="1"/>
  <c r="BF759" i="76"/>
  <c r="BG759" i="76" s="1"/>
  <c r="BF769" i="76"/>
  <c r="BG769" i="76" s="1"/>
  <c r="BF764" i="76"/>
  <c r="BG764" i="76" s="1"/>
  <c r="BF760" i="76"/>
  <c r="BG760" i="76" s="1"/>
  <c r="BF758" i="76"/>
  <c r="BG758" i="76" s="1"/>
  <c r="BF757" i="76"/>
  <c r="BG757" i="76" s="1"/>
  <c r="BF756" i="76"/>
  <c r="BG756" i="76" s="1"/>
  <c r="BF749" i="76"/>
  <c r="BG749" i="76" s="1"/>
  <c r="BF748" i="76"/>
  <c r="BG748" i="76" s="1"/>
  <c r="BF747" i="76"/>
  <c r="BG747" i="76" s="1"/>
  <c r="BF743" i="76"/>
  <c r="BG743" i="76" s="1"/>
  <c r="BF742" i="76"/>
  <c r="BG742" i="76" s="1"/>
  <c r="BF733" i="76"/>
  <c r="BG733" i="76" s="1"/>
  <c r="BF732" i="76"/>
  <c r="BG732" i="76" s="1"/>
  <c r="BF731" i="76"/>
  <c r="BG731" i="76" s="1"/>
  <c r="BF730" i="76"/>
  <c r="BG730" i="76" s="1"/>
  <c r="BF723" i="76"/>
  <c r="BG723" i="76" s="1"/>
  <c r="BF722" i="76"/>
  <c r="BG722" i="76" s="1"/>
  <c r="BF718" i="76"/>
  <c r="BG718" i="76" s="1"/>
  <c r="BF713" i="76"/>
  <c r="BG713" i="76" s="1"/>
  <c r="BF717" i="76"/>
  <c r="BG717" i="76" s="1"/>
  <c r="BF712" i="76"/>
  <c r="BG712" i="76" s="1"/>
  <c r="BF708" i="76"/>
  <c r="BG708" i="76" s="1"/>
  <c r="BF707" i="76"/>
  <c r="BG707" i="76" s="1"/>
  <c r="BF706" i="76"/>
  <c r="BG706" i="76" s="1"/>
  <c r="BF702" i="76"/>
  <c r="BG702" i="76" s="1"/>
  <c r="BF701" i="76"/>
  <c r="BG701" i="76" s="1"/>
  <c r="BF694" i="76"/>
  <c r="BG694" i="76" s="1"/>
  <c r="BF693" i="76"/>
  <c r="BG693" i="76" s="1"/>
  <c r="BF692" i="76"/>
  <c r="BG692" i="76" s="1"/>
  <c r="BF691" i="76"/>
  <c r="BG691" i="76" s="1"/>
  <c r="BF690" i="76"/>
  <c r="BG690" i="76" s="1"/>
  <c r="BF689" i="76"/>
  <c r="BG689" i="76" s="1"/>
  <c r="BF685" i="76"/>
  <c r="BG685" i="76" s="1"/>
  <c r="BF681" i="76"/>
  <c r="BF674" i="76"/>
  <c r="BG674" i="76" s="1"/>
  <c r="BF673" i="76"/>
  <c r="BG673" i="76" s="1"/>
  <c r="BF672" i="76"/>
  <c r="BG672" i="76" s="1"/>
  <c r="BF668" i="76"/>
  <c r="BG668" i="76" s="1"/>
  <c r="BF664" i="76"/>
  <c r="BG664" i="76" s="1"/>
  <c r="BF663" i="76"/>
  <c r="BG663" i="76" s="1"/>
  <c r="BF658" i="76"/>
  <c r="BG658" i="76" s="1"/>
  <c r="BF654" i="76"/>
  <c r="BG654" i="76" s="1"/>
  <c r="BF647" i="76"/>
  <c r="BG647" i="76" s="1"/>
  <c r="BF646" i="76"/>
  <c r="BG646" i="76" s="1"/>
  <c r="BF645" i="76"/>
  <c r="BG645" i="76" s="1"/>
  <c r="BF641" i="76"/>
  <c r="BG641" i="76" s="1"/>
  <c r="BF637" i="76"/>
  <c r="BG637" i="76" s="1"/>
  <c r="BF630" i="76"/>
  <c r="BG630" i="76" s="1"/>
  <c r="BF628" i="76"/>
  <c r="BG628" i="76" s="1"/>
  <c r="BF627" i="76"/>
  <c r="BG627" i="76" s="1"/>
  <c r="BF626" i="76"/>
  <c r="BG626" i="76" s="1"/>
  <c r="BF622" i="76"/>
  <c r="BG622" i="76" s="1"/>
  <c r="BF618" i="76"/>
  <c r="BG618" i="76" s="1"/>
  <c r="BF617" i="76"/>
  <c r="BG617" i="76" s="1"/>
  <c r="BF613" i="76"/>
  <c r="BG613" i="76" s="1"/>
  <c r="BF612" i="76"/>
  <c r="BG612" i="76" s="1"/>
  <c r="BF605" i="76"/>
  <c r="BG605" i="76" s="1"/>
  <c r="BF604" i="76"/>
  <c r="BG604" i="76" s="1"/>
  <c r="BF603" i="76"/>
  <c r="BG603" i="76" s="1"/>
  <c r="BF602" i="76"/>
  <c r="BG602" i="76" s="1"/>
  <c r="BF601" i="76"/>
  <c r="BG601" i="76" s="1"/>
  <c r="BF597" i="76"/>
  <c r="BG597" i="76" s="1"/>
  <c r="BF596" i="76"/>
  <c r="BG596" i="76" s="1"/>
  <c r="BF592" i="76"/>
  <c r="BG592" i="76" s="1"/>
  <c r="BF591" i="76"/>
  <c r="BG591" i="76" s="1"/>
  <c r="BF584" i="76"/>
  <c r="BG584" i="76" s="1"/>
  <c r="BF583" i="76"/>
  <c r="BG583" i="76" s="1"/>
  <c r="BF582" i="76"/>
  <c r="BG582" i="76" s="1"/>
  <c r="BF572" i="76"/>
  <c r="BG572" i="76" s="1"/>
  <c r="BF578" i="76"/>
  <c r="BG578" i="76" s="1"/>
  <c r="BF577" i="76"/>
  <c r="BG577" i="76" s="1"/>
  <c r="BF573" i="76"/>
  <c r="BG573" i="76" s="1"/>
  <c r="BF570" i="76"/>
  <c r="BG570" i="76" s="1"/>
  <c r="BF569" i="76"/>
  <c r="BG569" i="76" s="1"/>
  <c r="BF565" i="76"/>
  <c r="BG565" i="76" s="1"/>
  <c r="BF571" i="76"/>
  <c r="BG571" i="76" s="1"/>
  <c r="BF561" i="76"/>
  <c r="BG561" i="76" s="1"/>
  <c r="BF554" i="76"/>
  <c r="BG554" i="76" s="1"/>
  <c r="BF553" i="76"/>
  <c r="BG553" i="76" s="1"/>
  <c r="BF551" i="76"/>
  <c r="BG551" i="76" s="1"/>
  <c r="BF550" i="76"/>
  <c r="BG550" i="76" s="1"/>
  <c r="BF549" i="76"/>
  <c r="BG549" i="76" s="1"/>
  <c r="BF544" i="76"/>
  <c r="BG544" i="76" s="1"/>
  <c r="BF540" i="76"/>
  <c r="BG540" i="76" s="1"/>
  <c r="BF539" i="76"/>
  <c r="BG539" i="76" s="1"/>
  <c r="BF535" i="76"/>
  <c r="BG535" i="76" s="1"/>
  <c r="BF534" i="76"/>
  <c r="BG534" i="76" s="1"/>
  <c r="BF533" i="76"/>
  <c r="BG533" i="76" s="1"/>
  <c r="BF529" i="76"/>
  <c r="BG529" i="76" s="1"/>
  <c r="BF528" i="76"/>
  <c r="BG528" i="76" s="1"/>
  <c r="BF527" i="76"/>
  <c r="BG527" i="76" s="1"/>
  <c r="BF526" i="76"/>
  <c r="BG526" i="76" s="1"/>
  <c r="BF519" i="76"/>
  <c r="BG519" i="76" s="1"/>
  <c r="BF518" i="76"/>
  <c r="BG518" i="76" s="1"/>
  <c r="BF517" i="76"/>
  <c r="BG517" i="76" s="1"/>
  <c r="BF516" i="76"/>
  <c r="BG516" i="76" s="1"/>
  <c r="BF515" i="76"/>
  <c r="BG515" i="76" s="1"/>
  <c r="BF511" i="76"/>
  <c r="BG511" i="76" s="1"/>
  <c r="BF510" i="76"/>
  <c r="BG510" i="76" s="1"/>
  <c r="BF506" i="76"/>
  <c r="BG506" i="76" s="1"/>
  <c r="BF505" i="76"/>
  <c r="BG505" i="76" s="1"/>
  <c r="BF504" i="76"/>
  <c r="BG504" i="76" s="1"/>
  <c r="BF503" i="76"/>
  <c r="BG503" i="76" s="1"/>
  <c r="BF494" i="76"/>
  <c r="BG494" i="76" s="1"/>
  <c r="BF493" i="76"/>
  <c r="BG493" i="76" s="1"/>
  <c r="BF492" i="76"/>
  <c r="BG492" i="76" s="1"/>
  <c r="BF491" i="76"/>
  <c r="BG491" i="76" s="1"/>
  <c r="BF490" i="76"/>
  <c r="BG490" i="76" s="1"/>
  <c r="BF485" i="76"/>
  <c r="BG485" i="76" s="1"/>
  <c r="BF484" i="76"/>
  <c r="BG484" i="76" s="1"/>
  <c r="BF483" i="76"/>
  <c r="BG483" i="76" s="1"/>
  <c r="BF482" i="76"/>
  <c r="BG482" i="76" s="1"/>
  <c r="BF481" i="76"/>
  <c r="BG481" i="76" s="1"/>
  <c r="BF480" i="76"/>
  <c r="BG480" i="76" s="1"/>
  <c r="BF486" i="76"/>
  <c r="BG486" i="76" s="1"/>
  <c r="BF473" i="76"/>
  <c r="BG473" i="76" s="1"/>
  <c r="BF472" i="76"/>
  <c r="BG472" i="76" s="1"/>
  <c r="BF471" i="76"/>
  <c r="BG471" i="76" s="1"/>
  <c r="BF470" i="76"/>
  <c r="BG470" i="76" s="1"/>
  <c r="BF469" i="76"/>
  <c r="BG469" i="76" s="1"/>
  <c r="BF468" i="76"/>
  <c r="BG468" i="76" s="1"/>
  <c r="BF467" i="76"/>
  <c r="BG467" i="76" s="1"/>
  <c r="BF466" i="76"/>
  <c r="BG466" i="76" s="1"/>
  <c r="BF465" i="76"/>
  <c r="BG465" i="76" s="1"/>
  <c r="BF460" i="76"/>
  <c r="BG460" i="76" s="1"/>
  <c r="BF461" i="76"/>
  <c r="BG461" i="76" s="1"/>
  <c r="BF455" i="76"/>
  <c r="BG455" i="76" s="1"/>
  <c r="BF459" i="76"/>
  <c r="BG459" i="76" s="1"/>
  <c r="BF451" i="76"/>
  <c r="BG451" i="76" s="1"/>
  <c r="BF447" i="76"/>
  <c r="BG447" i="76" s="1"/>
  <c r="BF445" i="76"/>
  <c r="BG445" i="76" s="1"/>
  <c r="BF444" i="76"/>
  <c r="BG444" i="76" s="1"/>
  <c r="BF443" i="76"/>
  <c r="BG443" i="76" s="1"/>
  <c r="BF436" i="76"/>
  <c r="BG436" i="76" s="1"/>
  <c r="BF435" i="76"/>
  <c r="BG435" i="76" s="1"/>
  <c r="BF425" i="76"/>
  <c r="BG425" i="76" s="1"/>
  <c r="BF434" i="76"/>
  <c r="BG434" i="76" s="1"/>
  <c r="BF430" i="76"/>
  <c r="BG430" i="76" s="1"/>
  <c r="BF426" i="76"/>
  <c r="BG426" i="76" s="1"/>
  <c r="BF423" i="76"/>
  <c r="BG423" i="76" s="1"/>
  <c r="BF422" i="76"/>
  <c r="BG422" i="76" s="1"/>
  <c r="BF424" i="76"/>
  <c r="BG424" i="76" s="1"/>
  <c r="BF417" i="76"/>
  <c r="BG417" i="76" s="1"/>
  <c r="BF409" i="76"/>
  <c r="BG409" i="76" s="1"/>
  <c r="BF408" i="76"/>
  <c r="BG408" i="76" s="1"/>
  <c r="BF404" i="76"/>
  <c r="BG404" i="76" s="1"/>
  <c r="BF402" i="76"/>
  <c r="BG402" i="76" s="1"/>
  <c r="BF400" i="76"/>
  <c r="BG400" i="76" s="1"/>
  <c r="BF401" i="76"/>
  <c r="BG401" i="76" s="1"/>
  <c r="BF399" i="76"/>
  <c r="BG399" i="76" s="1"/>
  <c r="BF398" i="76"/>
  <c r="BG398" i="76" s="1"/>
  <c r="BF394" i="76"/>
  <c r="BG394" i="76" s="1"/>
  <c r="BF389" i="76"/>
  <c r="BG389" i="76" s="1"/>
  <c r="BF390" i="76"/>
  <c r="BG390" i="76" s="1"/>
  <c r="BF418" i="76"/>
  <c r="BG418" i="76" s="1"/>
  <c r="BF388" i="76"/>
  <c r="BG388" i="76" s="1"/>
  <c r="BF387" i="76"/>
  <c r="BG387" i="76" s="1"/>
  <c r="BF386" i="76"/>
  <c r="BG386" i="76" s="1"/>
  <c r="BF379" i="76"/>
  <c r="BG379" i="76" s="1"/>
  <c r="BF378" i="76"/>
  <c r="BG378" i="76" s="1"/>
  <c r="BF374" i="76"/>
  <c r="BG374" i="76" s="1"/>
  <c r="BF370" i="76"/>
  <c r="BG370" i="76" s="1"/>
  <c r="BF363" i="76"/>
  <c r="BG363" i="76" s="1"/>
  <c r="BF362" i="76"/>
  <c r="BG362" i="76" s="1"/>
  <c r="BF361" i="76"/>
  <c r="BG361" i="76" s="1"/>
  <c r="BF357" i="76"/>
  <c r="BG357" i="76" s="1"/>
  <c r="BF356" i="76"/>
  <c r="BG356" i="76" s="1"/>
  <c r="BF352" i="76"/>
  <c r="BG352" i="76" s="1"/>
  <c r="BF348" i="76"/>
  <c r="BG348" i="76" s="1"/>
  <c r="BF347" i="76"/>
  <c r="BG347" i="76" s="1"/>
  <c r="BF346" i="76"/>
  <c r="BG346" i="76" s="1"/>
  <c r="BF342" i="76"/>
  <c r="BG342" i="76" s="1"/>
  <c r="BF341" i="76"/>
  <c r="BG341" i="76" s="1"/>
  <c r="BF340" i="76"/>
  <c r="BG340" i="76" s="1"/>
  <c r="BF339" i="76"/>
  <c r="BG339" i="76" s="1"/>
  <c r="BF338" i="76"/>
  <c r="BG338" i="76" s="1"/>
  <c r="BF337" i="76"/>
  <c r="BG337" i="76" s="1"/>
  <c r="BF330" i="76"/>
  <c r="BG330" i="76" s="1"/>
  <c r="BF329" i="76"/>
  <c r="BG329" i="76" s="1"/>
  <c r="BF328" i="76"/>
  <c r="BG328" i="76" s="1"/>
  <c r="BF327" i="76"/>
  <c r="BG327" i="76" s="1"/>
  <c r="BF326" i="76"/>
  <c r="BG326" i="76" s="1"/>
  <c r="BF317" i="76"/>
  <c r="BG317" i="76" s="1"/>
  <c r="BF321" i="76"/>
  <c r="BG321" i="76" s="1"/>
  <c r="BF322" i="76"/>
  <c r="BG322" i="76" s="1"/>
  <c r="BF313" i="76"/>
  <c r="BG313" i="76" s="1"/>
  <c r="BF312" i="76"/>
  <c r="BG312" i="76" s="1"/>
  <c r="BF311" i="76"/>
  <c r="BG311" i="76" s="1"/>
  <c r="BF310" i="76"/>
  <c r="BG310" i="76" s="1"/>
  <c r="BF309" i="76"/>
  <c r="BG309" i="76" s="1"/>
  <c r="BF308" i="76"/>
  <c r="BG308" i="76" s="1"/>
  <c r="BF301" i="76"/>
  <c r="BG301" i="76" s="1"/>
  <c r="BF300" i="76"/>
  <c r="BG300" i="76" s="1"/>
  <c r="BF299" i="76"/>
  <c r="BG299" i="76" s="1"/>
  <c r="BF298" i="76"/>
  <c r="BG298" i="76" s="1"/>
  <c r="BF293" i="76"/>
  <c r="BG293" i="76" s="1"/>
  <c r="BF292" i="76"/>
  <c r="BG292" i="76" s="1"/>
  <c r="BF288" i="76"/>
  <c r="BG288" i="76" s="1"/>
  <c r="BF287" i="76"/>
  <c r="BG287" i="76" s="1"/>
  <c r="BF285" i="76"/>
  <c r="BG285" i="76" s="1"/>
  <c r="BF284" i="76"/>
  <c r="BG284" i="76" s="1"/>
  <c r="BF283" i="76"/>
  <c r="BG283" i="76" s="1"/>
  <c r="BF276" i="76"/>
  <c r="BG276" i="76" s="1"/>
  <c r="BF275" i="76"/>
  <c r="BG275" i="76" s="1"/>
  <c r="BF274" i="76"/>
  <c r="BG274" i="76" s="1"/>
  <c r="BF273" i="76"/>
  <c r="BG273" i="76" s="1"/>
  <c r="BF269" i="76"/>
  <c r="BG269" i="76" s="1"/>
  <c r="BF268" i="76"/>
  <c r="BG268" i="76" s="1"/>
  <c r="BF267" i="76"/>
  <c r="BG267" i="76" s="1"/>
  <c r="BF259" i="76"/>
  <c r="BG259" i="76" s="1"/>
  <c r="BF263" i="76"/>
  <c r="BG263" i="76" s="1"/>
  <c r="BF258" i="76"/>
  <c r="BG258" i="76" s="1"/>
  <c r="BF257" i="76"/>
  <c r="BG257" i="76" s="1"/>
  <c r="BF256" i="76"/>
  <c r="BG256" i="76" s="1"/>
  <c r="BF249" i="76"/>
  <c r="BG249" i="76" s="1"/>
  <c r="BF248" i="76"/>
  <c r="BG248" i="76" s="1"/>
  <c r="BF247" i="76"/>
  <c r="BG247" i="76" s="1"/>
  <c r="BF246" i="76"/>
  <c r="BG246" i="76" s="1"/>
  <c r="BF245" i="76"/>
  <c r="BG245" i="76" s="1"/>
  <c r="BF244" i="76"/>
  <c r="BG244" i="76" s="1"/>
  <c r="BF240" i="76"/>
  <c r="BG240" i="76" s="1"/>
  <c r="BF239" i="76"/>
  <c r="BG239" i="76" s="1"/>
  <c r="BF238" i="76"/>
  <c r="BG238" i="76" s="1"/>
  <c r="BF237" i="76"/>
  <c r="BG237" i="76" s="1"/>
  <c r="BF236" i="76"/>
  <c r="BG236" i="76" s="1"/>
  <c r="BF235" i="76"/>
  <c r="BG235" i="76" s="1"/>
  <c r="BF231" i="76"/>
  <c r="BG231" i="76" s="1"/>
  <c r="BF219" i="76"/>
  <c r="BG219" i="76" s="1"/>
  <c r="BF230" i="76"/>
  <c r="BG230" i="76" s="1"/>
  <c r="BF229" i="76"/>
  <c r="BG229" i="76" s="1"/>
  <c r="BF228" i="76"/>
  <c r="BG228" i="76" s="1"/>
  <c r="BF224" i="76"/>
  <c r="BG224" i="76" s="1"/>
  <c r="BF223" i="76"/>
  <c r="BG223" i="76" s="1"/>
  <c r="BF215" i="76"/>
  <c r="BG215" i="76" s="1"/>
  <c r="BF217" i="76"/>
  <c r="BG217" i="76" s="1"/>
  <c r="BF216" i="76"/>
  <c r="BG216" i="76" s="1"/>
  <c r="BF218" i="76"/>
  <c r="BG218" i="76" s="1"/>
  <c r="BF214" i="76"/>
  <c r="BG214" i="76" s="1"/>
  <c r="BF213" i="76"/>
  <c r="BG213" i="76" s="1"/>
  <c r="BF212" i="76"/>
  <c r="BG212" i="76" s="1"/>
  <c r="BF211" i="76"/>
  <c r="BG211" i="76" s="1"/>
  <c r="BF210" i="76"/>
  <c r="BG210" i="76" s="1"/>
  <c r="BF209" i="76"/>
  <c r="BG209" i="76" s="1"/>
  <c r="BF208" i="76"/>
  <c r="BG208" i="76" s="1"/>
  <c r="BF207" i="76"/>
  <c r="BG207" i="76" s="1"/>
  <c r="BF206" i="76"/>
  <c r="BG206" i="76" s="1"/>
  <c r="BF205" i="76"/>
  <c r="BG205" i="76" s="1"/>
  <c r="BF204" i="76"/>
  <c r="BG204" i="76" s="1"/>
  <c r="BF203" i="76"/>
  <c r="BG203" i="76" s="1"/>
  <c r="BF193" i="76"/>
  <c r="BG193" i="76" s="1"/>
  <c r="BF192" i="76"/>
  <c r="BG192" i="76" s="1"/>
  <c r="BF191" i="76"/>
  <c r="BG191" i="76" s="1"/>
  <c r="BF187" i="76"/>
  <c r="BG187" i="76" s="1"/>
  <c r="BF186" i="76"/>
  <c r="BG186" i="76" s="1"/>
  <c r="BF185" i="76"/>
  <c r="BG185" i="76" s="1"/>
  <c r="BF184" i="76"/>
  <c r="BG184" i="76" s="1"/>
  <c r="BF183" i="76"/>
  <c r="BG183" i="76" s="1"/>
  <c r="BF182" i="76"/>
  <c r="BG182" i="76" s="1"/>
  <c r="BF181" i="76"/>
  <c r="BG181" i="76" s="1"/>
  <c r="BF177" i="76"/>
  <c r="BG177" i="76" s="1"/>
  <c r="BF176" i="76"/>
  <c r="BG176" i="76" s="1"/>
  <c r="BF194" i="76"/>
  <c r="BG194" i="76" s="1"/>
  <c r="BF175" i="76"/>
  <c r="BG175" i="76" s="1"/>
  <c r="BF174" i="76"/>
  <c r="BG174" i="76" s="1"/>
  <c r="BF170" i="76"/>
  <c r="BG170" i="76" s="1"/>
  <c r="BF169" i="76"/>
  <c r="BG169" i="76" s="1"/>
  <c r="BF168" i="76"/>
  <c r="BG168" i="76" s="1"/>
  <c r="BF161" i="76"/>
  <c r="BG161" i="76" s="1"/>
  <c r="BF160" i="76"/>
  <c r="BG160" i="76" s="1"/>
  <c r="BF159" i="76"/>
  <c r="BG159" i="76" s="1"/>
  <c r="BF158" i="76"/>
  <c r="BG158" i="76" s="1"/>
  <c r="BF154" i="76"/>
  <c r="BG154" i="76" s="1"/>
  <c r="BF150" i="76"/>
  <c r="BG150" i="76" s="1"/>
  <c r="BF146" i="76"/>
  <c r="BG146" i="76" s="1"/>
  <c r="BF139" i="76"/>
  <c r="BG139" i="76" s="1"/>
  <c r="BF138" i="76"/>
  <c r="BG138" i="76" s="1"/>
  <c r="BF137" i="76"/>
  <c r="BG137" i="76" s="1"/>
  <c r="BF136" i="76"/>
  <c r="BG136" i="76" s="1"/>
  <c r="BF132" i="76"/>
  <c r="BG132" i="76" s="1"/>
  <c r="BF131" i="76"/>
  <c r="BG131" i="76" s="1"/>
  <c r="BF130" i="76"/>
  <c r="BG130" i="76" s="1"/>
  <c r="BF126" i="76"/>
  <c r="BG126" i="76" s="1"/>
  <c r="BF125" i="76"/>
  <c r="BG125" i="76" s="1"/>
  <c r="BF121" i="76"/>
  <c r="BG121" i="76" s="1"/>
  <c r="BF120" i="76"/>
  <c r="BG120" i="76" s="1"/>
  <c r="BF116" i="76"/>
  <c r="BG116" i="76" s="1"/>
  <c r="BF109" i="76"/>
  <c r="BG109" i="76" s="1"/>
  <c r="BF108" i="76"/>
  <c r="BG108" i="76" s="1"/>
  <c r="BF107" i="76"/>
  <c r="BG107" i="76" s="1"/>
  <c r="BF103" i="76"/>
  <c r="BG103" i="76" s="1"/>
  <c r="BF102" i="76"/>
  <c r="BG102" i="76" s="1"/>
  <c r="BF95" i="76"/>
  <c r="BG95" i="76" s="1"/>
  <c r="BF94" i="76"/>
  <c r="BG94" i="76" s="1"/>
  <c r="BF93" i="76"/>
  <c r="BG93" i="76" s="1"/>
  <c r="BF89" i="76"/>
  <c r="BG89" i="76" s="1"/>
  <c r="BF88" i="76"/>
  <c r="BG88" i="76" s="1"/>
  <c r="BF81" i="76"/>
  <c r="BG81" i="76" s="1"/>
  <c r="BF80" i="76"/>
  <c r="BG80" i="76" s="1"/>
  <c r="BF79" i="76"/>
  <c r="BG79" i="76" s="1"/>
  <c r="BF78" i="76"/>
  <c r="BG78" i="76" s="1"/>
  <c r="BF74" i="76"/>
  <c r="BG74" i="76" s="1"/>
  <c r="BF73" i="76"/>
  <c r="BG73" i="76" s="1"/>
  <c r="BF72" i="76"/>
  <c r="BG72" i="76" s="1"/>
  <c r="BF68" i="76"/>
  <c r="BG68" i="76" s="1"/>
  <c r="BF64" i="76"/>
  <c r="BG64" i="76" s="1"/>
  <c r="BF63" i="76"/>
  <c r="BG63" i="76" s="1"/>
  <c r="BF62" i="76"/>
  <c r="BG62" i="76" s="1"/>
  <c r="BF58" i="76"/>
  <c r="BG58" i="76" s="1"/>
  <c r="BF57" i="76"/>
  <c r="BG57" i="76" s="1"/>
  <c r="BF56" i="76"/>
  <c r="BG56" i="76" s="1"/>
  <c r="BF49" i="76"/>
  <c r="BG49" i="76" s="1"/>
  <c r="BF48" i="76"/>
  <c r="BG48" i="76" s="1"/>
  <c r="BF41" i="76"/>
  <c r="BG41" i="76" s="1"/>
  <c r="BF47" i="76"/>
  <c r="BG47" i="76" s="1"/>
  <c r="BF46" i="76"/>
  <c r="BG46" i="76" s="1"/>
  <c r="BF45" i="76"/>
  <c r="BG45" i="76" s="1"/>
  <c r="BF37" i="76"/>
  <c r="BG37" i="76" s="1"/>
  <c r="BF30" i="76"/>
  <c r="BG30" i="76" s="1"/>
  <c r="BF29" i="76"/>
  <c r="BG29" i="76" s="1"/>
  <c r="BF28" i="76"/>
  <c r="BG28" i="76" s="1"/>
  <c r="BF27" i="76"/>
  <c r="BG27" i="76" s="1"/>
  <c r="BF26" i="76"/>
  <c r="BG26" i="76" s="1"/>
  <c r="BF25" i="76"/>
  <c r="BG25" i="76" s="1"/>
  <c r="BF19" i="76"/>
  <c r="BG19" i="76" s="1"/>
  <c r="BF24" i="76"/>
  <c r="BG24" i="76" s="1"/>
  <c r="BF23" i="76"/>
  <c r="BG23" i="76" s="1"/>
  <c r="BF15" i="76"/>
  <c r="BG15" i="76" s="1"/>
  <c r="BF14" i="76"/>
  <c r="BG14" i="76" s="1"/>
  <c r="BF9" i="76"/>
  <c r="BG9" i="76" s="1"/>
  <c r="BF8" i="76"/>
  <c r="BG8" i="76" s="1"/>
  <c r="BF7" i="76"/>
  <c r="BG7" i="76" s="1"/>
  <c r="BF10" i="76"/>
  <c r="BG10" i="76" s="1"/>
  <c r="BF6" i="76"/>
  <c r="BG6" i="76" s="1"/>
  <c r="BF5" i="76"/>
  <c r="BG5" i="76" s="1"/>
  <c r="BF4" i="76"/>
  <c r="BG4" i="76" s="1"/>
  <c r="V529" i="76" l="1"/>
  <c r="W529" i="76" s="1"/>
  <c r="V681" i="76"/>
  <c r="W681" i="76" s="1"/>
  <c r="X292" i="76"/>
  <c r="X295" i="76" s="1"/>
  <c r="W292" i="76"/>
  <c r="W295" i="76" s="1"/>
  <c r="O302" i="76"/>
  <c r="X300" i="76"/>
  <c r="W300" i="76"/>
  <c r="T530" i="76"/>
  <c r="T557" i="76" s="1"/>
  <c r="T682" i="76"/>
  <c r="T697" i="76" s="1"/>
  <c r="BG681" i="76"/>
  <c r="O931" i="76"/>
  <c r="AZ4" i="76"/>
  <c r="AZ5" i="76"/>
  <c r="AZ6" i="76"/>
  <c r="AZ10" i="76"/>
  <c r="AZ7" i="76"/>
  <c r="AZ8" i="76"/>
  <c r="AZ9" i="76"/>
  <c r="AZ11" i="76"/>
  <c r="AZ12" i="76"/>
  <c r="AZ13" i="76"/>
  <c r="AZ14" i="76"/>
  <c r="AZ15" i="76"/>
  <c r="AZ16" i="76"/>
  <c r="AZ17" i="76"/>
  <c r="AZ22" i="76"/>
  <c r="AZ23" i="76"/>
  <c r="AZ24" i="76"/>
  <c r="AZ19" i="76"/>
  <c r="AZ25" i="76"/>
  <c r="AZ26" i="76"/>
  <c r="AZ27" i="76"/>
  <c r="AZ28" i="76"/>
  <c r="AZ29" i="76"/>
  <c r="AZ30" i="76"/>
  <c r="AZ31" i="76"/>
  <c r="AZ32" i="76"/>
  <c r="AZ33" i="76"/>
  <c r="AZ34" i="76"/>
  <c r="AZ35" i="76"/>
  <c r="AZ36" i="76"/>
  <c r="AZ37" i="76"/>
  <c r="AZ38" i="76"/>
  <c r="AZ39" i="76"/>
  <c r="AZ44" i="76"/>
  <c r="AZ45" i="76"/>
  <c r="AZ46" i="76"/>
  <c r="AZ47" i="76"/>
  <c r="AZ41" i="76"/>
  <c r="AZ48" i="76"/>
  <c r="AZ49" i="76"/>
  <c r="AZ50" i="76"/>
  <c r="AZ51" i="76"/>
  <c r="AZ52" i="76"/>
  <c r="AZ53" i="76"/>
  <c r="AZ54" i="76"/>
  <c r="AZ55" i="76"/>
  <c r="AZ56" i="76"/>
  <c r="AZ57" i="76"/>
  <c r="AZ58" i="76"/>
  <c r="AZ59" i="76"/>
  <c r="AZ60" i="76"/>
  <c r="AZ61" i="76"/>
  <c r="AZ62" i="76"/>
  <c r="AZ63" i="76"/>
  <c r="AZ64" i="76"/>
  <c r="AZ65" i="76"/>
  <c r="AZ66" i="76"/>
  <c r="AZ67" i="76"/>
  <c r="AZ68" i="76"/>
  <c r="AZ69" i="76"/>
  <c r="AZ70" i="76"/>
  <c r="AZ71" i="76"/>
  <c r="AZ72" i="76"/>
  <c r="AZ73" i="76"/>
  <c r="AZ74" i="76"/>
  <c r="AZ75" i="76"/>
  <c r="AZ76" i="76"/>
  <c r="AZ77" i="76"/>
  <c r="AZ78" i="76"/>
  <c r="AZ79" i="76"/>
  <c r="AZ80" i="76"/>
  <c r="AZ81" i="76"/>
  <c r="AZ82" i="76"/>
  <c r="AZ83" i="76"/>
  <c r="AZ84" i="76"/>
  <c r="AZ85" i="76"/>
  <c r="AZ86" i="76"/>
  <c r="AZ87" i="76"/>
  <c r="AZ88" i="76"/>
  <c r="AZ89" i="76"/>
  <c r="AZ90" i="76"/>
  <c r="AZ91" i="76"/>
  <c r="AZ92" i="76"/>
  <c r="AZ93" i="76"/>
  <c r="AZ94" i="76"/>
  <c r="AZ95" i="76"/>
  <c r="AZ96" i="76"/>
  <c r="AZ97" i="76"/>
  <c r="AZ98" i="76"/>
  <c r="AZ99" i="76"/>
  <c r="AZ100" i="76"/>
  <c r="AZ101" i="76"/>
  <c r="AZ102" i="76"/>
  <c r="AZ103" i="76"/>
  <c r="AZ104" i="76"/>
  <c r="AZ105" i="76"/>
  <c r="AZ106" i="76"/>
  <c r="AZ107" i="76"/>
  <c r="AZ108" i="76"/>
  <c r="AZ109" i="76"/>
  <c r="AZ110" i="76"/>
  <c r="AZ111" i="76"/>
  <c r="AZ112" i="76"/>
  <c r="AZ113" i="76"/>
  <c r="AZ114" i="76"/>
  <c r="AZ115" i="76"/>
  <c r="AZ116" i="76"/>
  <c r="AZ117" i="76"/>
  <c r="AZ118" i="76"/>
  <c r="AZ119" i="76"/>
  <c r="AZ120" i="76"/>
  <c r="AZ121" i="76"/>
  <c r="AZ122" i="76"/>
  <c r="AZ123" i="76"/>
  <c r="AZ124" i="76"/>
  <c r="AZ125" i="76"/>
  <c r="AZ126" i="76"/>
  <c r="AZ127" i="76"/>
  <c r="AZ128" i="76"/>
  <c r="AZ129" i="76"/>
  <c r="AZ130" i="76"/>
  <c r="AZ131" i="76"/>
  <c r="AZ132" i="76"/>
  <c r="AZ133" i="76"/>
  <c r="AZ134" i="76"/>
  <c r="AZ135" i="76"/>
  <c r="AZ136" i="76"/>
  <c r="AZ137" i="76"/>
  <c r="AZ138" i="76"/>
  <c r="AZ139" i="76"/>
  <c r="AZ140" i="76"/>
  <c r="AZ141" i="76"/>
  <c r="AZ142" i="76"/>
  <c r="AZ143" i="76"/>
  <c r="AZ144" i="76"/>
  <c r="AZ145" i="76"/>
  <c r="AZ146" i="76"/>
  <c r="AZ147" i="76"/>
  <c r="AZ148" i="76"/>
  <c r="AZ149" i="76"/>
  <c r="AZ150" i="76"/>
  <c r="AZ151" i="76"/>
  <c r="AZ152" i="76"/>
  <c r="AZ153" i="76"/>
  <c r="AZ154" i="76"/>
  <c r="AZ155" i="76"/>
  <c r="AZ156" i="76"/>
  <c r="AZ157" i="76"/>
  <c r="AZ158" i="76"/>
  <c r="AZ159" i="76"/>
  <c r="AZ160" i="76"/>
  <c r="AZ161" i="76"/>
  <c r="AZ162" i="76"/>
  <c r="AZ163" i="76"/>
  <c r="AZ164" i="76"/>
  <c r="AZ165" i="76"/>
  <c r="AZ166" i="76"/>
  <c r="AZ167" i="76"/>
  <c r="AZ168" i="76"/>
  <c r="AZ169" i="76"/>
  <c r="AZ170" i="76"/>
  <c r="AZ171" i="76"/>
  <c r="AZ172" i="76"/>
  <c r="AZ173" i="76"/>
  <c r="AZ174" i="76"/>
  <c r="AZ175" i="76"/>
  <c r="AZ194" i="76"/>
  <c r="AZ176" i="76"/>
  <c r="AZ177" i="76"/>
  <c r="AZ178" i="76"/>
  <c r="AZ179" i="76"/>
  <c r="AZ180" i="76"/>
  <c r="AZ181" i="76"/>
  <c r="AZ182" i="76"/>
  <c r="AZ183" i="76"/>
  <c r="AZ184" i="76"/>
  <c r="AZ185" i="76"/>
  <c r="AZ186" i="76"/>
  <c r="AZ187" i="76"/>
  <c r="AZ188" i="76"/>
  <c r="AZ189" i="76"/>
  <c r="AZ190" i="76"/>
  <c r="AZ191" i="76"/>
  <c r="AZ192" i="76"/>
  <c r="AZ193" i="76"/>
  <c r="AZ195" i="76"/>
  <c r="AZ196" i="76"/>
  <c r="AZ197" i="76"/>
  <c r="AZ198" i="76"/>
  <c r="AZ199" i="76"/>
  <c r="AZ200" i="76"/>
  <c r="AZ201" i="76"/>
  <c r="AZ202" i="76"/>
  <c r="AZ203" i="76"/>
  <c r="AZ204" i="76"/>
  <c r="AZ205" i="76"/>
  <c r="AZ206" i="76"/>
  <c r="AZ207" i="76"/>
  <c r="AZ208" i="76"/>
  <c r="AZ209" i="76"/>
  <c r="AZ210" i="76"/>
  <c r="AZ211" i="76"/>
  <c r="AZ212" i="76"/>
  <c r="AZ213" i="76"/>
  <c r="AZ214" i="76"/>
  <c r="AZ218" i="76"/>
  <c r="AZ216" i="76"/>
  <c r="AZ217" i="76"/>
  <c r="AZ215" i="76"/>
  <c r="AZ220" i="76"/>
  <c r="AZ221" i="76"/>
  <c r="AZ222" i="76"/>
  <c r="AZ223" i="76"/>
  <c r="AZ224" i="76"/>
  <c r="AZ225" i="76"/>
  <c r="AZ226" i="76"/>
  <c r="AZ227" i="76"/>
  <c r="AZ228" i="76"/>
  <c r="AZ229" i="76"/>
  <c r="AZ230" i="76"/>
  <c r="AZ219" i="76"/>
  <c r="AZ231" i="76"/>
  <c r="AZ232" i="76"/>
  <c r="AZ233" i="76"/>
  <c r="AZ234" i="76"/>
  <c r="AZ235" i="76"/>
  <c r="AZ236" i="76"/>
  <c r="AZ237" i="76"/>
  <c r="AZ238" i="76"/>
  <c r="AZ239" i="76"/>
  <c r="AZ240" i="76"/>
  <c r="AZ241" i="76"/>
  <c r="AZ242" i="76"/>
  <c r="AZ243" i="76"/>
  <c r="AZ244" i="76"/>
  <c r="AZ245" i="76"/>
  <c r="AZ246" i="76"/>
  <c r="AZ247" i="76"/>
  <c r="AZ248" i="76"/>
  <c r="AZ249" i="76"/>
  <c r="AZ250" i="76"/>
  <c r="AZ251" i="76"/>
  <c r="AZ252" i="76"/>
  <c r="AZ253" i="76"/>
  <c r="AZ254" i="76"/>
  <c r="AZ255" i="76"/>
  <c r="AZ256" i="76"/>
  <c r="AZ257" i="76"/>
  <c r="AZ258" i="76"/>
  <c r="AZ260" i="76"/>
  <c r="AZ261" i="76"/>
  <c r="AZ262" i="76"/>
  <c r="AZ263" i="76"/>
  <c r="AZ264" i="76"/>
  <c r="AZ265" i="76"/>
  <c r="AZ259" i="76"/>
  <c r="AZ266" i="76"/>
  <c r="AZ267" i="76"/>
  <c r="AZ268" i="76"/>
  <c r="AZ269" i="76"/>
  <c r="AZ270" i="76"/>
  <c r="AZ271" i="76"/>
  <c r="AZ272" i="76"/>
  <c r="AZ273" i="76"/>
  <c r="AZ274" i="76"/>
  <c r="AZ275" i="76"/>
  <c r="AZ276" i="76"/>
  <c r="AZ277" i="76"/>
  <c r="AZ278" i="76"/>
  <c r="AZ279" i="76"/>
  <c r="AZ280" i="76"/>
  <c r="AZ281" i="76"/>
  <c r="AZ282" i="76"/>
  <c r="AZ283" i="76"/>
  <c r="AZ284" i="76"/>
  <c r="AZ285" i="76"/>
  <c r="AZ287" i="76"/>
  <c r="AZ289" i="76"/>
  <c r="AZ290" i="76"/>
  <c r="AZ288" i="76"/>
  <c r="AZ292" i="76"/>
  <c r="AZ293" i="76"/>
  <c r="AZ296" i="76"/>
  <c r="AZ297" i="76"/>
  <c r="AZ298" i="76"/>
  <c r="AZ299" i="76"/>
  <c r="AZ300" i="76"/>
  <c r="AZ301" i="76"/>
  <c r="AZ302" i="76"/>
  <c r="AZ303" i="76"/>
  <c r="AZ304" i="76"/>
  <c r="AZ305" i="76"/>
  <c r="AZ306" i="76"/>
  <c r="AZ307" i="76"/>
  <c r="AZ308" i="76"/>
  <c r="AZ309" i="76"/>
  <c r="AZ310" i="76"/>
  <c r="AZ311" i="76"/>
  <c r="AZ312" i="76"/>
  <c r="AZ313" i="76"/>
  <c r="AZ314" i="76"/>
  <c r="AZ315" i="76"/>
  <c r="AZ320" i="76"/>
  <c r="AZ322" i="76"/>
  <c r="AZ321" i="76"/>
  <c r="AZ317" i="76"/>
  <c r="AZ323" i="76"/>
  <c r="AZ324" i="76"/>
  <c r="AZ325" i="76"/>
  <c r="AZ326" i="76"/>
  <c r="AZ327" i="76"/>
  <c r="AZ328" i="76"/>
  <c r="AZ329" i="76"/>
  <c r="AZ330" i="76"/>
  <c r="AZ331" i="76"/>
  <c r="AZ332" i="76"/>
  <c r="AZ333" i="76"/>
  <c r="AZ334" i="76"/>
  <c r="AZ335" i="76"/>
  <c r="AZ336" i="76"/>
  <c r="AZ337" i="76"/>
  <c r="AZ338" i="76"/>
  <c r="AZ339" i="76"/>
  <c r="AZ340" i="76"/>
  <c r="AZ341" i="76"/>
  <c r="AZ342" i="76"/>
  <c r="AZ343" i="76"/>
  <c r="AZ344" i="76"/>
  <c r="AZ345" i="76"/>
  <c r="AZ346" i="76"/>
  <c r="AZ347" i="76"/>
  <c r="AZ348" i="76"/>
  <c r="AZ349" i="76"/>
  <c r="AZ350" i="76"/>
  <c r="AZ351" i="76"/>
  <c r="AZ352" i="76"/>
  <c r="AZ353" i="76"/>
  <c r="AZ354" i="76"/>
  <c r="AZ355" i="76"/>
  <c r="AZ356" i="76"/>
  <c r="AZ357" i="76"/>
  <c r="AZ358" i="76"/>
  <c r="AZ359" i="76"/>
  <c r="AZ360" i="76"/>
  <c r="AZ361" i="76"/>
  <c r="AZ362" i="76"/>
  <c r="AZ363" i="76"/>
  <c r="AZ364" i="76"/>
  <c r="AZ365" i="76"/>
  <c r="AZ366" i="76"/>
  <c r="AZ367" i="76"/>
  <c r="AZ368" i="76"/>
  <c r="AZ369" i="76"/>
  <c r="AZ370" i="76"/>
  <c r="AZ371" i="76"/>
  <c r="AZ372" i="76"/>
  <c r="AZ373" i="76"/>
  <c r="AZ374" i="76"/>
  <c r="AZ375" i="76"/>
  <c r="AZ376" i="76"/>
  <c r="AZ377" i="76"/>
  <c r="AZ378" i="76"/>
  <c r="AZ379" i="76"/>
  <c r="AZ380" i="76"/>
  <c r="AZ381" i="76"/>
  <c r="AZ382" i="76"/>
  <c r="AZ383" i="76"/>
  <c r="AZ384" i="76"/>
  <c r="AZ385" i="76"/>
  <c r="AZ386" i="76"/>
  <c r="AZ387" i="76"/>
  <c r="AZ388" i="76"/>
  <c r="AZ418" i="76"/>
  <c r="AZ390" i="76"/>
  <c r="AZ391" i="76"/>
  <c r="AZ392" i="76"/>
  <c r="AZ393" i="76"/>
  <c r="AZ389" i="76"/>
  <c r="AZ394" i="76"/>
  <c r="AZ395" i="76"/>
  <c r="AZ396" i="76"/>
  <c r="AZ397" i="76"/>
  <c r="AZ398" i="76"/>
  <c r="AZ399" i="76"/>
  <c r="AZ401" i="76"/>
  <c r="AZ400" i="76"/>
  <c r="AZ402" i="76"/>
  <c r="AZ404" i="76"/>
  <c r="AZ405" i="76"/>
  <c r="AZ406" i="76"/>
  <c r="AZ407" i="76"/>
  <c r="AZ408" i="76"/>
  <c r="AZ409" i="76"/>
  <c r="AZ410" i="76"/>
  <c r="AZ411" i="76"/>
  <c r="AZ412" i="76"/>
  <c r="AZ413" i="76"/>
  <c r="AZ414" i="76"/>
  <c r="AZ415" i="76"/>
  <c r="AZ416" i="76"/>
  <c r="AZ417" i="76"/>
  <c r="AZ419" i="76"/>
  <c r="AZ420" i="76"/>
  <c r="AZ421" i="76"/>
  <c r="AZ424" i="76"/>
  <c r="AZ422" i="76"/>
  <c r="AZ423" i="76"/>
  <c r="AZ426" i="76"/>
  <c r="AZ427" i="76"/>
  <c r="AZ428" i="76"/>
  <c r="AZ429" i="76"/>
  <c r="AZ430" i="76"/>
  <c r="AZ431" i="76"/>
  <c r="AZ432" i="76"/>
  <c r="AZ433" i="76"/>
  <c r="AZ434" i="76"/>
  <c r="AZ425" i="76"/>
  <c r="AZ435" i="76"/>
  <c r="AZ436" i="76"/>
  <c r="AZ437" i="76"/>
  <c r="AZ438" i="76"/>
  <c r="AZ439" i="76"/>
  <c r="AZ440" i="76"/>
  <c r="AZ441" i="76"/>
  <c r="AZ442" i="76"/>
  <c r="AZ443" i="76"/>
  <c r="AZ444" i="76"/>
  <c r="AZ445" i="76"/>
  <c r="AZ447" i="76"/>
  <c r="AZ448" i="76"/>
  <c r="AZ449" i="76"/>
  <c r="AZ450" i="76"/>
  <c r="AZ451" i="76"/>
  <c r="AZ452" i="76"/>
  <c r="AZ453" i="76"/>
  <c r="AZ458" i="76"/>
  <c r="AZ459" i="76"/>
  <c r="AZ455" i="76"/>
  <c r="AZ461" i="76"/>
  <c r="AZ460" i="76"/>
  <c r="AZ462" i="76"/>
  <c r="AZ463" i="76"/>
  <c r="AZ464" i="76"/>
  <c r="AZ465" i="76"/>
  <c r="AZ466" i="76"/>
  <c r="AZ467" i="76"/>
  <c r="AZ468" i="76"/>
  <c r="AZ469" i="76"/>
  <c r="AZ470" i="76"/>
  <c r="AZ471" i="76"/>
  <c r="AZ472" i="76"/>
  <c r="AZ473" i="76"/>
  <c r="AZ474" i="76"/>
  <c r="AZ475" i="76"/>
  <c r="AZ476" i="76"/>
  <c r="AZ477" i="76"/>
  <c r="AZ478" i="76"/>
  <c r="AZ479" i="76"/>
  <c r="AZ486" i="76"/>
  <c r="AZ480" i="76"/>
  <c r="AZ481" i="76"/>
  <c r="AZ482" i="76"/>
  <c r="AZ483" i="76"/>
  <c r="AZ484" i="76"/>
  <c r="AZ485" i="76"/>
  <c r="AZ487" i="76"/>
  <c r="AZ488" i="76"/>
  <c r="AZ489" i="76"/>
  <c r="AZ490" i="76"/>
  <c r="AZ491" i="76"/>
  <c r="AZ492" i="76"/>
  <c r="AZ493" i="76"/>
  <c r="AZ494" i="76"/>
  <c r="AZ495" i="76"/>
  <c r="AZ496" i="76"/>
  <c r="AZ497" i="76"/>
  <c r="AZ498" i="76"/>
  <c r="AZ499" i="76"/>
  <c r="AZ500" i="76"/>
  <c r="AZ501" i="76"/>
  <c r="AZ502" i="76"/>
  <c r="AZ503" i="76"/>
  <c r="AZ504" i="76"/>
  <c r="AZ505" i="76"/>
  <c r="AZ506" i="76"/>
  <c r="AZ507" i="76"/>
  <c r="AZ508" i="76"/>
  <c r="AZ509" i="76"/>
  <c r="AZ510" i="76"/>
  <c r="AZ511" i="76"/>
  <c r="AZ512" i="76"/>
  <c r="AZ513" i="76"/>
  <c r="AZ514" i="76"/>
  <c r="AZ515" i="76"/>
  <c r="AZ516" i="76"/>
  <c r="AZ517" i="76"/>
  <c r="AZ518" i="76"/>
  <c r="AZ519" i="76"/>
  <c r="AZ520" i="76"/>
  <c r="AZ521" i="76"/>
  <c r="AZ522" i="76"/>
  <c r="AZ523" i="76"/>
  <c r="AZ524" i="76"/>
  <c r="AZ525" i="76"/>
  <c r="AZ526" i="76"/>
  <c r="AZ527" i="76"/>
  <c r="AZ528" i="76"/>
  <c r="AZ529" i="76"/>
  <c r="AZ530" i="76"/>
  <c r="AZ531" i="76"/>
  <c r="AZ532" i="76"/>
  <c r="AZ533" i="76"/>
  <c r="AZ534" i="76"/>
  <c r="AZ535" i="76"/>
  <c r="AZ536" i="76"/>
  <c r="AZ537" i="76"/>
  <c r="AZ538" i="76"/>
  <c r="AZ539" i="76"/>
  <c r="AZ540" i="76"/>
  <c r="AZ541" i="76"/>
  <c r="AZ542" i="76"/>
  <c r="AZ543" i="76"/>
  <c r="AZ544" i="76"/>
  <c r="AZ546" i="76"/>
  <c r="AZ547" i="76"/>
  <c r="AZ548" i="76"/>
  <c r="AZ549" i="76"/>
  <c r="AZ550" i="76"/>
  <c r="AZ551" i="76"/>
  <c r="AZ553" i="76"/>
  <c r="AZ554" i="76"/>
  <c r="AZ555" i="76"/>
  <c r="AZ556" i="76"/>
  <c r="AZ557" i="76"/>
  <c r="AZ558" i="76"/>
  <c r="AZ559" i="76"/>
  <c r="AZ560" i="76"/>
  <c r="AZ561" i="76"/>
  <c r="AZ571" i="76"/>
  <c r="AZ562" i="76"/>
  <c r="AZ563" i="76"/>
  <c r="AZ564" i="76"/>
  <c r="AZ565" i="76"/>
  <c r="AZ566" i="76"/>
  <c r="AZ567" i="76"/>
  <c r="AZ568" i="76"/>
  <c r="AZ569" i="76"/>
  <c r="AZ570" i="76"/>
  <c r="AZ573" i="76"/>
  <c r="AZ574" i="76"/>
  <c r="AZ575" i="76"/>
  <c r="AZ576" i="76"/>
  <c r="AZ577" i="76"/>
  <c r="AZ578" i="76"/>
  <c r="AZ572" i="76"/>
  <c r="AZ579" i="76"/>
  <c r="AZ580" i="76"/>
  <c r="AZ581" i="76"/>
  <c r="AZ582" i="76"/>
  <c r="AZ583" i="76"/>
  <c r="AZ584" i="76"/>
  <c r="AZ585" i="76"/>
  <c r="AZ586" i="76"/>
  <c r="AZ587" i="76"/>
  <c r="AZ588" i="76"/>
  <c r="AZ589" i="76"/>
  <c r="AZ590" i="76"/>
  <c r="AZ591" i="76"/>
  <c r="AZ592" i="76"/>
  <c r="AZ593" i="76"/>
  <c r="AZ594" i="76"/>
  <c r="AZ595" i="76"/>
  <c r="AZ596" i="76"/>
  <c r="AZ597" i="76"/>
  <c r="AZ598" i="76"/>
  <c r="AZ599" i="76"/>
  <c r="AZ600" i="76"/>
  <c r="AZ601" i="76"/>
  <c r="AZ602" i="76"/>
  <c r="AZ603" i="76"/>
  <c r="AZ604" i="76"/>
  <c r="AZ605" i="76"/>
  <c r="AZ606" i="76"/>
  <c r="AZ607" i="76"/>
  <c r="AZ608" i="76"/>
  <c r="AZ609" i="76"/>
  <c r="AZ610" i="76"/>
  <c r="AZ611" i="76"/>
  <c r="AZ612" i="76"/>
  <c r="AZ613" i="76"/>
  <c r="AZ614" i="76"/>
  <c r="AZ615" i="76"/>
  <c r="AZ616" i="76"/>
  <c r="AZ617" i="76"/>
  <c r="AZ618" i="76"/>
  <c r="AZ619" i="76"/>
  <c r="AZ620" i="76"/>
  <c r="AZ621" i="76"/>
  <c r="AZ622" i="76"/>
  <c r="AZ623" i="76"/>
  <c r="AZ624" i="76"/>
  <c r="AZ625" i="76"/>
  <c r="AZ626" i="76"/>
  <c r="AZ627" i="76"/>
  <c r="AZ628" i="76"/>
  <c r="AZ630" i="76"/>
  <c r="AZ631" i="76"/>
  <c r="AZ632" i="76"/>
  <c r="AZ633" i="76"/>
  <c r="AZ634" i="76"/>
  <c r="AZ635" i="76"/>
  <c r="AZ636" i="76"/>
  <c r="AZ637" i="76"/>
  <c r="AZ638" i="76"/>
  <c r="AZ639" i="76"/>
  <c r="AZ640" i="76"/>
  <c r="AZ641" i="76"/>
  <c r="AZ642" i="76"/>
  <c r="AZ643" i="76"/>
  <c r="AZ644" i="76"/>
  <c r="AZ645" i="76"/>
  <c r="AZ646" i="76"/>
  <c r="AZ647" i="76"/>
  <c r="AZ648" i="76"/>
  <c r="AZ649" i="76"/>
  <c r="AZ650" i="76"/>
  <c r="AZ651" i="76"/>
  <c r="AZ652" i="76"/>
  <c r="AZ653" i="76"/>
  <c r="AZ654" i="76"/>
  <c r="AZ655" i="76"/>
  <c r="AZ656" i="76"/>
  <c r="AZ657" i="76"/>
  <c r="AZ658" i="76"/>
  <c r="AZ660" i="76"/>
  <c r="AZ661" i="76"/>
  <c r="AZ662" i="76"/>
  <c r="AZ663" i="76"/>
  <c r="AZ665" i="76"/>
  <c r="AZ666" i="76"/>
  <c r="AZ667" i="76"/>
  <c r="AZ664" i="76"/>
  <c r="AZ668" i="76"/>
  <c r="AZ669" i="76"/>
  <c r="AZ670" i="76"/>
  <c r="AZ671" i="76"/>
  <c r="AZ672" i="76"/>
  <c r="AZ673" i="76"/>
  <c r="AZ674" i="76"/>
  <c r="AZ675" i="76"/>
  <c r="AZ676" i="76"/>
  <c r="AZ677" i="76"/>
  <c r="AZ678" i="76"/>
  <c r="AZ679" i="76"/>
  <c r="AZ680" i="76"/>
  <c r="AZ681" i="76"/>
  <c r="AZ682" i="76"/>
  <c r="AZ683" i="76"/>
  <c r="AZ684" i="76"/>
  <c r="AZ685" i="76"/>
  <c r="AZ686" i="76"/>
  <c r="AZ687" i="76"/>
  <c r="AZ688" i="76"/>
  <c r="AZ689" i="76"/>
  <c r="AZ690" i="76"/>
  <c r="AZ691" i="76"/>
  <c r="AZ692" i="76"/>
  <c r="AZ693" i="76"/>
  <c r="AZ694" i="76"/>
  <c r="AZ695" i="76"/>
  <c r="AZ696" i="76"/>
  <c r="AZ697" i="76"/>
  <c r="AZ698" i="76"/>
  <c r="AZ699" i="76"/>
  <c r="AZ700" i="76"/>
  <c r="AZ701" i="76"/>
  <c r="AZ702" i="76"/>
  <c r="AZ703" i="76"/>
  <c r="AZ704" i="76"/>
  <c r="AZ705" i="76"/>
  <c r="AZ706" i="76"/>
  <c r="AZ707" i="76"/>
  <c r="AZ708" i="76"/>
  <c r="AZ709" i="76"/>
  <c r="AZ710" i="76"/>
  <c r="AZ711" i="76"/>
  <c r="AZ712" i="76"/>
  <c r="AZ714" i="76"/>
  <c r="AZ715" i="76"/>
  <c r="AZ716" i="76"/>
  <c r="AZ717" i="76"/>
  <c r="AZ713" i="76"/>
  <c r="AZ718" i="76"/>
  <c r="AZ719" i="76"/>
  <c r="AZ720" i="76"/>
  <c r="AZ721" i="76"/>
  <c r="AZ722" i="76"/>
  <c r="AZ723" i="76"/>
  <c r="AZ724" i="76"/>
  <c r="AZ725" i="76"/>
  <c r="AZ726" i="76"/>
  <c r="AZ727" i="76"/>
  <c r="AZ728" i="76"/>
  <c r="AZ729" i="76"/>
  <c r="AZ730" i="76"/>
  <c r="AZ731" i="76"/>
  <c r="AZ732" i="76"/>
  <c r="AZ733" i="76"/>
  <c r="AZ734" i="76"/>
  <c r="AZ735" i="76"/>
  <c r="AZ741" i="76"/>
  <c r="AZ742" i="76"/>
  <c r="AZ744" i="76"/>
  <c r="AZ745" i="76"/>
  <c r="AZ746" i="76"/>
  <c r="AZ743" i="76"/>
  <c r="AZ747" i="76"/>
  <c r="AZ748" i="76"/>
  <c r="AZ749" i="76"/>
  <c r="AZ750" i="76"/>
  <c r="AZ751" i="76"/>
  <c r="AZ752" i="76"/>
  <c r="AZ753" i="76"/>
  <c r="AZ754" i="76"/>
  <c r="AZ755" i="76"/>
  <c r="AZ756" i="76"/>
  <c r="AZ757" i="76"/>
  <c r="AZ758" i="76"/>
  <c r="AZ760" i="76"/>
  <c r="AZ761" i="76"/>
  <c r="AZ762" i="76"/>
  <c r="AZ763" i="76"/>
  <c r="AZ764" i="76"/>
  <c r="AZ769" i="76"/>
  <c r="AZ765" i="76"/>
  <c r="AZ766" i="76"/>
  <c r="AZ767" i="76"/>
  <c r="AZ759" i="76"/>
  <c r="AZ768" i="76"/>
  <c r="AZ770" i="76"/>
  <c r="AZ771" i="76"/>
  <c r="AZ772" i="76"/>
  <c r="AZ773" i="76"/>
  <c r="AZ774" i="76"/>
  <c r="AZ775" i="76"/>
  <c r="AZ776" i="76"/>
  <c r="AZ777" i="76"/>
  <c r="AZ778" i="76"/>
  <c r="AZ779" i="76"/>
  <c r="AZ780" i="76"/>
  <c r="AZ781" i="76"/>
  <c r="AZ782" i="76"/>
  <c r="AZ783" i="76"/>
  <c r="AZ784" i="76"/>
  <c r="AZ785" i="76"/>
  <c r="AZ786" i="76"/>
  <c r="AZ787" i="76"/>
  <c r="AZ788" i="76"/>
  <c r="AZ790" i="76"/>
  <c r="AZ791" i="76"/>
  <c r="AZ792" i="76"/>
  <c r="AZ793" i="76"/>
  <c r="AZ794" i="76"/>
  <c r="AZ795" i="76"/>
  <c r="AZ796" i="76"/>
  <c r="AZ797" i="76"/>
  <c r="AZ798" i="76"/>
  <c r="AZ799" i="76"/>
  <c r="AZ800" i="76"/>
  <c r="AZ801" i="76"/>
  <c r="AZ803" i="76"/>
  <c r="AZ804" i="76"/>
  <c r="AZ805" i="76"/>
  <c r="AZ806" i="76"/>
  <c r="AZ807" i="76"/>
  <c r="AZ808" i="76"/>
  <c r="AZ809" i="76"/>
  <c r="AZ810" i="76"/>
  <c r="AZ811" i="76"/>
  <c r="AZ812" i="76"/>
  <c r="AZ813" i="76"/>
  <c r="AZ814" i="76"/>
  <c r="AZ815" i="76"/>
  <c r="AZ816" i="76"/>
  <c r="AZ817" i="76"/>
  <c r="AZ818" i="76"/>
  <c r="AZ819" i="76"/>
  <c r="AZ820" i="76"/>
  <c r="AZ821" i="76"/>
  <c r="AZ822" i="76"/>
  <c r="AZ823" i="76"/>
  <c r="AZ825" i="76"/>
  <c r="AZ826" i="76"/>
  <c r="AZ827" i="76"/>
  <c r="AZ828" i="76"/>
  <c r="AZ829" i="76"/>
  <c r="AZ830" i="76"/>
  <c r="AZ831" i="76"/>
  <c r="AZ832" i="76"/>
  <c r="AZ833" i="76"/>
  <c r="AZ824" i="76"/>
  <c r="AZ834" i="76"/>
  <c r="AZ835" i="76"/>
  <c r="AZ836" i="76"/>
  <c r="AZ837" i="76"/>
  <c r="AZ838" i="76"/>
  <c r="AZ839" i="76"/>
  <c r="AZ840" i="76"/>
  <c r="AZ841" i="76"/>
  <c r="AZ842" i="76"/>
  <c r="AZ843" i="76"/>
  <c r="AZ844" i="76"/>
  <c r="AZ845" i="76"/>
  <c r="AZ846" i="76"/>
  <c r="AZ847" i="76"/>
  <c r="AZ848" i="76"/>
  <c r="AZ849" i="76"/>
  <c r="AZ850" i="76"/>
  <c r="AZ851" i="76"/>
  <c r="AZ852" i="76"/>
  <c r="AZ853" i="76"/>
  <c r="AZ854" i="76"/>
  <c r="AZ855" i="76"/>
  <c r="AZ856" i="76"/>
  <c r="AZ857" i="76"/>
  <c r="AZ858" i="76"/>
  <c r="AZ860" i="76"/>
  <c r="AZ861" i="76"/>
  <c r="AZ862" i="76"/>
  <c r="AZ863" i="76"/>
  <c r="AZ864" i="76"/>
  <c r="AZ865" i="76"/>
  <c r="AZ859" i="76"/>
  <c r="AZ866" i="76"/>
  <c r="AZ867" i="76"/>
  <c r="AZ868" i="76"/>
  <c r="AZ869" i="76"/>
  <c r="AZ870" i="76"/>
  <c r="AZ871" i="76"/>
  <c r="AZ872" i="76"/>
  <c r="AZ873" i="76"/>
  <c r="AZ874" i="76"/>
  <c r="AZ875" i="76"/>
  <c r="AZ876" i="76"/>
  <c r="AZ877" i="76"/>
  <c r="AZ878" i="76"/>
  <c r="AZ879" i="76"/>
  <c r="AZ880" i="76"/>
  <c r="AZ881" i="76"/>
  <c r="AZ882" i="76"/>
  <c r="AZ883" i="76"/>
  <c r="AZ884" i="76"/>
  <c r="AZ885" i="76"/>
  <c r="AZ886" i="76"/>
  <c r="AZ887" i="76"/>
  <c r="AZ888" i="76"/>
  <c r="AZ889" i="76"/>
  <c r="AZ890" i="76"/>
  <c r="AZ891" i="76"/>
  <c r="AZ892" i="76"/>
  <c r="AZ893" i="76"/>
  <c r="AZ894" i="76"/>
  <c r="AZ895" i="76"/>
  <c r="AZ896" i="76"/>
  <c r="AZ897" i="76"/>
  <c r="AZ898" i="76"/>
  <c r="AZ899" i="76"/>
  <c r="AZ900" i="76"/>
  <c r="AZ901" i="76"/>
  <c r="AZ902" i="76"/>
  <c r="AZ903" i="76"/>
  <c r="AZ904" i="76"/>
  <c r="AZ905" i="76"/>
  <c r="AZ906" i="76"/>
  <c r="AZ907" i="76"/>
  <c r="AZ908" i="76"/>
  <c r="AZ909" i="76"/>
  <c r="AZ910" i="76"/>
  <c r="AZ911" i="76"/>
  <c r="AZ912" i="76"/>
  <c r="AZ913" i="76"/>
  <c r="AZ914" i="76"/>
  <c r="AZ915" i="76"/>
  <c r="AZ916" i="76"/>
  <c r="AZ917" i="76"/>
  <c r="AZ918" i="76"/>
  <c r="AZ919" i="76"/>
  <c r="AZ920" i="76"/>
  <c r="AZ921" i="76"/>
  <c r="AZ922" i="76"/>
  <c r="AZ923" i="76"/>
  <c r="AZ924" i="76"/>
  <c r="AZ925" i="76"/>
  <c r="AZ926" i="76"/>
  <c r="AZ927" i="76"/>
  <c r="AZ950" i="76"/>
  <c r="AZ929" i="76"/>
  <c r="AZ930" i="76"/>
  <c r="AZ931" i="76"/>
  <c r="AZ932" i="76"/>
  <c r="AZ933" i="76"/>
  <c r="AZ934" i="76"/>
  <c r="AZ935" i="76"/>
  <c r="AZ936" i="76"/>
  <c r="AZ937" i="76"/>
  <c r="AZ938" i="76"/>
  <c r="AZ939" i="76"/>
  <c r="AZ940" i="76"/>
  <c r="AZ941" i="76"/>
  <c r="AZ942" i="76"/>
  <c r="AZ943" i="76"/>
  <c r="AZ944" i="76"/>
  <c r="AZ945" i="76"/>
  <c r="AZ946" i="76"/>
  <c r="AZ947" i="76"/>
  <c r="AZ948" i="76"/>
  <c r="AZ949" i="76"/>
  <c r="AZ951" i="76"/>
  <c r="AZ952" i="76"/>
  <c r="AZ953" i="76"/>
  <c r="AZ954" i="76"/>
  <c r="AZ955" i="76"/>
  <c r="AZ956" i="76"/>
  <c r="AZ957" i="76"/>
  <c r="AZ958" i="76"/>
  <c r="AZ959" i="76"/>
  <c r="AZ960" i="76"/>
  <c r="AZ961" i="76"/>
  <c r="AZ962" i="76"/>
  <c r="AZ963" i="76"/>
  <c r="AZ964" i="76"/>
  <c r="AZ965" i="76"/>
  <c r="AZ966" i="76"/>
  <c r="AZ967" i="76"/>
  <c r="AZ968" i="76"/>
  <c r="AZ969" i="76"/>
  <c r="AZ970" i="76"/>
  <c r="AZ971" i="76"/>
  <c r="AZ972" i="76"/>
  <c r="AZ973" i="76"/>
  <c r="AZ974" i="76"/>
  <c r="AZ975" i="76"/>
  <c r="AZ976" i="76"/>
  <c r="AZ977" i="76"/>
  <c r="AZ978" i="76"/>
  <c r="AZ979" i="76"/>
  <c r="AZ980" i="76"/>
  <c r="AZ981" i="76"/>
  <c r="AZ982" i="76"/>
  <c r="AZ983" i="76"/>
  <c r="AZ984" i="76"/>
  <c r="AZ985" i="76"/>
  <c r="AZ986" i="76"/>
  <c r="AZ987" i="76"/>
  <c r="AZ988" i="76"/>
  <c r="AZ989" i="76"/>
  <c r="AZ990" i="76"/>
  <c r="AZ991" i="76"/>
  <c r="AZ992" i="76"/>
  <c r="AZ993" i="76"/>
  <c r="AZ994" i="76"/>
  <c r="AZ995" i="76"/>
  <c r="AZ996" i="76"/>
  <c r="AZ997" i="76"/>
  <c r="AZ998" i="76"/>
  <c r="AZ999" i="76"/>
  <c r="AZ1000" i="76"/>
  <c r="AZ1001" i="76"/>
  <c r="AZ1002" i="76"/>
  <c r="AZ1003" i="76"/>
  <c r="AZ1004" i="76"/>
  <c r="AZ1005" i="76"/>
  <c r="AZ1006" i="76"/>
  <c r="AZ1011" i="76"/>
  <c r="AZ1008" i="76"/>
  <c r="AZ1012" i="76"/>
  <c r="AZ1013" i="76"/>
  <c r="AZ1014" i="76"/>
  <c r="AZ1015" i="76"/>
  <c r="AZ1016" i="76"/>
  <c r="AZ1017" i="76"/>
  <c r="AZ1018" i="76"/>
  <c r="AZ1019" i="76"/>
  <c r="AZ1020" i="76"/>
  <c r="AZ1021" i="76"/>
  <c r="AZ1022" i="76"/>
  <c r="AZ1023" i="76"/>
  <c r="AZ1024" i="76"/>
  <c r="AZ1025" i="76"/>
  <c r="AZ1026" i="76"/>
  <c r="AZ1027" i="76"/>
  <c r="AZ1028" i="76"/>
  <c r="AZ1029" i="76"/>
  <c r="AZ1030" i="76"/>
  <c r="AZ1031" i="76"/>
  <c r="AZ1032" i="76"/>
  <c r="AZ1033" i="76"/>
  <c r="AZ1034" i="76"/>
  <c r="AZ1035" i="76"/>
  <c r="AZ1036" i="76"/>
  <c r="AZ1037" i="76"/>
  <c r="AZ1038" i="76"/>
  <c r="AY72" i="76"/>
  <c r="AY73" i="76"/>
  <c r="AY181" i="76"/>
  <c r="AY182" i="76"/>
  <c r="AY235" i="76"/>
  <c r="AY236" i="76"/>
  <c r="AY237" i="76"/>
  <c r="AY267" i="76"/>
  <c r="AY293" i="76"/>
  <c r="AZ3" i="76"/>
  <c r="AY939" i="76"/>
  <c r="AY916" i="76"/>
  <c r="AY915" i="76"/>
  <c r="AY853" i="76"/>
  <c r="AY852" i="76"/>
  <c r="AY800" i="76"/>
  <c r="AY799" i="76"/>
  <c r="AY769" i="76"/>
  <c r="AY764" i="76"/>
  <c r="AY742" i="76"/>
  <c r="AY717" i="76"/>
  <c r="AY510" i="76"/>
  <c r="AY491" i="76"/>
  <c r="AY490" i="76"/>
  <c r="AY455" i="76"/>
  <c r="AY399" i="76"/>
  <c r="AY398" i="76"/>
  <c r="AY374" i="76"/>
  <c r="AY356" i="76"/>
  <c r="AY322" i="76"/>
  <c r="O304" i="76" l="1"/>
  <c r="O932" i="76"/>
  <c r="X931" i="76"/>
  <c r="W931" i="76"/>
  <c r="T784" i="76"/>
  <c r="T1037" i="76" s="1"/>
  <c r="M150" i="76"/>
  <c r="X150" i="76" s="1"/>
  <c r="O161" i="76"/>
  <c r="AP1032" i="76"/>
  <c r="AP1031" i="76"/>
  <c r="AP1030" i="76"/>
  <c r="AP1029" i="76"/>
  <c r="AP1028" i="76"/>
  <c r="AP1027" i="76"/>
  <c r="AP1026" i="76"/>
  <c r="AP1025" i="76"/>
  <c r="AP1024" i="76"/>
  <c r="AP1023" i="76"/>
  <c r="AP1022" i="76"/>
  <c r="AP1021" i="76"/>
  <c r="AP1020" i="76"/>
  <c r="AP1019" i="76"/>
  <c r="AP1018" i="76"/>
  <c r="AP1017" i="76"/>
  <c r="AP1016" i="76"/>
  <c r="AP1015" i="76"/>
  <c r="AP1014" i="76"/>
  <c r="AP1013" i="76"/>
  <c r="AP1012" i="76"/>
  <c r="AP1008" i="76"/>
  <c r="AP1004" i="76"/>
  <c r="AP1003" i="76"/>
  <c r="AP1002" i="76"/>
  <c r="AP1001" i="76"/>
  <c r="AP1000" i="76"/>
  <c r="AP999" i="76"/>
  <c r="AP998" i="76"/>
  <c r="AP997" i="76"/>
  <c r="AP996" i="76"/>
  <c r="AP995" i="76"/>
  <c r="AP994" i="76"/>
  <c r="AP993" i="76"/>
  <c r="AP992" i="76"/>
  <c r="AP991" i="76"/>
  <c r="AP990" i="76"/>
  <c r="AP989" i="76"/>
  <c r="AP988" i="76"/>
  <c r="AP987" i="76"/>
  <c r="AP986" i="76"/>
  <c r="AP985" i="76"/>
  <c r="AP984" i="76"/>
  <c r="AP983" i="76"/>
  <c r="AP982" i="76"/>
  <c r="AP981" i="76"/>
  <c r="AP980" i="76"/>
  <c r="AP979" i="76"/>
  <c r="AP978" i="76"/>
  <c r="AP977" i="76"/>
  <c r="AP976" i="76"/>
  <c r="AP975" i="76"/>
  <c r="AP974" i="76"/>
  <c r="AP973" i="76"/>
  <c r="AP972" i="76"/>
  <c r="AP971" i="76"/>
  <c r="AP970" i="76"/>
  <c r="AP969" i="76"/>
  <c r="AP968" i="76"/>
  <c r="AP967" i="76"/>
  <c r="AP966" i="76"/>
  <c r="AP965" i="76"/>
  <c r="AP964" i="76"/>
  <c r="AP963" i="76"/>
  <c r="AP962" i="76"/>
  <c r="AP961" i="76"/>
  <c r="AP960" i="76"/>
  <c r="AP959" i="76"/>
  <c r="AP958" i="76"/>
  <c r="AP951" i="76"/>
  <c r="AP949" i="76"/>
  <c r="AP948" i="76"/>
  <c r="AP947" i="76"/>
  <c r="AP946" i="76"/>
  <c r="AP945" i="76"/>
  <c r="AP941" i="76"/>
  <c r="AP940" i="76"/>
  <c r="AP939" i="76"/>
  <c r="AP935" i="76"/>
  <c r="AP931" i="76"/>
  <c r="AP950" i="76"/>
  <c r="AP922" i="76"/>
  <c r="AP921" i="76"/>
  <c r="AP920" i="76"/>
  <c r="AP916" i="76"/>
  <c r="AP915" i="76"/>
  <c r="AP911" i="76"/>
  <c r="AP907" i="76"/>
  <c r="AP903" i="76"/>
  <c r="AP902" i="76"/>
  <c r="AP901" i="76"/>
  <c r="AP900" i="76"/>
  <c r="AP899" i="76"/>
  <c r="AP898" i="76"/>
  <c r="AP897" i="76"/>
  <c r="AP896" i="76"/>
  <c r="AP895" i="76"/>
  <c r="AP894" i="76"/>
  <c r="AP887" i="76"/>
  <c r="AP886" i="76"/>
  <c r="AP885" i="76"/>
  <c r="AP884" i="76"/>
  <c r="AP883" i="76"/>
  <c r="AP879" i="76"/>
  <c r="AP875" i="76"/>
  <c r="AP874" i="76"/>
  <c r="AP867" i="76"/>
  <c r="AP866" i="76"/>
  <c r="AP859" i="76"/>
  <c r="AP865" i="76"/>
  <c r="AP864" i="76"/>
  <c r="AP860" i="76"/>
  <c r="AP858" i="76"/>
  <c r="AP857" i="76"/>
  <c r="AP856" i="76"/>
  <c r="AP855" i="76"/>
  <c r="AP854" i="76"/>
  <c r="AP853" i="76"/>
  <c r="AP852" i="76"/>
  <c r="AP848" i="76"/>
  <c r="AP847" i="76"/>
  <c r="AP843" i="76"/>
  <c r="AP842" i="76"/>
  <c r="AP835" i="76"/>
  <c r="AP834" i="76"/>
  <c r="AP824" i="76"/>
  <c r="AP833" i="76"/>
  <c r="AP829" i="76"/>
  <c r="AP828" i="76"/>
  <c r="AP823" i="76"/>
  <c r="AP819" i="76"/>
  <c r="AP818" i="76"/>
  <c r="AP811" i="76"/>
  <c r="AP810" i="76"/>
  <c r="AP809" i="76"/>
  <c r="AP808" i="76"/>
  <c r="AP807" i="76"/>
  <c r="AP803" i="76"/>
  <c r="AP801" i="76"/>
  <c r="AP800" i="76"/>
  <c r="AP799" i="76"/>
  <c r="AP795" i="76"/>
  <c r="AP794" i="76"/>
  <c r="AP790" i="76"/>
  <c r="AP788" i="76"/>
  <c r="AP779" i="76"/>
  <c r="AP778" i="76"/>
  <c r="AP777" i="76"/>
  <c r="AP776" i="76"/>
  <c r="AP775" i="76"/>
  <c r="AP774" i="76"/>
  <c r="AP773" i="76"/>
  <c r="AP768" i="76"/>
  <c r="AP759" i="76"/>
  <c r="AP769" i="76"/>
  <c r="AP764" i="76"/>
  <c r="AP760" i="76"/>
  <c r="AP758" i="76"/>
  <c r="AP757" i="76"/>
  <c r="AP756" i="76"/>
  <c r="AP749" i="76"/>
  <c r="AP748" i="76"/>
  <c r="AP747" i="76"/>
  <c r="AP743" i="76"/>
  <c r="AP742" i="76"/>
  <c r="AP733" i="76"/>
  <c r="AP732" i="76"/>
  <c r="AP731" i="76"/>
  <c r="AP730" i="76"/>
  <c r="AP723" i="76"/>
  <c r="AP722" i="76"/>
  <c r="AP718" i="76"/>
  <c r="AP713" i="76"/>
  <c r="AP717" i="76"/>
  <c r="AP712" i="76"/>
  <c r="AP708" i="76"/>
  <c r="AP707" i="76"/>
  <c r="AP706" i="76"/>
  <c r="AP702" i="76"/>
  <c r="AP701" i="76"/>
  <c r="AP694" i="76"/>
  <c r="AP693" i="76"/>
  <c r="AP692" i="76"/>
  <c r="AP691" i="76"/>
  <c r="AP690" i="76"/>
  <c r="AP689" i="76"/>
  <c r="AP685" i="76"/>
  <c r="AP681" i="76"/>
  <c r="AP674" i="76"/>
  <c r="AP673" i="76"/>
  <c r="AP672" i="76"/>
  <c r="AP668" i="76"/>
  <c r="AP664" i="76"/>
  <c r="AP663" i="76"/>
  <c r="AP658" i="76"/>
  <c r="AP654" i="76"/>
  <c r="AP647" i="76"/>
  <c r="AP646" i="76"/>
  <c r="AP645" i="76"/>
  <c r="AP641" i="76"/>
  <c r="AP637" i="76"/>
  <c r="AP630" i="76"/>
  <c r="AP628" i="76"/>
  <c r="AP627" i="76"/>
  <c r="AP626" i="76"/>
  <c r="AP622" i="76"/>
  <c r="AP618" i="76"/>
  <c r="AP617" i="76"/>
  <c r="AP613" i="76"/>
  <c r="AP612" i="76"/>
  <c r="AP605" i="76"/>
  <c r="AP604" i="76"/>
  <c r="AP603" i="76"/>
  <c r="AP602" i="76"/>
  <c r="AP601" i="76"/>
  <c r="AP597" i="76"/>
  <c r="AP596" i="76"/>
  <c r="AP592" i="76"/>
  <c r="AP591" i="76"/>
  <c r="AP584" i="76"/>
  <c r="AP583" i="76"/>
  <c r="AP582" i="76"/>
  <c r="AP572" i="76"/>
  <c r="AP578" i="76"/>
  <c r="AP577" i="76"/>
  <c r="AP573" i="76"/>
  <c r="AP570" i="76"/>
  <c r="AP569" i="76"/>
  <c r="AP565" i="76"/>
  <c r="AP571" i="76"/>
  <c r="AP561" i="76"/>
  <c r="AP554" i="76"/>
  <c r="AP553" i="76"/>
  <c r="AP551" i="76"/>
  <c r="AP550" i="76"/>
  <c r="AP549" i="76"/>
  <c r="AP544" i="76"/>
  <c r="AP540" i="76"/>
  <c r="AP539" i="76"/>
  <c r="AP535" i="76"/>
  <c r="AP534" i="76"/>
  <c r="AP533" i="76"/>
  <c r="AP529" i="76"/>
  <c r="AP528" i="76"/>
  <c r="AP527" i="76"/>
  <c r="AP526" i="76"/>
  <c r="AP519" i="76"/>
  <c r="AP518" i="76"/>
  <c r="AP517" i="76"/>
  <c r="AP516" i="76"/>
  <c r="AP515" i="76"/>
  <c r="AP511" i="76"/>
  <c r="AP510" i="76"/>
  <c r="AP506" i="76"/>
  <c r="AP505" i="76"/>
  <c r="AP504" i="76"/>
  <c r="AP503" i="76"/>
  <c r="AP494" i="76"/>
  <c r="AP493" i="76"/>
  <c r="AP492" i="76"/>
  <c r="AP491" i="76"/>
  <c r="AP490" i="76"/>
  <c r="AP485" i="76"/>
  <c r="AP484" i="76"/>
  <c r="AP483" i="76"/>
  <c r="AP482" i="76"/>
  <c r="AP481" i="76"/>
  <c r="AP480" i="76"/>
  <c r="AP486" i="76"/>
  <c r="AP473" i="76"/>
  <c r="AP472" i="76"/>
  <c r="AP471" i="76"/>
  <c r="AP470" i="76"/>
  <c r="AP469" i="76"/>
  <c r="AP468" i="76"/>
  <c r="AP467" i="76"/>
  <c r="AP466" i="76"/>
  <c r="AP465" i="76"/>
  <c r="AP460" i="76"/>
  <c r="AP461" i="76"/>
  <c r="AP455" i="76"/>
  <c r="AP459" i="76"/>
  <c r="AP451" i="76"/>
  <c r="AP447" i="76"/>
  <c r="AP445" i="76"/>
  <c r="AP444" i="76"/>
  <c r="AP443" i="76"/>
  <c r="AP436" i="76"/>
  <c r="AP435" i="76"/>
  <c r="AP425" i="76"/>
  <c r="AP434" i="76"/>
  <c r="AP430" i="76"/>
  <c r="AP426" i="76"/>
  <c r="AP423" i="76"/>
  <c r="AP422" i="76"/>
  <c r="AP424" i="76"/>
  <c r="AP417" i="76"/>
  <c r="AP409" i="76"/>
  <c r="AP408" i="76"/>
  <c r="AP404" i="76"/>
  <c r="AP402" i="76"/>
  <c r="AP400" i="76"/>
  <c r="AP401" i="76"/>
  <c r="AP399" i="76"/>
  <c r="AP398" i="76"/>
  <c r="AP394" i="76"/>
  <c r="AP389" i="76"/>
  <c r="AP390" i="76"/>
  <c r="AP418" i="76"/>
  <c r="AP388" i="76"/>
  <c r="AP387" i="76"/>
  <c r="AP386" i="76"/>
  <c r="AP379" i="76"/>
  <c r="AP378" i="76"/>
  <c r="AP374" i="76"/>
  <c r="AP370" i="76"/>
  <c r="AP363" i="76"/>
  <c r="AP362" i="76"/>
  <c r="AP361" i="76"/>
  <c r="AP357" i="76"/>
  <c r="AP356" i="76"/>
  <c r="AP352" i="76"/>
  <c r="AP348" i="76"/>
  <c r="AP347" i="76"/>
  <c r="AP346" i="76"/>
  <c r="AP342" i="76"/>
  <c r="AP341" i="76"/>
  <c r="AP340" i="76"/>
  <c r="AP339" i="76"/>
  <c r="AP338" i="76"/>
  <c r="AP337" i="76"/>
  <c r="AP330" i="76"/>
  <c r="AP329" i="76"/>
  <c r="AP328" i="76"/>
  <c r="AP327" i="76"/>
  <c r="AP326" i="76"/>
  <c r="AP317" i="76"/>
  <c r="AP321" i="76"/>
  <c r="AP322" i="76"/>
  <c r="AP313" i="76"/>
  <c r="AP312" i="76"/>
  <c r="AP311" i="76"/>
  <c r="AP310" i="76"/>
  <c r="AP309" i="76"/>
  <c r="AP308" i="76"/>
  <c r="AP301" i="76"/>
  <c r="AP300" i="76"/>
  <c r="AP299" i="76"/>
  <c r="AP298" i="76"/>
  <c r="AP293" i="76"/>
  <c r="AP292" i="76"/>
  <c r="AP288" i="76"/>
  <c r="AP287" i="76"/>
  <c r="AP285" i="76"/>
  <c r="AP284" i="76"/>
  <c r="AP283" i="76"/>
  <c r="AP276" i="76"/>
  <c r="AP275" i="76"/>
  <c r="AP274" i="76"/>
  <c r="AP273" i="76"/>
  <c r="AP269" i="76"/>
  <c r="AP268" i="76"/>
  <c r="AP267" i="76"/>
  <c r="AP259" i="76"/>
  <c r="AP263" i="76"/>
  <c r="AP258" i="76"/>
  <c r="AP257" i="76"/>
  <c r="AP256" i="76"/>
  <c r="AP249" i="76"/>
  <c r="AP248" i="76"/>
  <c r="AP247" i="76"/>
  <c r="AP246" i="76"/>
  <c r="AP245" i="76"/>
  <c r="AP244" i="76"/>
  <c r="AP240" i="76"/>
  <c r="AP239" i="76"/>
  <c r="AP238" i="76"/>
  <c r="AP237" i="76"/>
  <c r="AP236" i="76"/>
  <c r="AP235" i="76"/>
  <c r="AP231" i="76"/>
  <c r="AP219" i="76"/>
  <c r="AP230" i="76"/>
  <c r="AP229" i="76"/>
  <c r="AP228" i="76"/>
  <c r="AP224" i="76"/>
  <c r="AP223" i="76"/>
  <c r="AP215" i="76"/>
  <c r="AP217" i="76"/>
  <c r="AP216" i="76"/>
  <c r="AP218" i="76"/>
  <c r="AP214" i="76"/>
  <c r="AP213" i="76"/>
  <c r="AP212" i="76"/>
  <c r="AP211" i="76"/>
  <c r="AP210" i="76"/>
  <c r="AP209" i="76"/>
  <c r="AP208" i="76"/>
  <c r="AP207" i="76"/>
  <c r="AP206" i="76"/>
  <c r="AP205" i="76"/>
  <c r="AP204" i="76"/>
  <c r="AP203" i="76"/>
  <c r="AP193" i="76"/>
  <c r="AP192" i="76"/>
  <c r="AP191" i="76"/>
  <c r="AP187" i="76"/>
  <c r="AP186" i="76"/>
  <c r="AP185" i="76"/>
  <c r="AP184" i="76"/>
  <c r="AP183" i="76"/>
  <c r="AP182" i="76"/>
  <c r="AP181" i="76"/>
  <c r="AP177" i="76"/>
  <c r="AP176" i="76"/>
  <c r="AP194" i="76"/>
  <c r="AP175" i="76"/>
  <c r="AP174" i="76"/>
  <c r="AP170" i="76"/>
  <c r="AP169" i="76"/>
  <c r="AP168" i="76"/>
  <c r="AP161" i="76"/>
  <c r="AP160" i="76"/>
  <c r="AP159" i="76"/>
  <c r="AP158" i="76"/>
  <c r="AP154" i="76"/>
  <c r="AP150" i="76"/>
  <c r="AP146" i="76"/>
  <c r="AP139" i="76"/>
  <c r="AP138" i="76"/>
  <c r="AP137" i="76"/>
  <c r="AP136" i="76"/>
  <c r="AP132" i="76"/>
  <c r="AP131" i="76"/>
  <c r="AP130" i="76"/>
  <c r="AP126" i="76"/>
  <c r="AP125" i="76"/>
  <c r="AP121" i="76"/>
  <c r="AP120" i="76"/>
  <c r="AP116" i="76"/>
  <c r="AP109" i="76"/>
  <c r="AP108" i="76"/>
  <c r="AP107" i="76"/>
  <c r="AP103" i="76"/>
  <c r="AP102" i="76"/>
  <c r="AP95" i="76"/>
  <c r="AP94" i="76"/>
  <c r="AP93" i="76"/>
  <c r="AP89" i="76"/>
  <c r="AP88" i="76"/>
  <c r="AP81" i="76"/>
  <c r="AP80" i="76"/>
  <c r="AP79" i="76"/>
  <c r="AP78" i="76"/>
  <c r="AP74" i="76"/>
  <c r="AP73" i="76"/>
  <c r="AP72" i="76"/>
  <c r="AP68" i="76"/>
  <c r="AP64" i="76"/>
  <c r="AP63" i="76"/>
  <c r="AP62" i="76"/>
  <c r="AP58" i="76"/>
  <c r="AP57" i="76"/>
  <c r="AP56" i="76"/>
  <c r="AP49" i="76"/>
  <c r="AP48" i="76"/>
  <c r="AP41" i="76"/>
  <c r="AP47" i="76"/>
  <c r="AP46" i="76"/>
  <c r="AP45" i="76"/>
  <c r="AP37" i="76"/>
  <c r="AP30" i="76"/>
  <c r="AP29" i="76"/>
  <c r="AP28" i="76"/>
  <c r="AP27" i="76"/>
  <c r="AP26" i="76"/>
  <c r="AP25" i="76"/>
  <c r="AP19" i="76"/>
  <c r="AP24" i="76"/>
  <c r="AP23" i="76"/>
  <c r="AP15" i="76"/>
  <c r="AP14" i="76"/>
  <c r="AP9" i="76"/>
  <c r="AP8" i="76"/>
  <c r="AP7" i="76"/>
  <c r="AP10" i="76"/>
  <c r="AP6" i="76"/>
  <c r="AP5" i="76"/>
  <c r="AP4" i="76"/>
  <c r="O162" i="76" l="1"/>
  <c r="O164" i="76" s="1"/>
  <c r="X161" i="76"/>
  <c r="W161" i="76"/>
  <c r="P761" i="76"/>
  <c r="Q761" i="76"/>
  <c r="R761" i="76"/>
  <c r="M761" i="76"/>
  <c r="P791" i="76"/>
  <c r="Q791" i="76"/>
  <c r="R791" i="76"/>
  <c r="M791" i="76"/>
  <c r="P709" i="76"/>
  <c r="Q709" i="76"/>
  <c r="R709" i="76"/>
  <c r="P703" i="76"/>
  <c r="Q703" i="76"/>
  <c r="R703" i="76"/>
  <c r="M703" i="76"/>
  <c r="O1024" i="76"/>
  <c r="M709" i="76"/>
  <c r="AO1032" i="76"/>
  <c r="AO1031" i="76"/>
  <c r="AO1030" i="76"/>
  <c r="AO1029" i="76"/>
  <c r="AO1028" i="76"/>
  <c r="AO1027" i="76"/>
  <c r="AO1026" i="76"/>
  <c r="AO1025" i="76"/>
  <c r="AO1024" i="76"/>
  <c r="AO1023" i="76"/>
  <c r="AO1022" i="76"/>
  <c r="AO1021" i="76"/>
  <c r="AO1020" i="76"/>
  <c r="AO1019" i="76"/>
  <c r="AO1018" i="76"/>
  <c r="AO1017" i="76"/>
  <c r="AO1016" i="76"/>
  <c r="AO1015" i="76"/>
  <c r="AO1014" i="76"/>
  <c r="AO1013" i="76"/>
  <c r="AO1012" i="76"/>
  <c r="AO1008" i="76"/>
  <c r="AO1004" i="76"/>
  <c r="AO1003" i="76"/>
  <c r="AQ1003" i="76" s="1"/>
  <c r="AO1002" i="76"/>
  <c r="AQ1002" i="76" s="1"/>
  <c r="AO1001" i="76"/>
  <c r="AQ1001" i="76" s="1"/>
  <c r="AO1000" i="76"/>
  <c r="AO999" i="76"/>
  <c r="AO998" i="76"/>
  <c r="AO997" i="76"/>
  <c r="AO996" i="76"/>
  <c r="AQ996" i="76" s="1"/>
  <c r="AO995" i="76"/>
  <c r="AQ995" i="76" s="1"/>
  <c r="AO994" i="76"/>
  <c r="AO993" i="76"/>
  <c r="AO992" i="76"/>
  <c r="AQ992" i="76" s="1"/>
  <c r="AO991" i="76"/>
  <c r="AO990" i="76"/>
  <c r="AO989" i="76"/>
  <c r="AO988" i="76"/>
  <c r="AO987" i="76"/>
  <c r="AO986" i="76"/>
  <c r="AO985" i="76"/>
  <c r="AQ985" i="76" s="1"/>
  <c r="AO984" i="76"/>
  <c r="AO983" i="76"/>
  <c r="AO982" i="76"/>
  <c r="AO981" i="76"/>
  <c r="AO980" i="76"/>
  <c r="AO979" i="76"/>
  <c r="AO978" i="76"/>
  <c r="AO977" i="76"/>
  <c r="AQ977" i="76" s="1"/>
  <c r="AO976" i="76"/>
  <c r="AO975" i="76"/>
  <c r="AO974" i="76"/>
  <c r="AQ974" i="76" s="1"/>
  <c r="AO973" i="76"/>
  <c r="AO972" i="76"/>
  <c r="AO971" i="76"/>
  <c r="AO970" i="76"/>
  <c r="AQ970" i="76" s="1"/>
  <c r="AO969" i="76"/>
  <c r="AO968" i="76"/>
  <c r="AO967" i="76"/>
  <c r="AO966" i="76"/>
  <c r="AO965" i="76"/>
  <c r="AO964" i="76"/>
  <c r="AO963" i="76"/>
  <c r="AQ963" i="76" s="1"/>
  <c r="AO962" i="76"/>
  <c r="AQ962" i="76" s="1"/>
  <c r="AO961" i="76"/>
  <c r="AO960" i="76"/>
  <c r="AO959" i="76"/>
  <c r="AO958" i="76"/>
  <c r="AQ958" i="76" s="1"/>
  <c r="AO951" i="76"/>
  <c r="AO949" i="76"/>
  <c r="AO948" i="76"/>
  <c r="AO947" i="76"/>
  <c r="AO946" i="76"/>
  <c r="AO945" i="76"/>
  <c r="AO941" i="76"/>
  <c r="AO940" i="76"/>
  <c r="AO939" i="76"/>
  <c r="AO935" i="76"/>
  <c r="AO931" i="76"/>
  <c r="AO950" i="76"/>
  <c r="AO922" i="76"/>
  <c r="AO921" i="76"/>
  <c r="AO920" i="76"/>
  <c r="AO916" i="76"/>
  <c r="AO915" i="76"/>
  <c r="AO911" i="76"/>
  <c r="AO907" i="76"/>
  <c r="AQ907" i="76" s="1"/>
  <c r="AO903" i="76"/>
  <c r="AO902" i="76"/>
  <c r="AO901" i="76"/>
  <c r="AO900" i="76"/>
  <c r="AO899" i="76"/>
  <c r="AO898" i="76"/>
  <c r="AQ898" i="76" s="1"/>
  <c r="AO897" i="76"/>
  <c r="AQ897" i="76" s="1"/>
  <c r="AO896" i="76"/>
  <c r="AO895" i="76"/>
  <c r="AO894" i="76"/>
  <c r="AQ894" i="76" s="1"/>
  <c r="AO887" i="76"/>
  <c r="AO886" i="76"/>
  <c r="AO885" i="76"/>
  <c r="AO884" i="76"/>
  <c r="AO883" i="76"/>
  <c r="AO879" i="76"/>
  <c r="AO875" i="76"/>
  <c r="AO874" i="76"/>
  <c r="AQ874" i="76" s="1"/>
  <c r="AO867" i="76"/>
  <c r="AO866" i="76"/>
  <c r="AO859" i="76"/>
  <c r="AO865" i="76"/>
  <c r="AO864" i="76"/>
  <c r="AO860" i="76"/>
  <c r="AO858" i="76"/>
  <c r="AO857" i="76"/>
  <c r="AO856" i="76"/>
  <c r="AO855" i="76"/>
  <c r="AO854" i="76"/>
  <c r="AO853" i="76"/>
  <c r="AO852" i="76"/>
  <c r="AO848" i="76"/>
  <c r="AO847" i="76"/>
  <c r="AO843" i="76"/>
  <c r="AQ843" i="76" s="1"/>
  <c r="AO842" i="76"/>
  <c r="AQ842" i="76" s="1"/>
  <c r="AO835" i="76"/>
  <c r="AO834" i="76"/>
  <c r="AO824" i="76"/>
  <c r="AO833" i="76"/>
  <c r="AO829" i="76"/>
  <c r="AO828" i="76"/>
  <c r="AO823" i="76"/>
  <c r="AO819" i="76"/>
  <c r="AO818" i="76"/>
  <c r="AQ818" i="76" s="1"/>
  <c r="AO811" i="76"/>
  <c r="AO810" i="76"/>
  <c r="AO809" i="76"/>
  <c r="AO808" i="76"/>
  <c r="AO807" i="76"/>
  <c r="AO803" i="76"/>
  <c r="AO801" i="76"/>
  <c r="AO790" i="76"/>
  <c r="AQ790" i="76" s="1"/>
  <c r="AO800" i="76"/>
  <c r="AO799" i="76"/>
  <c r="AO795" i="76"/>
  <c r="AO794" i="76"/>
  <c r="AO788" i="76"/>
  <c r="AO779" i="76"/>
  <c r="AO778" i="76"/>
  <c r="AO777" i="76"/>
  <c r="AO776" i="76"/>
  <c r="AO775" i="76"/>
  <c r="AO774" i="76"/>
  <c r="AO773" i="76"/>
  <c r="AO768" i="76"/>
  <c r="AO769" i="76"/>
  <c r="AO764" i="76"/>
  <c r="AO759" i="76"/>
  <c r="AO760" i="76"/>
  <c r="AO758" i="76"/>
  <c r="AO757" i="76"/>
  <c r="AO756" i="76"/>
  <c r="AO749" i="76"/>
  <c r="AO748" i="76"/>
  <c r="AO747" i="76"/>
  <c r="AO743" i="76"/>
  <c r="AO742" i="76"/>
  <c r="AO733" i="76"/>
  <c r="AO732" i="76"/>
  <c r="AO731" i="76"/>
  <c r="AO730" i="76"/>
  <c r="AQ730" i="76" s="1"/>
  <c r="AO723" i="76"/>
  <c r="AO722" i="76"/>
  <c r="AO718" i="76"/>
  <c r="AO713" i="76"/>
  <c r="AO717" i="76"/>
  <c r="AO712" i="76"/>
  <c r="AO708" i="76"/>
  <c r="AO706" i="76"/>
  <c r="AO707" i="76"/>
  <c r="AQ707" i="76" s="1"/>
  <c r="AO702" i="76"/>
  <c r="AQ702" i="76" s="1"/>
  <c r="AO701" i="76"/>
  <c r="AO694" i="76"/>
  <c r="AO693" i="76"/>
  <c r="AO692" i="76"/>
  <c r="AO691" i="76"/>
  <c r="AO690" i="76"/>
  <c r="AO689" i="76"/>
  <c r="AO685" i="76"/>
  <c r="AO681" i="76"/>
  <c r="AO674" i="76"/>
  <c r="AO673" i="76"/>
  <c r="AO672" i="76"/>
  <c r="AO668" i="76"/>
  <c r="AO664" i="76"/>
  <c r="AO663" i="76"/>
  <c r="AO658" i="76"/>
  <c r="AO654" i="76"/>
  <c r="AQ654" i="76" s="1"/>
  <c r="AO647" i="76"/>
  <c r="AO646" i="76"/>
  <c r="AO645" i="76"/>
  <c r="AO641" i="76"/>
  <c r="AO637" i="76"/>
  <c r="AQ637" i="76" s="1"/>
  <c r="AO630" i="76"/>
  <c r="AO628" i="76"/>
  <c r="AO627" i="76"/>
  <c r="AO626" i="76"/>
  <c r="AO622" i="76"/>
  <c r="AO618" i="76"/>
  <c r="AO617" i="76"/>
  <c r="AO613" i="76"/>
  <c r="AO612" i="76"/>
  <c r="AO605" i="76"/>
  <c r="AO604" i="76"/>
  <c r="AO603" i="76"/>
  <c r="AO602" i="76"/>
  <c r="AO601" i="76"/>
  <c r="AO597" i="76"/>
  <c r="AO596" i="76"/>
  <c r="AO592" i="76"/>
  <c r="AO591" i="76"/>
  <c r="AO584" i="76"/>
  <c r="AO583" i="76"/>
  <c r="AO582" i="76"/>
  <c r="AO572" i="76"/>
  <c r="AO578" i="76"/>
  <c r="AO577" i="76"/>
  <c r="AO573" i="76"/>
  <c r="AQ573" i="76" s="1"/>
  <c r="AO569" i="76"/>
  <c r="AO565" i="76"/>
  <c r="AO571" i="76"/>
  <c r="AO561" i="76"/>
  <c r="AO570" i="76"/>
  <c r="AO554" i="76"/>
  <c r="AO553" i="76"/>
  <c r="AO551" i="76"/>
  <c r="AO550" i="76"/>
  <c r="AO549" i="76"/>
  <c r="AO544" i="76"/>
  <c r="AO540" i="76"/>
  <c r="AO539" i="76"/>
  <c r="AO535" i="76"/>
  <c r="AO534" i="76"/>
  <c r="AO533" i="76"/>
  <c r="AO529" i="76"/>
  <c r="AO528" i="76"/>
  <c r="AQ528" i="76" s="1"/>
  <c r="AO527" i="76"/>
  <c r="AO526" i="76"/>
  <c r="AO519" i="76"/>
  <c r="AO518" i="76"/>
  <c r="AO517" i="76"/>
  <c r="AO516" i="76"/>
  <c r="AO515" i="76"/>
  <c r="AO511" i="76"/>
  <c r="AO510" i="76"/>
  <c r="AO506" i="76"/>
  <c r="AO505" i="76"/>
  <c r="AO504" i="76"/>
  <c r="AO503" i="76"/>
  <c r="AO494" i="76"/>
  <c r="AO493" i="76"/>
  <c r="AO492" i="76"/>
  <c r="AO491" i="76"/>
  <c r="AO490" i="76"/>
  <c r="AO485" i="76"/>
  <c r="AO484" i="76"/>
  <c r="AQ484" i="76" s="1"/>
  <c r="AO483" i="76"/>
  <c r="AO482" i="76"/>
  <c r="AO481" i="76"/>
  <c r="AO480" i="76"/>
  <c r="AO486" i="76"/>
  <c r="AQ486" i="76" s="1"/>
  <c r="AO473" i="76"/>
  <c r="AO472" i="76"/>
  <c r="AO471" i="76"/>
  <c r="AO470" i="76"/>
  <c r="AO469" i="76"/>
  <c r="AO468" i="76"/>
  <c r="AO467" i="76"/>
  <c r="AO466" i="76"/>
  <c r="AO465" i="76"/>
  <c r="AO460" i="76"/>
  <c r="AO461" i="76"/>
  <c r="AO455" i="76"/>
  <c r="AO459" i="76"/>
  <c r="AO451" i="76"/>
  <c r="AO447" i="76"/>
  <c r="AO445" i="76"/>
  <c r="AO444" i="76"/>
  <c r="AO443" i="76"/>
  <c r="AO436" i="76"/>
  <c r="AO435" i="76"/>
  <c r="AO425" i="76"/>
  <c r="AO434" i="76"/>
  <c r="AO430" i="76"/>
  <c r="AO426" i="76"/>
  <c r="AO423" i="76"/>
  <c r="AO422" i="76"/>
  <c r="AO424" i="76"/>
  <c r="AO417" i="76"/>
  <c r="AO409" i="76"/>
  <c r="AO408" i="76"/>
  <c r="AO404" i="76"/>
  <c r="AO402" i="76"/>
  <c r="AO400" i="76"/>
  <c r="AO401" i="76"/>
  <c r="AO399" i="76"/>
  <c r="AO398" i="76"/>
  <c r="AO394" i="76"/>
  <c r="AO389" i="76"/>
  <c r="AO390" i="76"/>
  <c r="AO418" i="76"/>
  <c r="AO388" i="76"/>
  <c r="AO387" i="76"/>
  <c r="AQ387" i="76" s="1"/>
  <c r="AO386" i="76"/>
  <c r="AQ386" i="76" s="1"/>
  <c r="AO379" i="76"/>
  <c r="AO378" i="76"/>
  <c r="AO374" i="76"/>
  <c r="AO370" i="76"/>
  <c r="AO363" i="76"/>
  <c r="AO362" i="76"/>
  <c r="AO361" i="76"/>
  <c r="AO357" i="76"/>
  <c r="AO356" i="76"/>
  <c r="AO352" i="76"/>
  <c r="AO348" i="76"/>
  <c r="AO347" i="76"/>
  <c r="AO346" i="76"/>
  <c r="AO342" i="76"/>
  <c r="AO341" i="76"/>
  <c r="AO340" i="76"/>
  <c r="AQ340" i="76" s="1"/>
  <c r="AO339" i="76"/>
  <c r="AQ339" i="76" s="1"/>
  <c r="AO338" i="76"/>
  <c r="AO337" i="76"/>
  <c r="AQ337" i="76" s="1"/>
  <c r="AO330" i="76"/>
  <c r="AO329" i="76"/>
  <c r="AO328" i="76"/>
  <c r="AO327" i="76"/>
  <c r="AO326" i="76"/>
  <c r="AO317" i="76"/>
  <c r="AO321" i="76"/>
  <c r="AO322" i="76"/>
  <c r="AO313" i="76"/>
  <c r="AO312" i="76"/>
  <c r="AQ312" i="76" s="1"/>
  <c r="AO311" i="76"/>
  <c r="AO310" i="76"/>
  <c r="AQ310" i="76" s="1"/>
  <c r="AO309" i="76"/>
  <c r="AO308" i="76"/>
  <c r="AQ308" i="76" s="1"/>
  <c r="AO301" i="76"/>
  <c r="AO300" i="76"/>
  <c r="AO299" i="76"/>
  <c r="AO298" i="76"/>
  <c r="AO293" i="76"/>
  <c r="AO288" i="76"/>
  <c r="AO287" i="76"/>
  <c r="AQ287" i="76" s="1"/>
  <c r="AO292" i="76"/>
  <c r="AO285" i="76"/>
  <c r="AO284" i="76"/>
  <c r="AO283" i="76"/>
  <c r="AO276" i="76"/>
  <c r="AO275" i="76"/>
  <c r="AO274" i="76"/>
  <c r="AO273" i="76"/>
  <c r="AO269" i="76"/>
  <c r="AO268" i="76"/>
  <c r="AO267" i="76"/>
  <c r="AO259" i="76"/>
  <c r="AO263" i="76"/>
  <c r="AO258" i="76"/>
  <c r="AQ258" i="76" s="1"/>
  <c r="AO257" i="76"/>
  <c r="AO256" i="76"/>
  <c r="AO249" i="76"/>
  <c r="AO248" i="76"/>
  <c r="AO247" i="76"/>
  <c r="AO246" i="76"/>
  <c r="AO245" i="76"/>
  <c r="AO244" i="76"/>
  <c r="AO240" i="76"/>
  <c r="AO239" i="76"/>
  <c r="AO238" i="76"/>
  <c r="AO237" i="76"/>
  <c r="AO236" i="76"/>
  <c r="AO235" i="76"/>
  <c r="AO231" i="76"/>
  <c r="AO230" i="76"/>
  <c r="AO229" i="76"/>
  <c r="AO228" i="76"/>
  <c r="AO224" i="76"/>
  <c r="AO223" i="76"/>
  <c r="AO215" i="76"/>
  <c r="AQ215" i="76" s="1"/>
  <c r="AO217" i="76"/>
  <c r="AQ217" i="76" s="1"/>
  <c r="AO219" i="76"/>
  <c r="AO216" i="76"/>
  <c r="AO218" i="76"/>
  <c r="AQ218" i="76" s="1"/>
  <c r="AO214" i="76"/>
  <c r="AO213" i="76"/>
  <c r="AO212" i="76"/>
  <c r="AO211" i="76"/>
  <c r="AO210" i="76"/>
  <c r="AO209" i="76"/>
  <c r="AQ209" i="76" s="1"/>
  <c r="AO208" i="76"/>
  <c r="AQ208" i="76" s="1"/>
  <c r="AO207" i="76"/>
  <c r="AO206" i="76"/>
  <c r="AO205" i="76"/>
  <c r="AQ205" i="76" s="1"/>
  <c r="AO204" i="76"/>
  <c r="AQ204" i="76" s="1"/>
  <c r="AO203" i="76"/>
  <c r="AQ203" i="76" s="1"/>
  <c r="AO193" i="76"/>
  <c r="AO192" i="76"/>
  <c r="AO191" i="76"/>
  <c r="AO187" i="76"/>
  <c r="AO186" i="76"/>
  <c r="AO185" i="76"/>
  <c r="AO184" i="76"/>
  <c r="AO183" i="76"/>
  <c r="AO182" i="76"/>
  <c r="AO181" i="76"/>
  <c r="AO177" i="76"/>
  <c r="AO176" i="76"/>
  <c r="AO194" i="76"/>
  <c r="AO175" i="76"/>
  <c r="AO174" i="76"/>
  <c r="AO170" i="76"/>
  <c r="AO169" i="76"/>
  <c r="AO168" i="76"/>
  <c r="AO161" i="76"/>
  <c r="AO160" i="76"/>
  <c r="AO159" i="76"/>
  <c r="AO158" i="76"/>
  <c r="AO154" i="76"/>
  <c r="AO150" i="76"/>
  <c r="AO146" i="76"/>
  <c r="AO139" i="76"/>
  <c r="AO138" i="76"/>
  <c r="AO137" i="76"/>
  <c r="AO136" i="76"/>
  <c r="AO132" i="76"/>
  <c r="AO131" i="76"/>
  <c r="AO130" i="76"/>
  <c r="AO126" i="76"/>
  <c r="AO125" i="76"/>
  <c r="AO121" i="76"/>
  <c r="AO120" i="76"/>
  <c r="AO116" i="76"/>
  <c r="AO109" i="76"/>
  <c r="AO108" i="76"/>
  <c r="AO107" i="76"/>
  <c r="AO103" i="76"/>
  <c r="AO102" i="76"/>
  <c r="AQ102" i="76" s="1"/>
  <c r="AO95" i="76"/>
  <c r="AO94" i="76"/>
  <c r="AO93" i="76"/>
  <c r="AO89" i="76"/>
  <c r="AO88" i="76"/>
  <c r="AQ88" i="76" s="1"/>
  <c r="AO81" i="76"/>
  <c r="AO80" i="76"/>
  <c r="AO79" i="76"/>
  <c r="AO78" i="76"/>
  <c r="AO74" i="76"/>
  <c r="AO73" i="76"/>
  <c r="AO72" i="76"/>
  <c r="AO68" i="76"/>
  <c r="AO64" i="76"/>
  <c r="AO63" i="76"/>
  <c r="AO62" i="76"/>
  <c r="AO58" i="76"/>
  <c r="AO57" i="76"/>
  <c r="AO56" i="76"/>
  <c r="AO49" i="76"/>
  <c r="AO48" i="76"/>
  <c r="AO41" i="76"/>
  <c r="AO47" i="76"/>
  <c r="AO46" i="76"/>
  <c r="AO45" i="76"/>
  <c r="AO37" i="76"/>
  <c r="AO30" i="76"/>
  <c r="AO29" i="76"/>
  <c r="AO28" i="76"/>
  <c r="AO27" i="76"/>
  <c r="AO26" i="76"/>
  <c r="AO25" i="76"/>
  <c r="AO19" i="76"/>
  <c r="AO24" i="76"/>
  <c r="AO23" i="76"/>
  <c r="AO15" i="76"/>
  <c r="AO14" i="76"/>
  <c r="AO9" i="76"/>
  <c r="AQ9" i="76" s="1"/>
  <c r="AO8" i="76"/>
  <c r="AO7" i="76"/>
  <c r="AQ7" i="76" s="1"/>
  <c r="AO10" i="76"/>
  <c r="AQ10" i="76" s="1"/>
  <c r="AO6" i="76"/>
  <c r="AO5" i="76"/>
  <c r="AO4" i="76"/>
  <c r="AQ4" i="76" s="1"/>
  <c r="X1024" i="76" l="1"/>
  <c r="W1024" i="76"/>
  <c r="P188" i="76"/>
  <c r="Q188" i="76"/>
  <c r="R188" i="76"/>
  <c r="M188" i="76"/>
  <c r="P104" i="76"/>
  <c r="Q104" i="76"/>
  <c r="R104" i="76"/>
  <c r="M104" i="76"/>
  <c r="AX1032" i="76"/>
  <c r="AX1031" i="76"/>
  <c r="AX1030" i="76"/>
  <c r="AX1029" i="76"/>
  <c r="AX1028" i="76"/>
  <c r="AX1027" i="76"/>
  <c r="AX1026" i="76"/>
  <c r="AX1025" i="76"/>
  <c r="AX1024" i="76"/>
  <c r="AX1023" i="76"/>
  <c r="AX1022" i="76"/>
  <c r="AX1021" i="76"/>
  <c r="AX1020" i="76"/>
  <c r="AX1019" i="76"/>
  <c r="AX1018" i="76"/>
  <c r="AX1017" i="76"/>
  <c r="AX1016" i="76"/>
  <c r="AX1015" i="76"/>
  <c r="AX1014" i="76"/>
  <c r="AX1013" i="76"/>
  <c r="AX1012" i="76"/>
  <c r="AX1008" i="76"/>
  <c r="AX1004" i="76"/>
  <c r="AX1003" i="76"/>
  <c r="AX1002" i="76"/>
  <c r="AX1001" i="76"/>
  <c r="AX1000" i="76"/>
  <c r="AX999" i="76"/>
  <c r="AX998" i="76"/>
  <c r="AX997" i="76"/>
  <c r="AX996" i="76"/>
  <c r="AX995" i="76"/>
  <c r="AX994" i="76"/>
  <c r="AX993" i="76"/>
  <c r="AX992" i="76"/>
  <c r="AX991" i="76"/>
  <c r="AX990" i="76"/>
  <c r="AX989" i="76"/>
  <c r="AX988" i="76"/>
  <c r="AX987" i="76"/>
  <c r="AX986" i="76"/>
  <c r="AX985" i="76"/>
  <c r="AX984" i="76"/>
  <c r="AX983" i="76"/>
  <c r="AX982" i="76"/>
  <c r="AX981" i="76"/>
  <c r="AX980" i="76"/>
  <c r="AX979" i="76"/>
  <c r="AX978" i="76"/>
  <c r="AX977" i="76"/>
  <c r="AX976" i="76"/>
  <c r="AX975" i="76"/>
  <c r="AX974" i="76"/>
  <c r="AX973" i="76"/>
  <c r="AX972" i="76"/>
  <c r="AX971" i="76"/>
  <c r="AX970" i="76"/>
  <c r="AX969" i="76"/>
  <c r="AX968" i="76"/>
  <c r="AX967" i="76"/>
  <c r="AX966" i="76"/>
  <c r="AX965" i="76"/>
  <c r="AX964" i="76"/>
  <c r="AX963" i="76"/>
  <c r="AX962" i="76"/>
  <c r="AX961" i="76"/>
  <c r="AX960" i="76"/>
  <c r="AX959" i="76"/>
  <c r="AX958" i="76"/>
  <c r="AX951" i="76"/>
  <c r="AX949" i="76"/>
  <c r="AX948" i="76"/>
  <c r="AX947" i="76"/>
  <c r="AX946" i="76"/>
  <c r="AX945" i="76"/>
  <c r="AX941" i="76"/>
  <c r="AX940" i="76"/>
  <c r="AX939" i="76"/>
  <c r="AX935" i="76"/>
  <c r="AX931" i="76"/>
  <c r="AX950" i="76"/>
  <c r="AX922" i="76"/>
  <c r="AX921" i="76"/>
  <c r="AX920" i="76"/>
  <c r="AX916" i="76"/>
  <c r="AX915" i="76"/>
  <c r="AX911" i="76"/>
  <c r="AX907" i="76"/>
  <c r="AX903" i="76"/>
  <c r="AX902" i="76"/>
  <c r="AX901" i="76"/>
  <c r="AX900" i="76"/>
  <c r="AX899" i="76"/>
  <c r="AX898" i="76"/>
  <c r="AX897" i="76"/>
  <c r="AX896" i="76"/>
  <c r="AX895" i="76"/>
  <c r="AX894" i="76"/>
  <c r="AX887" i="76"/>
  <c r="AX886" i="76"/>
  <c r="AX885" i="76"/>
  <c r="AX884" i="76"/>
  <c r="AX883" i="76"/>
  <c r="AX879" i="76"/>
  <c r="AX875" i="76"/>
  <c r="AX874" i="76"/>
  <c r="AX867" i="76"/>
  <c r="AX866" i="76"/>
  <c r="AX859" i="76"/>
  <c r="AX865" i="76"/>
  <c r="AX864" i="76"/>
  <c r="AX860" i="76"/>
  <c r="AX858" i="76"/>
  <c r="AX857" i="76"/>
  <c r="AX856" i="76"/>
  <c r="AX855" i="76"/>
  <c r="AX854" i="76"/>
  <c r="AX853" i="76"/>
  <c r="AX852" i="76"/>
  <c r="AX848" i="76"/>
  <c r="AX847" i="76"/>
  <c r="AX843" i="76"/>
  <c r="AX842" i="76"/>
  <c r="AX835" i="76"/>
  <c r="AX834" i="76"/>
  <c r="AX824" i="76"/>
  <c r="AX833" i="76"/>
  <c r="AX829" i="76"/>
  <c r="AX828" i="76"/>
  <c r="AX823" i="76"/>
  <c r="AX819" i="76"/>
  <c r="AX818" i="76"/>
  <c r="AX811" i="76"/>
  <c r="AX810" i="76"/>
  <c r="AX809" i="76"/>
  <c r="AX808" i="76"/>
  <c r="AX807" i="76"/>
  <c r="AX803" i="76"/>
  <c r="AX801" i="76"/>
  <c r="AX790" i="76"/>
  <c r="AX800" i="76"/>
  <c r="AX799" i="76"/>
  <c r="AX795" i="76"/>
  <c r="AX794" i="76"/>
  <c r="AX788" i="76"/>
  <c r="AX779" i="76"/>
  <c r="AX778" i="76"/>
  <c r="AX777" i="76"/>
  <c r="AX776" i="76"/>
  <c r="AX775" i="76"/>
  <c r="AX774" i="76"/>
  <c r="AX773" i="76"/>
  <c r="AX768" i="76"/>
  <c r="AX769" i="76"/>
  <c r="AX764" i="76"/>
  <c r="AX759" i="76"/>
  <c r="AX760" i="76"/>
  <c r="AX758" i="76"/>
  <c r="AX757" i="76"/>
  <c r="AX756" i="76"/>
  <c r="AX749" i="76"/>
  <c r="AX748" i="76"/>
  <c r="AX747" i="76"/>
  <c r="AX743" i="76"/>
  <c r="AX742" i="76"/>
  <c r="AX733" i="76"/>
  <c r="AX732" i="76"/>
  <c r="AX731" i="76"/>
  <c r="AX730" i="76"/>
  <c r="AX723" i="76"/>
  <c r="AX722" i="76"/>
  <c r="AX718" i="76"/>
  <c r="AX713" i="76"/>
  <c r="AX717" i="76"/>
  <c r="AX712" i="76"/>
  <c r="AX708" i="76"/>
  <c r="AX706" i="76"/>
  <c r="AX707" i="76"/>
  <c r="AX702" i="76"/>
  <c r="AX701" i="76"/>
  <c r="AX694" i="76"/>
  <c r="AX693" i="76"/>
  <c r="AX692" i="76"/>
  <c r="AX691" i="76"/>
  <c r="AX690" i="76"/>
  <c r="AX689" i="76"/>
  <c r="AX685" i="76"/>
  <c r="AX681" i="76"/>
  <c r="AX674" i="76"/>
  <c r="AX673" i="76"/>
  <c r="AX672" i="76"/>
  <c r="AX668" i="76"/>
  <c r="AX664" i="76"/>
  <c r="AX663" i="76"/>
  <c r="AX658" i="76"/>
  <c r="AX654" i="76"/>
  <c r="AX647" i="76"/>
  <c r="AX646" i="76"/>
  <c r="AX645" i="76"/>
  <c r="AX641" i="76"/>
  <c r="AX637" i="76"/>
  <c r="AX630" i="76"/>
  <c r="AX628" i="76"/>
  <c r="AX627" i="76"/>
  <c r="AX626" i="76"/>
  <c r="AX622" i="76"/>
  <c r="AX618" i="76"/>
  <c r="AX617" i="76"/>
  <c r="AX613" i="76"/>
  <c r="AX612" i="76"/>
  <c r="AX605" i="76"/>
  <c r="AX604" i="76"/>
  <c r="AX603" i="76"/>
  <c r="AX602" i="76"/>
  <c r="AX601" i="76"/>
  <c r="AX597" i="76"/>
  <c r="AX596" i="76"/>
  <c r="AX592" i="76"/>
  <c r="AX591" i="76"/>
  <c r="AX584" i="76"/>
  <c r="AX583" i="76"/>
  <c r="AX582" i="76"/>
  <c r="AX572" i="76"/>
  <c r="AX578" i="76"/>
  <c r="AX577" i="76"/>
  <c r="AX573" i="76"/>
  <c r="AX569" i="76"/>
  <c r="AX565" i="76"/>
  <c r="AX571" i="76"/>
  <c r="AX561" i="76"/>
  <c r="AX570" i="76"/>
  <c r="AX554" i="76"/>
  <c r="AX553" i="76"/>
  <c r="AX551" i="76"/>
  <c r="AX550" i="76"/>
  <c r="AX549" i="76"/>
  <c r="AX544" i="76"/>
  <c r="AX540" i="76"/>
  <c r="AX539" i="76"/>
  <c r="AX535" i="76"/>
  <c r="AX534" i="76"/>
  <c r="AX533" i="76"/>
  <c r="AX529" i="76"/>
  <c r="AX528" i="76"/>
  <c r="AX527" i="76"/>
  <c r="AX526" i="76"/>
  <c r="AX519" i="76"/>
  <c r="AX518" i="76"/>
  <c r="AX517" i="76"/>
  <c r="AX516" i="76"/>
  <c r="AX515" i="76"/>
  <c r="AX511" i="76"/>
  <c r="AX510" i="76"/>
  <c r="AX506" i="76"/>
  <c r="AX505" i="76"/>
  <c r="AX504" i="76"/>
  <c r="AX503" i="76"/>
  <c r="AX494" i="76"/>
  <c r="AX493" i="76"/>
  <c r="AX492" i="76"/>
  <c r="AX491" i="76"/>
  <c r="AX490" i="76"/>
  <c r="AX485" i="76"/>
  <c r="AX484" i="76"/>
  <c r="AX483" i="76"/>
  <c r="AX482" i="76"/>
  <c r="AX481" i="76"/>
  <c r="AX480" i="76"/>
  <c r="AX486" i="76"/>
  <c r="AX473" i="76"/>
  <c r="AX472" i="76"/>
  <c r="AX471" i="76"/>
  <c r="AX470" i="76"/>
  <c r="AX469" i="76"/>
  <c r="AX468" i="76"/>
  <c r="AX467" i="76"/>
  <c r="AX466" i="76"/>
  <c r="AX465" i="76"/>
  <c r="AX460" i="76"/>
  <c r="AX461" i="76"/>
  <c r="AX455" i="76"/>
  <c r="AX459" i="76"/>
  <c r="AX451" i="76"/>
  <c r="AX447" i="76"/>
  <c r="AX445" i="76"/>
  <c r="AX444" i="76"/>
  <c r="AX443" i="76"/>
  <c r="AX436" i="76"/>
  <c r="AX435" i="76"/>
  <c r="AX425" i="76"/>
  <c r="AX434" i="76"/>
  <c r="AX430" i="76"/>
  <c r="AX426" i="76"/>
  <c r="AX423" i="76"/>
  <c r="AX422" i="76"/>
  <c r="AX424" i="76"/>
  <c r="AX417" i="76"/>
  <c r="AX409" i="76"/>
  <c r="AX408" i="76"/>
  <c r="AX404" i="76"/>
  <c r="AX402" i="76"/>
  <c r="AX400" i="76"/>
  <c r="AX401" i="76"/>
  <c r="AX399" i="76"/>
  <c r="AX398" i="76"/>
  <c r="AX394" i="76"/>
  <c r="AX389" i="76"/>
  <c r="AX390" i="76"/>
  <c r="AX418" i="76"/>
  <c r="AX388" i="76"/>
  <c r="AX387" i="76"/>
  <c r="AX386" i="76"/>
  <c r="AX379" i="76"/>
  <c r="AX378" i="76"/>
  <c r="AX374" i="76"/>
  <c r="AX370" i="76"/>
  <c r="AX363" i="76"/>
  <c r="AX362" i="76"/>
  <c r="AX361" i="76"/>
  <c r="AX357" i="76"/>
  <c r="AX356" i="76"/>
  <c r="AX352" i="76"/>
  <c r="AX348" i="76"/>
  <c r="AX347" i="76"/>
  <c r="AX346" i="76"/>
  <c r="AX342" i="76"/>
  <c r="AX341" i="76"/>
  <c r="AX340" i="76"/>
  <c r="AX339" i="76"/>
  <c r="AX338" i="76"/>
  <c r="AX337" i="76"/>
  <c r="AX330" i="76"/>
  <c r="AX329" i="76"/>
  <c r="AX328" i="76"/>
  <c r="AX327" i="76"/>
  <c r="AX326" i="76"/>
  <c r="AX317" i="76"/>
  <c r="AX321" i="76"/>
  <c r="AX322" i="76"/>
  <c r="AX313" i="76"/>
  <c r="AX312" i="76"/>
  <c r="AX311" i="76"/>
  <c r="AX310" i="76"/>
  <c r="AX309" i="76"/>
  <c r="AX308" i="76"/>
  <c r="AX301" i="76"/>
  <c r="AX300" i="76"/>
  <c r="AX299" i="76"/>
  <c r="AX298" i="76"/>
  <c r="AX293" i="76"/>
  <c r="AX288" i="76"/>
  <c r="AX287" i="76"/>
  <c r="AX292" i="76"/>
  <c r="AX285" i="76"/>
  <c r="AX284" i="76"/>
  <c r="AX283" i="76"/>
  <c r="AX276" i="76"/>
  <c r="AX275" i="76"/>
  <c r="AX274" i="76"/>
  <c r="AX273" i="76"/>
  <c r="AX269" i="76"/>
  <c r="AX268" i="76"/>
  <c r="AX267" i="76"/>
  <c r="AX259" i="76"/>
  <c r="AX263" i="76"/>
  <c r="AX258" i="76"/>
  <c r="AX257" i="76"/>
  <c r="AX256" i="76"/>
  <c r="AX249" i="76"/>
  <c r="AX248" i="76"/>
  <c r="AX247" i="76"/>
  <c r="AX246" i="76"/>
  <c r="AX245" i="76"/>
  <c r="AX244" i="76"/>
  <c r="AX240" i="76"/>
  <c r="AX239" i="76"/>
  <c r="AX238" i="76"/>
  <c r="AX237" i="76"/>
  <c r="AX236" i="76"/>
  <c r="AX235" i="76"/>
  <c r="AX231" i="76"/>
  <c r="AX230" i="76"/>
  <c r="AX229" i="76"/>
  <c r="AX228" i="76"/>
  <c r="AX224" i="76"/>
  <c r="AX223" i="76"/>
  <c r="AX215" i="76"/>
  <c r="AX217" i="76"/>
  <c r="AX219" i="76"/>
  <c r="AX216" i="76"/>
  <c r="AX218" i="76"/>
  <c r="AX214" i="76"/>
  <c r="AX213" i="76"/>
  <c r="AX212" i="76"/>
  <c r="AX211" i="76"/>
  <c r="AX210" i="76"/>
  <c r="AX209" i="76"/>
  <c r="AX208" i="76"/>
  <c r="AX207" i="76"/>
  <c r="AX206" i="76"/>
  <c r="AX205" i="76"/>
  <c r="AX204" i="76"/>
  <c r="AX203" i="76"/>
  <c r="AX193" i="76"/>
  <c r="AX192" i="76"/>
  <c r="AX191" i="76"/>
  <c r="AX187" i="76"/>
  <c r="AX186" i="76"/>
  <c r="AX185" i="76"/>
  <c r="AX182" i="76"/>
  <c r="AX181" i="76"/>
  <c r="AX184" i="76"/>
  <c r="AX183" i="76"/>
  <c r="AX177" i="76"/>
  <c r="AX176" i="76"/>
  <c r="AX194" i="76"/>
  <c r="AX175" i="76"/>
  <c r="AX174" i="76"/>
  <c r="AX170" i="76"/>
  <c r="AX169" i="76"/>
  <c r="AX168" i="76"/>
  <c r="AX161" i="76"/>
  <c r="AX160" i="76"/>
  <c r="AX159" i="76"/>
  <c r="AX158" i="76"/>
  <c r="AX154" i="76"/>
  <c r="AX150" i="76"/>
  <c r="AX146" i="76"/>
  <c r="AX139" i="76"/>
  <c r="AX138" i="76"/>
  <c r="AX137" i="76"/>
  <c r="AX136" i="76"/>
  <c r="AX132" i="76"/>
  <c r="AX131" i="76"/>
  <c r="AX130" i="76"/>
  <c r="AX126" i="76"/>
  <c r="AX125" i="76"/>
  <c r="AX121" i="76"/>
  <c r="AX120" i="76"/>
  <c r="AX116" i="76"/>
  <c r="AX109" i="76"/>
  <c r="AX108" i="76"/>
  <c r="AX107" i="76"/>
  <c r="AX102" i="76"/>
  <c r="AX103" i="76"/>
  <c r="AX95" i="76"/>
  <c r="AX94" i="76"/>
  <c r="AX93" i="76"/>
  <c r="AX89" i="76"/>
  <c r="AX88" i="76"/>
  <c r="AX81" i="76"/>
  <c r="AX80" i="76"/>
  <c r="AX79" i="76"/>
  <c r="AX78" i="76"/>
  <c r="AX74" i="76"/>
  <c r="AX73" i="76"/>
  <c r="AX72" i="76"/>
  <c r="AX68" i="76"/>
  <c r="AX64" i="76"/>
  <c r="AX63" i="76"/>
  <c r="AX62" i="76"/>
  <c r="AX58" i="76"/>
  <c r="AX57" i="76"/>
  <c r="AX56" i="76"/>
  <c r="AX49" i="76"/>
  <c r="AX48" i="76"/>
  <c r="AX41" i="76"/>
  <c r="AX47" i="76"/>
  <c r="AX46" i="76"/>
  <c r="AX45" i="76"/>
  <c r="AX37" i="76"/>
  <c r="AX30" i="76"/>
  <c r="AX29" i="76"/>
  <c r="AX28" i="76"/>
  <c r="AX27" i="76"/>
  <c r="AX26" i="76"/>
  <c r="AX25" i="76"/>
  <c r="AX19" i="76"/>
  <c r="AX24" i="76"/>
  <c r="AX23" i="76"/>
  <c r="AX15" i="76"/>
  <c r="AX14" i="76"/>
  <c r="AX9" i="76"/>
  <c r="AX8" i="76"/>
  <c r="AX7" i="76"/>
  <c r="AX10" i="76"/>
  <c r="AX6" i="76"/>
  <c r="AX5" i="76"/>
  <c r="AX4" i="76"/>
  <c r="P405" i="76"/>
  <c r="Q405" i="76"/>
  <c r="R405" i="76"/>
  <c r="M405" i="76"/>
  <c r="M289" i="76"/>
  <c r="P241" i="76"/>
  <c r="Q241" i="76"/>
  <c r="R241" i="76"/>
  <c r="P250" i="76"/>
  <c r="Q250" i="76"/>
  <c r="R250" i="76"/>
  <c r="M241" i="76"/>
  <c r="P225" i="76"/>
  <c r="Q225" i="76"/>
  <c r="R225" i="76"/>
  <c r="P220" i="76"/>
  <c r="Q220" i="76"/>
  <c r="R220" i="76"/>
  <c r="R541" i="76"/>
  <c r="Q541" i="76"/>
  <c r="P541" i="76"/>
  <c r="M541" i="76"/>
  <c r="P171" i="76"/>
  <c r="Q171" i="76"/>
  <c r="R171" i="76"/>
  <c r="M171" i="76"/>
  <c r="P178" i="76"/>
  <c r="Q178" i="76"/>
  <c r="R178" i="76"/>
  <c r="M178" i="76"/>
  <c r="R880" i="76"/>
  <c r="Q880" i="76"/>
  <c r="P880" i="76"/>
  <c r="M880" i="76"/>
  <c r="P512" i="76" l="1"/>
  <c r="Q512" i="76"/>
  <c r="R512" i="76"/>
  <c r="P520" i="76"/>
  <c r="Q520" i="76"/>
  <c r="R520" i="76"/>
  <c r="M520" i="76"/>
  <c r="AW1032" i="76"/>
  <c r="AW1031" i="76"/>
  <c r="AW1030" i="76"/>
  <c r="AW1029" i="76"/>
  <c r="AW1028" i="76"/>
  <c r="AW1027" i="76"/>
  <c r="AW1026" i="76"/>
  <c r="AW1025" i="76"/>
  <c r="AW1024" i="76"/>
  <c r="AW1023" i="76"/>
  <c r="AW1022" i="76"/>
  <c r="AW1021" i="76"/>
  <c r="AW1020" i="76"/>
  <c r="AW1019" i="76"/>
  <c r="AW1018" i="76"/>
  <c r="AW1017" i="76"/>
  <c r="AW1016" i="76"/>
  <c r="AW1015" i="76"/>
  <c r="AW1014" i="76"/>
  <c r="AW1013" i="76"/>
  <c r="AW1012" i="76"/>
  <c r="AW1008" i="76"/>
  <c r="AW1004" i="76"/>
  <c r="AW1003" i="76"/>
  <c r="AW1002" i="76"/>
  <c r="AW1001" i="76"/>
  <c r="AW1000" i="76"/>
  <c r="AW999" i="76"/>
  <c r="AW998" i="76"/>
  <c r="AW997" i="76"/>
  <c r="AW996" i="76"/>
  <c r="AW995" i="76"/>
  <c r="AW994" i="76"/>
  <c r="AW993" i="76"/>
  <c r="AW992" i="76"/>
  <c r="AW991" i="76"/>
  <c r="AW990" i="76"/>
  <c r="AW989" i="76"/>
  <c r="AW988" i="76"/>
  <c r="AW987" i="76"/>
  <c r="AW986" i="76"/>
  <c r="AW985" i="76"/>
  <c r="AW984" i="76"/>
  <c r="AW983" i="76"/>
  <c r="AW982" i="76"/>
  <c r="AW981" i="76"/>
  <c r="AW980" i="76"/>
  <c r="AW979" i="76"/>
  <c r="AW978" i="76"/>
  <c r="AW977" i="76"/>
  <c r="AW976" i="76"/>
  <c r="AW975" i="76"/>
  <c r="AW974" i="76"/>
  <c r="AW973" i="76"/>
  <c r="AW972" i="76"/>
  <c r="AW971" i="76"/>
  <c r="AW970" i="76"/>
  <c r="AW969" i="76"/>
  <c r="AW968" i="76"/>
  <c r="AW967" i="76"/>
  <c r="AW966" i="76"/>
  <c r="AW965" i="76"/>
  <c r="AW964" i="76"/>
  <c r="AW963" i="76"/>
  <c r="AW962" i="76"/>
  <c r="AW961" i="76"/>
  <c r="AW960" i="76"/>
  <c r="AW959" i="76"/>
  <c r="AW958" i="76"/>
  <c r="AW951" i="76"/>
  <c r="AW949" i="76"/>
  <c r="AW948" i="76"/>
  <c r="AW947" i="76"/>
  <c r="AW946" i="76"/>
  <c r="AW945" i="76"/>
  <c r="AW941" i="76"/>
  <c r="AW940" i="76"/>
  <c r="AW939" i="76"/>
  <c r="AW935" i="76"/>
  <c r="AW931" i="76"/>
  <c r="AW950" i="76"/>
  <c r="AW922" i="76"/>
  <c r="AW921" i="76"/>
  <c r="AW920" i="76"/>
  <c r="AW916" i="76"/>
  <c r="AW879" i="76"/>
  <c r="AW915" i="76"/>
  <c r="AW911" i="76"/>
  <c r="AW907" i="76"/>
  <c r="AW903" i="76"/>
  <c r="AW902" i="76"/>
  <c r="AW901" i="76"/>
  <c r="AW900" i="76"/>
  <c r="AW899" i="76"/>
  <c r="AW898" i="76"/>
  <c r="AW897" i="76"/>
  <c r="AW896" i="76"/>
  <c r="AW895" i="76"/>
  <c r="AW894" i="76"/>
  <c r="AW887" i="76"/>
  <c r="AW886" i="76"/>
  <c r="AW885" i="76"/>
  <c r="AW884" i="76"/>
  <c r="AW883" i="76"/>
  <c r="AW875" i="76"/>
  <c r="AW874" i="76"/>
  <c r="AW867" i="76"/>
  <c r="AW866" i="76"/>
  <c r="AW859" i="76"/>
  <c r="AW865" i="76"/>
  <c r="AW864" i="76"/>
  <c r="AW860" i="76"/>
  <c r="AW858" i="76"/>
  <c r="AW857" i="76"/>
  <c r="AW856" i="76"/>
  <c r="AW855" i="76"/>
  <c r="AW854" i="76"/>
  <c r="AW853" i="76"/>
  <c r="AW852" i="76"/>
  <c r="AW848" i="76"/>
  <c r="AW847" i="76"/>
  <c r="AW843" i="76"/>
  <c r="AW842" i="76"/>
  <c r="AW835" i="76"/>
  <c r="AW834" i="76"/>
  <c r="AW824" i="76"/>
  <c r="AW833" i="76"/>
  <c r="AW829" i="76"/>
  <c r="AW828" i="76"/>
  <c r="AW823" i="76"/>
  <c r="AW819" i="76"/>
  <c r="AW818" i="76"/>
  <c r="AW811" i="76"/>
  <c r="AW810" i="76"/>
  <c r="AW809" i="76"/>
  <c r="AW808" i="76"/>
  <c r="AW807" i="76"/>
  <c r="AW803" i="76"/>
  <c r="AW801" i="76"/>
  <c r="AW790" i="76"/>
  <c r="AW800" i="76"/>
  <c r="AW799" i="76"/>
  <c r="AW795" i="76"/>
  <c r="AW794" i="76"/>
  <c r="AW788" i="76"/>
  <c r="AW779" i="76"/>
  <c r="AW778" i="76"/>
  <c r="AW777" i="76"/>
  <c r="AW776" i="76"/>
  <c r="AW775" i="76"/>
  <c r="AW774" i="76"/>
  <c r="AW773" i="76"/>
  <c r="AW768" i="76"/>
  <c r="AW769" i="76"/>
  <c r="AW764" i="76"/>
  <c r="AW759" i="76"/>
  <c r="AW760" i="76"/>
  <c r="AW758" i="76"/>
  <c r="AW757" i="76"/>
  <c r="AW756" i="76"/>
  <c r="AW749" i="76"/>
  <c r="AW748" i="76"/>
  <c r="AW747" i="76"/>
  <c r="AW743" i="76"/>
  <c r="AW742" i="76"/>
  <c r="AW733" i="76"/>
  <c r="AW732" i="76"/>
  <c r="AW731" i="76"/>
  <c r="AW730" i="76"/>
  <c r="AW723" i="76"/>
  <c r="AW722" i="76"/>
  <c r="AW718" i="76"/>
  <c r="AW713" i="76"/>
  <c r="AW717" i="76"/>
  <c r="AW712" i="76"/>
  <c r="AW708" i="76"/>
  <c r="AW706" i="76"/>
  <c r="AW707" i="76"/>
  <c r="AW702" i="76"/>
  <c r="AW701" i="76"/>
  <c r="AW694" i="76"/>
  <c r="AW693" i="76"/>
  <c r="AW692" i="76"/>
  <c r="AW691" i="76"/>
  <c r="AW690" i="76"/>
  <c r="AW689" i="76"/>
  <c r="AW685" i="76"/>
  <c r="AW681" i="76"/>
  <c r="AW674" i="76"/>
  <c r="AW673" i="76"/>
  <c r="AW672" i="76"/>
  <c r="AW668" i="76"/>
  <c r="AW664" i="76"/>
  <c r="AW663" i="76"/>
  <c r="AW658" i="76"/>
  <c r="AW654" i="76"/>
  <c r="AW647" i="76"/>
  <c r="AW646" i="76"/>
  <c r="AW645" i="76"/>
  <c r="AW641" i="76"/>
  <c r="AW637" i="76"/>
  <c r="AW630" i="76"/>
  <c r="AW628" i="76"/>
  <c r="AW627" i="76"/>
  <c r="AW626" i="76"/>
  <c r="AW622" i="76"/>
  <c r="AW618" i="76"/>
  <c r="AW617" i="76"/>
  <c r="AW613" i="76"/>
  <c r="AW612" i="76"/>
  <c r="AW605" i="76"/>
  <c r="AW604" i="76"/>
  <c r="AW603" i="76"/>
  <c r="AW602" i="76"/>
  <c r="AW601" i="76"/>
  <c r="AW597" i="76"/>
  <c r="AW596" i="76"/>
  <c r="AW592" i="76"/>
  <c r="AW591" i="76"/>
  <c r="AW584" i="76"/>
  <c r="AW583" i="76"/>
  <c r="AW582" i="76"/>
  <c r="AW572" i="76"/>
  <c r="AW578" i="76"/>
  <c r="AW577" i="76"/>
  <c r="AW573" i="76"/>
  <c r="AW569" i="76"/>
  <c r="AW565" i="76"/>
  <c r="AW571" i="76"/>
  <c r="AW561" i="76"/>
  <c r="AW570" i="76"/>
  <c r="AW554" i="76"/>
  <c r="AW553" i="76"/>
  <c r="AW551" i="76"/>
  <c r="AW550" i="76"/>
  <c r="AW549" i="76"/>
  <c r="AW544" i="76"/>
  <c r="AW540" i="76"/>
  <c r="AW539" i="76"/>
  <c r="AW535" i="76"/>
  <c r="AW534" i="76"/>
  <c r="AW533" i="76"/>
  <c r="AW529" i="76"/>
  <c r="AW528" i="76"/>
  <c r="AW527" i="76"/>
  <c r="AW526" i="76"/>
  <c r="AW519" i="76"/>
  <c r="AW518" i="76"/>
  <c r="AW517" i="76"/>
  <c r="AW516" i="76"/>
  <c r="AW515" i="76"/>
  <c r="AW511" i="76"/>
  <c r="AW510" i="76"/>
  <c r="AW506" i="76"/>
  <c r="AW505" i="76"/>
  <c r="AW504" i="76"/>
  <c r="AW503" i="76"/>
  <c r="AW494" i="76"/>
  <c r="AW493" i="76"/>
  <c r="AW492" i="76"/>
  <c r="AW491" i="76"/>
  <c r="AW490" i="76"/>
  <c r="AW485" i="76"/>
  <c r="AW484" i="76"/>
  <c r="AW483" i="76"/>
  <c r="AW482" i="76"/>
  <c r="AW481" i="76"/>
  <c r="AW480" i="76"/>
  <c r="AW486" i="76"/>
  <c r="AW473" i="76"/>
  <c r="AW472" i="76"/>
  <c r="AW471" i="76"/>
  <c r="AW470" i="76"/>
  <c r="AW469" i="76"/>
  <c r="AW468" i="76"/>
  <c r="AW467" i="76"/>
  <c r="AW466" i="76"/>
  <c r="AW465" i="76"/>
  <c r="AW460" i="76"/>
  <c r="AW461" i="76"/>
  <c r="AW455" i="76"/>
  <c r="AW459" i="76"/>
  <c r="AW451" i="76"/>
  <c r="AW447" i="76"/>
  <c r="AW445" i="76"/>
  <c r="AW444" i="76"/>
  <c r="AW443" i="76"/>
  <c r="AW436" i="76"/>
  <c r="AW435" i="76"/>
  <c r="AW425" i="76"/>
  <c r="AW434" i="76"/>
  <c r="AW430" i="76"/>
  <c r="AW426" i="76"/>
  <c r="AW423" i="76"/>
  <c r="AW422" i="76"/>
  <c r="AW424" i="76"/>
  <c r="AW417" i="76"/>
  <c r="AW409" i="76"/>
  <c r="AW408" i="76"/>
  <c r="AW404" i="76"/>
  <c r="AW402" i="76"/>
  <c r="AW400" i="76"/>
  <c r="AW401" i="76"/>
  <c r="AW399" i="76"/>
  <c r="AW398" i="76"/>
  <c r="AW394" i="76"/>
  <c r="AW389" i="76"/>
  <c r="AW390" i="76"/>
  <c r="AW418" i="76"/>
  <c r="AW388" i="76"/>
  <c r="AW387" i="76"/>
  <c r="AW386" i="76"/>
  <c r="AW379" i="76"/>
  <c r="AW378" i="76"/>
  <c r="AW374" i="76"/>
  <c r="AW370" i="76"/>
  <c r="AW363" i="76"/>
  <c r="AW362" i="76"/>
  <c r="AW361" i="76"/>
  <c r="AW357" i="76"/>
  <c r="AW356" i="76"/>
  <c r="AW352" i="76"/>
  <c r="AW348" i="76"/>
  <c r="AW347" i="76"/>
  <c r="AW346" i="76"/>
  <c r="AW342" i="76"/>
  <c r="AW341" i="76"/>
  <c r="AW340" i="76"/>
  <c r="AW339" i="76"/>
  <c r="AW338" i="76"/>
  <c r="AW337" i="76"/>
  <c r="AW330" i="76"/>
  <c r="AW329" i="76"/>
  <c r="AW328" i="76"/>
  <c r="AW327" i="76"/>
  <c r="AW326" i="76"/>
  <c r="AW317" i="76"/>
  <c r="AW321" i="76"/>
  <c r="AW322" i="76"/>
  <c r="AW313" i="76"/>
  <c r="AW312" i="76"/>
  <c r="AW311" i="76"/>
  <c r="AW310" i="76"/>
  <c r="AW309" i="76"/>
  <c r="AW308" i="76"/>
  <c r="AW301" i="76"/>
  <c r="AW300" i="76"/>
  <c r="AW299" i="76"/>
  <c r="AW298" i="76"/>
  <c r="AW293" i="76"/>
  <c r="AW288" i="76"/>
  <c r="AW287" i="76"/>
  <c r="AW292" i="76"/>
  <c r="AW285" i="76"/>
  <c r="AW284" i="76"/>
  <c r="AW283" i="76"/>
  <c r="AW276" i="76"/>
  <c r="AW275" i="76"/>
  <c r="AW274" i="76"/>
  <c r="AW273" i="76"/>
  <c r="AW269" i="76"/>
  <c r="AW268" i="76"/>
  <c r="AW267" i="76"/>
  <c r="AW259" i="76"/>
  <c r="AW263" i="76"/>
  <c r="AW258" i="76"/>
  <c r="AW257" i="76"/>
  <c r="AW256" i="76"/>
  <c r="AW249" i="76"/>
  <c r="AW248" i="76"/>
  <c r="AW247" i="76"/>
  <c r="AW246" i="76"/>
  <c r="AW245" i="76"/>
  <c r="AW244" i="76"/>
  <c r="AW240" i="76"/>
  <c r="AW239" i="76"/>
  <c r="AW238" i="76"/>
  <c r="AW237" i="76"/>
  <c r="AW230" i="76"/>
  <c r="AW236" i="76"/>
  <c r="AW235" i="76"/>
  <c r="AW229" i="76"/>
  <c r="AW231" i="76"/>
  <c r="AW228" i="76"/>
  <c r="AW224" i="76"/>
  <c r="AW223" i="76"/>
  <c r="AW215" i="76"/>
  <c r="AW217" i="76"/>
  <c r="AW219" i="76"/>
  <c r="AW216" i="76"/>
  <c r="AW218" i="76"/>
  <c r="AW214" i="76"/>
  <c r="AW213" i="76"/>
  <c r="AW212" i="76"/>
  <c r="AW211" i="76"/>
  <c r="AW210" i="76"/>
  <c r="AW209" i="76"/>
  <c r="AW208" i="76"/>
  <c r="AW207" i="76"/>
  <c r="AW206" i="76"/>
  <c r="AW205" i="76"/>
  <c r="AW204" i="76"/>
  <c r="AW203" i="76"/>
  <c r="AW193" i="76"/>
  <c r="AW192" i="76"/>
  <c r="AW191" i="76"/>
  <c r="AW187" i="76"/>
  <c r="AW186" i="76"/>
  <c r="AW185" i="76"/>
  <c r="AW184" i="76"/>
  <c r="AW183" i="76"/>
  <c r="AW182" i="76"/>
  <c r="AW177" i="76"/>
  <c r="AW175" i="76"/>
  <c r="AW174" i="76"/>
  <c r="AW176" i="76"/>
  <c r="AW194" i="76"/>
  <c r="AW181" i="76"/>
  <c r="AW170" i="76"/>
  <c r="AW169" i="76"/>
  <c r="AW168" i="76"/>
  <c r="AW161" i="76"/>
  <c r="AW160" i="76"/>
  <c r="AW159" i="76"/>
  <c r="AW158" i="76"/>
  <c r="AW154" i="76"/>
  <c r="AW150" i="76"/>
  <c r="AW146" i="76"/>
  <c r="AW139" i="76"/>
  <c r="AW138" i="76"/>
  <c r="AW137" i="76"/>
  <c r="AW136" i="76"/>
  <c r="AW132" i="76"/>
  <c r="AW131" i="76"/>
  <c r="AW130" i="76"/>
  <c r="AW126" i="76"/>
  <c r="AW125" i="76"/>
  <c r="AW121" i="76"/>
  <c r="AW120" i="76"/>
  <c r="AW116" i="76"/>
  <c r="AW109" i="76"/>
  <c r="AW108" i="76"/>
  <c r="AW107" i="76"/>
  <c r="AW102" i="76"/>
  <c r="AW103" i="76"/>
  <c r="AW95" i="76"/>
  <c r="AW94" i="76"/>
  <c r="AW93" i="76"/>
  <c r="AW89" i="76"/>
  <c r="AW88" i="76"/>
  <c r="AW81" i="76"/>
  <c r="AW80" i="76"/>
  <c r="AW79" i="76"/>
  <c r="AW78" i="76"/>
  <c r="AW74" i="76"/>
  <c r="AW73" i="76"/>
  <c r="AW72" i="76"/>
  <c r="AW68" i="76"/>
  <c r="AW64" i="76"/>
  <c r="AW63" i="76"/>
  <c r="AW62" i="76"/>
  <c r="AW58" i="76"/>
  <c r="AW57" i="76"/>
  <c r="AW56" i="76"/>
  <c r="AW49" i="76"/>
  <c r="AW48" i="76"/>
  <c r="AW41" i="76"/>
  <c r="AW47" i="76"/>
  <c r="AW46" i="76"/>
  <c r="AW45" i="76"/>
  <c r="AW37" i="76"/>
  <c r="AW30" i="76"/>
  <c r="AW29" i="76"/>
  <c r="AW28" i="76"/>
  <c r="AW27" i="76"/>
  <c r="AW26" i="76"/>
  <c r="AW25" i="76"/>
  <c r="AW19" i="76"/>
  <c r="AW24" i="76"/>
  <c r="AW23" i="76"/>
  <c r="AW15" i="76"/>
  <c r="AW14" i="76"/>
  <c r="AW9" i="76"/>
  <c r="AW8" i="76"/>
  <c r="AW7" i="76"/>
  <c r="AW10" i="76"/>
  <c r="AW6" i="76"/>
  <c r="AW5" i="76"/>
  <c r="AW4" i="76"/>
  <c r="P923" i="76"/>
  <c r="Q923" i="76"/>
  <c r="R923" i="76"/>
  <c r="M923" i="76"/>
  <c r="P917" i="76"/>
  <c r="Q917" i="76"/>
  <c r="R917" i="76"/>
  <c r="M917" i="76"/>
  <c r="P912" i="76"/>
  <c r="Q912" i="76"/>
  <c r="R912" i="76"/>
  <c r="M912" i="76"/>
  <c r="P812" i="76"/>
  <c r="Q812" i="76"/>
  <c r="R812" i="76"/>
  <c r="M812" i="76"/>
  <c r="P277" i="76"/>
  <c r="Q277" i="76"/>
  <c r="R277" i="76"/>
  <c r="M277" i="76"/>
  <c r="AV1032" i="76"/>
  <c r="AV1025" i="76"/>
  <c r="AV1031" i="76"/>
  <c r="AV1030" i="76"/>
  <c r="AV1029" i="76"/>
  <c r="AV1028" i="76"/>
  <c r="AV1027" i="76"/>
  <c r="AV1026" i="76"/>
  <c r="AV1024" i="76"/>
  <c r="AV1023" i="76"/>
  <c r="AV1022" i="76"/>
  <c r="AV1021" i="76"/>
  <c r="AV1020" i="76"/>
  <c r="AV1019" i="76"/>
  <c r="AV1018" i="76"/>
  <c r="AV1017" i="76"/>
  <c r="AV1016" i="76"/>
  <c r="AV1015" i="76"/>
  <c r="AV1014" i="76"/>
  <c r="AV1013" i="76"/>
  <c r="AV1012" i="76"/>
  <c r="AV1008" i="76"/>
  <c r="AV1004" i="76"/>
  <c r="AV1003" i="76"/>
  <c r="AV1002" i="76"/>
  <c r="AV1001" i="76"/>
  <c r="AV1000" i="76"/>
  <c r="AV999" i="76"/>
  <c r="AV998" i="76"/>
  <c r="AV997" i="76"/>
  <c r="AV996" i="76"/>
  <c r="AV995" i="76"/>
  <c r="AV994" i="76"/>
  <c r="AV993" i="76"/>
  <c r="AV992" i="76"/>
  <c r="AV991" i="76"/>
  <c r="AV990" i="76"/>
  <c r="AV989" i="76"/>
  <c r="AV988" i="76"/>
  <c r="AV987" i="76"/>
  <c r="AV986" i="76"/>
  <c r="AV985" i="76"/>
  <c r="AV984" i="76"/>
  <c r="AV983" i="76"/>
  <c r="AV982" i="76"/>
  <c r="AV981" i="76"/>
  <c r="AV980" i="76"/>
  <c r="AV979" i="76"/>
  <c r="AV978" i="76"/>
  <c r="AV977" i="76"/>
  <c r="AV976" i="76"/>
  <c r="AV975" i="76"/>
  <c r="AV974" i="76"/>
  <c r="AV973" i="76"/>
  <c r="AV972" i="76"/>
  <c r="AV971" i="76"/>
  <c r="AV970" i="76"/>
  <c r="AV969" i="76"/>
  <c r="AV968" i="76"/>
  <c r="AV967" i="76"/>
  <c r="AV966" i="76"/>
  <c r="AV965" i="76"/>
  <c r="AV964" i="76"/>
  <c r="AV963" i="76"/>
  <c r="AV962" i="76"/>
  <c r="AV961" i="76"/>
  <c r="AV960" i="76"/>
  <c r="AV959" i="76"/>
  <c r="AV958" i="76"/>
  <c r="AV951" i="76"/>
  <c r="AV949" i="76"/>
  <c r="AV948" i="76"/>
  <c r="AV947" i="76"/>
  <c r="AV946" i="76"/>
  <c r="AV945" i="76"/>
  <c r="AV941" i="76"/>
  <c r="AV940" i="76"/>
  <c r="AV939" i="76"/>
  <c r="AV935" i="76"/>
  <c r="AV931" i="76"/>
  <c r="AV950" i="76"/>
  <c r="AV920" i="76"/>
  <c r="AV922" i="76"/>
  <c r="AV921" i="76"/>
  <c r="AV915" i="76"/>
  <c r="AV916" i="76"/>
  <c r="AV879" i="76"/>
  <c r="AV911" i="76"/>
  <c r="AV907" i="76"/>
  <c r="AV903" i="76"/>
  <c r="AV902" i="76"/>
  <c r="AV901" i="76"/>
  <c r="AV900" i="76"/>
  <c r="AV899" i="76"/>
  <c r="AV898" i="76"/>
  <c r="AV897" i="76"/>
  <c r="AV896" i="76"/>
  <c r="AV895" i="76"/>
  <c r="AV894" i="76"/>
  <c r="AV887" i="76"/>
  <c r="AV886" i="76"/>
  <c r="AV885" i="76"/>
  <c r="AV884" i="76"/>
  <c r="AV883" i="76"/>
  <c r="AV875" i="76"/>
  <c r="AV874" i="76"/>
  <c r="AV867" i="76"/>
  <c r="AV866" i="76"/>
  <c r="AV859" i="76"/>
  <c r="AV865" i="76"/>
  <c r="AV864" i="76"/>
  <c r="AV860" i="76"/>
  <c r="AV858" i="76"/>
  <c r="AV857" i="76"/>
  <c r="AV856" i="76"/>
  <c r="AV855" i="76"/>
  <c r="AV854" i="76"/>
  <c r="AV853" i="76"/>
  <c r="AV852" i="76"/>
  <c r="AV848" i="76"/>
  <c r="AV847" i="76"/>
  <c r="AV843" i="76"/>
  <c r="AV842" i="76"/>
  <c r="AV835" i="76"/>
  <c r="AV834" i="76"/>
  <c r="AV824" i="76"/>
  <c r="AV833" i="76"/>
  <c r="AV829" i="76"/>
  <c r="AV828" i="76"/>
  <c r="AV823" i="76"/>
  <c r="AV819" i="76"/>
  <c r="AV818" i="76"/>
  <c r="AV811" i="76"/>
  <c r="AV807" i="76"/>
  <c r="AV810" i="76"/>
  <c r="AV809" i="76"/>
  <c r="AV808" i="76"/>
  <c r="AV803" i="76"/>
  <c r="AV790" i="76"/>
  <c r="AV801" i="76"/>
  <c r="AV800" i="76"/>
  <c r="AV799" i="76"/>
  <c r="AV795" i="76"/>
  <c r="AV794" i="76"/>
  <c r="AV788" i="76"/>
  <c r="AV779" i="76"/>
  <c r="AV777" i="76"/>
  <c r="AV774" i="76"/>
  <c r="AV776" i="76"/>
  <c r="AV775" i="76"/>
  <c r="AV778" i="76"/>
  <c r="AV773" i="76"/>
  <c r="AV768" i="76"/>
  <c r="AV769" i="76"/>
  <c r="AV764" i="76"/>
  <c r="AV759" i="76"/>
  <c r="AV760" i="76"/>
  <c r="AV758" i="76"/>
  <c r="AV757" i="76"/>
  <c r="AV756" i="76"/>
  <c r="AV749" i="76"/>
  <c r="AV748" i="76"/>
  <c r="AV747" i="76"/>
  <c r="AV743" i="76"/>
  <c r="AV742" i="76"/>
  <c r="AV733" i="76"/>
  <c r="AV732" i="76"/>
  <c r="AV731" i="76"/>
  <c r="AV730" i="76"/>
  <c r="AV723" i="76"/>
  <c r="AV722" i="76"/>
  <c r="AV718" i="76"/>
  <c r="AV713" i="76"/>
  <c r="AV717" i="76"/>
  <c r="AV712" i="76"/>
  <c r="AV708" i="76"/>
  <c r="AV706" i="76"/>
  <c r="AV707" i="76"/>
  <c r="AV702" i="76"/>
  <c r="AV701" i="76"/>
  <c r="AV694" i="76"/>
  <c r="AV693" i="76"/>
  <c r="AV692" i="76"/>
  <c r="AV691" i="76"/>
  <c r="AV690" i="76"/>
  <c r="AV689" i="76"/>
  <c r="AV685" i="76"/>
  <c r="AV681" i="76"/>
  <c r="AV674" i="76"/>
  <c r="AV673" i="76"/>
  <c r="AV672" i="76"/>
  <c r="AV668" i="76"/>
  <c r="AV664" i="76"/>
  <c r="AV663" i="76"/>
  <c r="AV658" i="76"/>
  <c r="AV654" i="76"/>
  <c r="AV647" i="76"/>
  <c r="AV646" i="76"/>
  <c r="AV645" i="76"/>
  <c r="AV641" i="76"/>
  <c r="AV637" i="76"/>
  <c r="AV630" i="76"/>
  <c r="AV628" i="76"/>
  <c r="AV627" i="76"/>
  <c r="AV626" i="76"/>
  <c r="AV622" i="76"/>
  <c r="AV618" i="76"/>
  <c r="AV617" i="76"/>
  <c r="AV613" i="76"/>
  <c r="AV612" i="76"/>
  <c r="AV605" i="76"/>
  <c r="AV604" i="76"/>
  <c r="AV603" i="76"/>
  <c r="AV602" i="76"/>
  <c r="AV601" i="76"/>
  <c r="AV597" i="76"/>
  <c r="AV596" i="76"/>
  <c r="AV592" i="76"/>
  <c r="AV591" i="76"/>
  <c r="AV584" i="76"/>
  <c r="AV583" i="76"/>
  <c r="AV582" i="76"/>
  <c r="AV572" i="76"/>
  <c r="AV578" i="76"/>
  <c r="AV577" i="76"/>
  <c r="AV573" i="76"/>
  <c r="AV569" i="76"/>
  <c r="AV565" i="76"/>
  <c r="AV570" i="76"/>
  <c r="AV571" i="76"/>
  <c r="AV561" i="76"/>
  <c r="AV554" i="76"/>
  <c r="AV553" i="76"/>
  <c r="AV551" i="76"/>
  <c r="AV550" i="76"/>
  <c r="AV549" i="76"/>
  <c r="AV544" i="76"/>
  <c r="AV540" i="76"/>
  <c r="AV539" i="76"/>
  <c r="AV535" i="76"/>
  <c r="AV534" i="76"/>
  <c r="AV533" i="76"/>
  <c r="AV529" i="76"/>
  <c r="AV528" i="76"/>
  <c r="AV527" i="76"/>
  <c r="AV526" i="76"/>
  <c r="AV519" i="76"/>
  <c r="AV518" i="76"/>
  <c r="AV517" i="76"/>
  <c r="AV516" i="76"/>
  <c r="AV515" i="76"/>
  <c r="AV511" i="76"/>
  <c r="AV510" i="76"/>
  <c r="AV506" i="76"/>
  <c r="AV505" i="76"/>
  <c r="AV504" i="76"/>
  <c r="AV503" i="76"/>
  <c r="AV494" i="76"/>
  <c r="AV493" i="76"/>
  <c r="AV492" i="76"/>
  <c r="AV491" i="76"/>
  <c r="AV490" i="76"/>
  <c r="AV485" i="76"/>
  <c r="AV484" i="76"/>
  <c r="AV483" i="76"/>
  <c r="AV482" i="76"/>
  <c r="AV481" i="76"/>
  <c r="AV480" i="76"/>
  <c r="AV486" i="76"/>
  <c r="AV473" i="76"/>
  <c r="AV472" i="76"/>
  <c r="AV471" i="76"/>
  <c r="AV470" i="76"/>
  <c r="AV469" i="76"/>
  <c r="AV468" i="76"/>
  <c r="AV467" i="76"/>
  <c r="AV466" i="76"/>
  <c r="AV465" i="76"/>
  <c r="AV460" i="76"/>
  <c r="AV461" i="76"/>
  <c r="AV455" i="76"/>
  <c r="AV459" i="76"/>
  <c r="AV451" i="76"/>
  <c r="AV447" i="76"/>
  <c r="AV445" i="76"/>
  <c r="AV444" i="76"/>
  <c r="AV443" i="76"/>
  <c r="AV436" i="76"/>
  <c r="AV425" i="76"/>
  <c r="AV435" i="76"/>
  <c r="AV434" i="76"/>
  <c r="AV430" i="76"/>
  <c r="AV426" i="76"/>
  <c r="AV423" i="76"/>
  <c r="AV422" i="76"/>
  <c r="AV424" i="76"/>
  <c r="AV417" i="76"/>
  <c r="AV409" i="76"/>
  <c r="AV408" i="76"/>
  <c r="AV404" i="76"/>
  <c r="AV402" i="76"/>
  <c r="AV400" i="76"/>
  <c r="AV389" i="76"/>
  <c r="AV401" i="76"/>
  <c r="AV399" i="76"/>
  <c r="AV398" i="76"/>
  <c r="AV394" i="76"/>
  <c r="AV390" i="76"/>
  <c r="AV418" i="76"/>
  <c r="AV388" i="76"/>
  <c r="AV387" i="76"/>
  <c r="AV386" i="76"/>
  <c r="AV379" i="76"/>
  <c r="AV378" i="76"/>
  <c r="AV374" i="76"/>
  <c r="AV370" i="76"/>
  <c r="AV363" i="76"/>
  <c r="AV362" i="76"/>
  <c r="AV361" i="76"/>
  <c r="AV357" i="76"/>
  <c r="AV356" i="76"/>
  <c r="AV352" i="76"/>
  <c r="AV348" i="76"/>
  <c r="AV347" i="76"/>
  <c r="AV346" i="76"/>
  <c r="AV342" i="76"/>
  <c r="AV341" i="76"/>
  <c r="AV340" i="76"/>
  <c r="AV339" i="76"/>
  <c r="AV338" i="76"/>
  <c r="AV337" i="76"/>
  <c r="AV330" i="76"/>
  <c r="AV329" i="76"/>
  <c r="AV328" i="76"/>
  <c r="AV327" i="76"/>
  <c r="AV326" i="76"/>
  <c r="AV317" i="76"/>
  <c r="AV321" i="76"/>
  <c r="AV322" i="76"/>
  <c r="AV313" i="76"/>
  <c r="AV312" i="76"/>
  <c r="AV311" i="76"/>
  <c r="AV310" i="76"/>
  <c r="AV309" i="76"/>
  <c r="AV308" i="76"/>
  <c r="AV301" i="76"/>
  <c r="AV300" i="76"/>
  <c r="AV299" i="76"/>
  <c r="AV298" i="76"/>
  <c r="AV293" i="76"/>
  <c r="AV288" i="76"/>
  <c r="AV287" i="76"/>
  <c r="AV292" i="76"/>
  <c r="AV285" i="76"/>
  <c r="AV284" i="76"/>
  <c r="AV283" i="76"/>
  <c r="AV273" i="76"/>
  <c r="AV276" i="76"/>
  <c r="AV275" i="76"/>
  <c r="AV274" i="76"/>
  <c r="AV269" i="76"/>
  <c r="AV268" i="76"/>
  <c r="AV267" i="76"/>
  <c r="AV259" i="76"/>
  <c r="AV263" i="76"/>
  <c r="AV258" i="76"/>
  <c r="AV257" i="76"/>
  <c r="AV256" i="76"/>
  <c r="AV249" i="76"/>
  <c r="AV248" i="76"/>
  <c r="AV247" i="76"/>
  <c r="AV246" i="76"/>
  <c r="AV245" i="76"/>
  <c r="AV244" i="76"/>
  <c r="AV238" i="76"/>
  <c r="AV240" i="76"/>
  <c r="AV239" i="76"/>
  <c r="AV237" i="76"/>
  <c r="AV230" i="76"/>
  <c r="AV236" i="76"/>
  <c r="AV235" i="76"/>
  <c r="AV229" i="76"/>
  <c r="AV231" i="76"/>
  <c r="AV228" i="76"/>
  <c r="AV224" i="76"/>
  <c r="AV223" i="76"/>
  <c r="AV215" i="76"/>
  <c r="AV217" i="76"/>
  <c r="AV219" i="76"/>
  <c r="AV216" i="76"/>
  <c r="AV218" i="76"/>
  <c r="AV214" i="76"/>
  <c r="AV213" i="76"/>
  <c r="AV212" i="76"/>
  <c r="AV211" i="76"/>
  <c r="AV210" i="76"/>
  <c r="AV209" i="76"/>
  <c r="AV208" i="76"/>
  <c r="AV207" i="76"/>
  <c r="AV206" i="76"/>
  <c r="AV205" i="76"/>
  <c r="AV204" i="76"/>
  <c r="AV203" i="76"/>
  <c r="AV193" i="76"/>
  <c r="AV192" i="76"/>
  <c r="AV191" i="76"/>
  <c r="AV187" i="76"/>
  <c r="AV186" i="76"/>
  <c r="AV185" i="76"/>
  <c r="AV184" i="76"/>
  <c r="AV183" i="76"/>
  <c r="AV182" i="76"/>
  <c r="AV175" i="76"/>
  <c r="AV177" i="76"/>
  <c r="AV174" i="76"/>
  <c r="AV170" i="76"/>
  <c r="AV176" i="76"/>
  <c r="AV194" i="76"/>
  <c r="AV181" i="76"/>
  <c r="AV169" i="76"/>
  <c r="AV168" i="76"/>
  <c r="AV161" i="76"/>
  <c r="AV160" i="76"/>
  <c r="AV159" i="76"/>
  <c r="AV158" i="76"/>
  <c r="AV154" i="76"/>
  <c r="AV150" i="76"/>
  <c r="AV146" i="76"/>
  <c r="AV139" i="76"/>
  <c r="AV138" i="76"/>
  <c r="AV137" i="76"/>
  <c r="AV136" i="76"/>
  <c r="AV132" i="76"/>
  <c r="AV131" i="76"/>
  <c r="AV130" i="76"/>
  <c r="AV126" i="76"/>
  <c r="AV125" i="76"/>
  <c r="AV121" i="76"/>
  <c r="AV120" i="76"/>
  <c r="AV116" i="76"/>
  <c r="AV109" i="76"/>
  <c r="AV108" i="76"/>
  <c r="AV107" i="76"/>
  <c r="AV102" i="76"/>
  <c r="AV103" i="76"/>
  <c r="AV95" i="76"/>
  <c r="AV94" i="76"/>
  <c r="AV93" i="76"/>
  <c r="AV89" i="76"/>
  <c r="AV88" i="76"/>
  <c r="AV81" i="76"/>
  <c r="AV80" i="76"/>
  <c r="AV79" i="76"/>
  <c r="AV78" i="76"/>
  <c r="AV73" i="76"/>
  <c r="AV74" i="76"/>
  <c r="AV72" i="76"/>
  <c r="AV68" i="76"/>
  <c r="AV64" i="76"/>
  <c r="AV63" i="76"/>
  <c r="AV62" i="76"/>
  <c r="AV58" i="76"/>
  <c r="AV57" i="76"/>
  <c r="AV56" i="76"/>
  <c r="AV49" i="76"/>
  <c r="AV48" i="76"/>
  <c r="AV41" i="76"/>
  <c r="AV47" i="76"/>
  <c r="AV46" i="76"/>
  <c r="AV45" i="76"/>
  <c r="AV37" i="76"/>
  <c r="AV30" i="76"/>
  <c r="AV29" i="76"/>
  <c r="AV28" i="76"/>
  <c r="AV27" i="76"/>
  <c r="AV26" i="76"/>
  <c r="AV25" i="76"/>
  <c r="AV19" i="76"/>
  <c r="AV24" i="76"/>
  <c r="AV23" i="76"/>
  <c r="AV15" i="76"/>
  <c r="AV14" i="76"/>
  <c r="AV9" i="76"/>
  <c r="AV8" i="76"/>
  <c r="AV7" i="76"/>
  <c r="AV10" i="76"/>
  <c r="AV6" i="76"/>
  <c r="AV5" i="76"/>
  <c r="AU1032" i="76"/>
  <c r="AU1025" i="76"/>
  <c r="AU1031" i="76"/>
  <c r="AU1030" i="76"/>
  <c r="AU1029" i="76"/>
  <c r="AU1028" i="76"/>
  <c r="AU1027" i="76"/>
  <c r="AU1026" i="76"/>
  <c r="AU1024" i="76"/>
  <c r="AU1023" i="76"/>
  <c r="AU1022" i="76"/>
  <c r="AU1021" i="76"/>
  <c r="AU1020" i="76"/>
  <c r="AU1019" i="76"/>
  <c r="AU1018" i="76"/>
  <c r="AU1017" i="76"/>
  <c r="AU1016" i="76"/>
  <c r="AU1015" i="76"/>
  <c r="AU1014" i="76"/>
  <c r="AU1013" i="76"/>
  <c r="AU1012" i="76"/>
  <c r="AU1008" i="76"/>
  <c r="AU1004" i="76"/>
  <c r="AU1003" i="76"/>
  <c r="AU1002" i="76"/>
  <c r="AU1001" i="76"/>
  <c r="AU1000" i="76"/>
  <c r="AU999" i="76"/>
  <c r="AU998" i="76"/>
  <c r="AU997" i="76"/>
  <c r="AU996" i="76"/>
  <c r="AU995" i="76"/>
  <c r="AU994" i="76"/>
  <c r="AU993" i="76"/>
  <c r="AU992" i="76"/>
  <c r="AU991" i="76"/>
  <c r="AU990" i="76"/>
  <c r="AU989" i="76"/>
  <c r="AU988" i="76"/>
  <c r="AU987" i="76"/>
  <c r="AU986" i="76"/>
  <c r="AU985" i="76"/>
  <c r="AU984" i="76"/>
  <c r="AU983" i="76"/>
  <c r="AU982" i="76"/>
  <c r="AU981" i="76"/>
  <c r="AU980" i="76"/>
  <c r="AU979" i="76"/>
  <c r="AU978" i="76"/>
  <c r="AU977" i="76"/>
  <c r="AU976" i="76"/>
  <c r="AU975" i="76"/>
  <c r="AU974" i="76"/>
  <c r="AU973" i="76"/>
  <c r="AU972" i="76"/>
  <c r="AU971" i="76"/>
  <c r="AU970" i="76"/>
  <c r="AU969" i="76"/>
  <c r="AU968" i="76"/>
  <c r="AU967" i="76"/>
  <c r="AU966" i="76"/>
  <c r="AU965" i="76"/>
  <c r="AU964" i="76"/>
  <c r="AU963" i="76"/>
  <c r="AU962" i="76"/>
  <c r="AU961" i="76"/>
  <c r="AU960" i="76"/>
  <c r="AU959" i="76"/>
  <c r="AU958" i="76"/>
  <c r="AU951" i="76"/>
  <c r="AU949" i="76"/>
  <c r="AU948" i="76"/>
  <c r="AU947" i="76"/>
  <c r="AU946" i="76"/>
  <c r="AU945" i="76"/>
  <c r="AU941" i="76"/>
  <c r="AU940" i="76"/>
  <c r="AU939" i="76"/>
  <c r="AU935" i="76"/>
  <c r="AU931" i="76"/>
  <c r="AU950" i="76"/>
  <c r="AU920" i="76"/>
  <c r="AU922" i="76"/>
  <c r="AU921" i="76"/>
  <c r="AU915" i="76"/>
  <c r="AU916" i="76"/>
  <c r="AU879" i="76"/>
  <c r="AU911" i="76"/>
  <c r="AU907" i="76"/>
  <c r="AU903" i="76"/>
  <c r="AU902" i="76"/>
  <c r="AU901" i="76"/>
  <c r="AU900" i="76"/>
  <c r="AU899" i="76"/>
  <c r="AU898" i="76"/>
  <c r="AU897" i="76"/>
  <c r="AU896" i="76"/>
  <c r="AU895" i="76"/>
  <c r="AU894" i="76"/>
  <c r="AU887" i="76"/>
  <c r="AU886" i="76"/>
  <c r="AU885" i="76"/>
  <c r="AU884" i="76"/>
  <c r="AU883" i="76"/>
  <c r="AU875" i="76"/>
  <c r="AU874" i="76"/>
  <c r="AU867" i="76"/>
  <c r="AU866" i="76"/>
  <c r="AU859" i="76"/>
  <c r="AU865" i="76"/>
  <c r="AU864" i="76"/>
  <c r="AU860" i="76"/>
  <c r="AU858" i="76"/>
  <c r="AU857" i="76"/>
  <c r="AU856" i="76"/>
  <c r="AU855" i="76"/>
  <c r="AU854" i="76"/>
  <c r="AU853" i="76"/>
  <c r="AU852" i="76"/>
  <c r="AU848" i="76"/>
  <c r="AU847" i="76"/>
  <c r="AU843" i="76"/>
  <c r="AU842" i="76"/>
  <c r="AU835" i="76"/>
  <c r="AU834" i="76"/>
  <c r="AU824" i="76"/>
  <c r="AU833" i="76"/>
  <c r="AU829" i="76"/>
  <c r="AU828" i="76"/>
  <c r="AU823" i="76"/>
  <c r="AU819" i="76"/>
  <c r="AU818" i="76"/>
  <c r="AU811" i="76"/>
  <c r="AU807" i="76"/>
  <c r="AU810" i="76"/>
  <c r="AU809" i="76"/>
  <c r="AU808" i="76"/>
  <c r="AU803" i="76"/>
  <c r="AU790" i="76"/>
  <c r="AU801" i="76"/>
  <c r="AU800" i="76"/>
  <c r="AU799" i="76"/>
  <c r="AU795" i="76"/>
  <c r="AU794" i="76"/>
  <c r="AU788" i="76"/>
  <c r="AU779" i="76"/>
  <c r="AU777" i="76"/>
  <c r="AU774" i="76"/>
  <c r="AU776" i="76"/>
  <c r="AU775" i="76"/>
  <c r="AU778" i="76"/>
  <c r="AU773" i="76"/>
  <c r="AU768" i="76"/>
  <c r="AU769" i="76"/>
  <c r="AU764" i="76"/>
  <c r="AU759" i="76"/>
  <c r="AU760" i="76"/>
  <c r="AU758" i="76"/>
  <c r="AU757" i="76"/>
  <c r="AU756" i="76"/>
  <c r="AU749" i="76"/>
  <c r="AU748" i="76"/>
  <c r="AU747" i="76"/>
  <c r="AU743" i="76"/>
  <c r="AU742" i="76"/>
  <c r="AU733" i="76"/>
  <c r="AU732" i="76"/>
  <c r="AU731" i="76"/>
  <c r="AU730" i="76"/>
  <c r="AU723" i="76"/>
  <c r="AU722" i="76"/>
  <c r="AU718" i="76"/>
  <c r="AU713" i="76"/>
  <c r="AU717" i="76"/>
  <c r="AU712" i="76"/>
  <c r="AU708" i="76"/>
  <c r="AU706" i="76"/>
  <c r="AU707" i="76"/>
  <c r="AU702" i="76"/>
  <c r="AU701" i="76"/>
  <c r="AU694" i="76"/>
  <c r="AU693" i="76"/>
  <c r="AU692" i="76"/>
  <c r="AU691" i="76"/>
  <c r="AU690" i="76"/>
  <c r="AU689" i="76"/>
  <c r="AU685" i="76"/>
  <c r="AU681" i="76"/>
  <c r="AU674" i="76"/>
  <c r="AU673" i="76"/>
  <c r="AU672" i="76"/>
  <c r="AU668" i="76"/>
  <c r="AU664" i="76"/>
  <c r="AU663" i="76"/>
  <c r="AU658" i="76"/>
  <c r="AU654" i="76"/>
  <c r="AU647" i="76"/>
  <c r="AU646" i="76"/>
  <c r="AU645" i="76"/>
  <c r="AU641" i="76"/>
  <c r="AU637" i="76"/>
  <c r="AU630" i="76"/>
  <c r="AU628" i="76"/>
  <c r="AU627" i="76"/>
  <c r="AU626" i="76"/>
  <c r="AU622" i="76"/>
  <c r="AU618" i="76"/>
  <c r="AU617" i="76"/>
  <c r="AU613" i="76"/>
  <c r="AU612" i="76"/>
  <c r="AU605" i="76"/>
  <c r="AU604" i="76"/>
  <c r="AU603" i="76"/>
  <c r="AU602" i="76"/>
  <c r="AU601" i="76"/>
  <c r="AU597" i="76"/>
  <c r="AU596" i="76"/>
  <c r="AU592" i="76"/>
  <c r="AU591" i="76"/>
  <c r="AU584" i="76"/>
  <c r="AU583" i="76"/>
  <c r="AU582" i="76"/>
  <c r="AU572" i="76"/>
  <c r="AU578" i="76"/>
  <c r="AU577" i="76"/>
  <c r="AU573" i="76"/>
  <c r="AU569" i="76"/>
  <c r="AU565" i="76"/>
  <c r="AU570" i="76"/>
  <c r="AU571" i="76"/>
  <c r="AU561" i="76"/>
  <c r="AU554" i="76"/>
  <c r="AU553" i="76"/>
  <c r="AU551" i="76"/>
  <c r="AU550" i="76"/>
  <c r="AU549" i="76"/>
  <c r="AU544" i="76"/>
  <c r="AU540" i="76"/>
  <c r="AU539" i="76"/>
  <c r="AU535" i="76"/>
  <c r="AU534" i="76"/>
  <c r="AU533" i="76"/>
  <c r="AU529" i="76"/>
  <c r="AU528" i="76"/>
  <c r="AU527" i="76"/>
  <c r="AU526" i="76"/>
  <c r="AU519" i="76"/>
  <c r="AU518" i="76"/>
  <c r="AU517" i="76"/>
  <c r="AU516" i="76"/>
  <c r="AU515" i="76"/>
  <c r="AU511" i="76"/>
  <c r="AU510" i="76"/>
  <c r="AU506" i="76"/>
  <c r="AU505" i="76"/>
  <c r="AU504" i="76"/>
  <c r="AU503" i="76"/>
  <c r="AU494" i="76"/>
  <c r="AU493" i="76"/>
  <c r="AU492" i="76"/>
  <c r="AU491" i="76"/>
  <c r="AU490" i="76"/>
  <c r="AU485" i="76"/>
  <c r="AU484" i="76"/>
  <c r="AU483" i="76"/>
  <c r="AU482" i="76"/>
  <c r="AU481" i="76"/>
  <c r="AU480" i="76"/>
  <c r="AU486" i="76"/>
  <c r="AU473" i="76"/>
  <c r="AU472" i="76"/>
  <c r="AU471" i="76"/>
  <c r="AU470" i="76"/>
  <c r="AU469" i="76"/>
  <c r="AU468" i="76"/>
  <c r="AU467" i="76"/>
  <c r="AU466" i="76"/>
  <c r="AU465" i="76"/>
  <c r="AU460" i="76"/>
  <c r="AU461" i="76"/>
  <c r="AU455" i="76"/>
  <c r="AU459" i="76"/>
  <c r="AU451" i="76"/>
  <c r="AU447" i="76"/>
  <c r="AU445" i="76"/>
  <c r="AU444" i="76"/>
  <c r="AU443" i="76"/>
  <c r="AU436" i="76"/>
  <c r="AU425" i="76"/>
  <c r="AU435" i="76"/>
  <c r="AU434" i="76"/>
  <c r="AU430" i="76"/>
  <c r="AU426" i="76"/>
  <c r="AU423" i="76"/>
  <c r="AU422" i="76"/>
  <c r="AU424" i="76"/>
  <c r="AU417" i="76"/>
  <c r="AU409" i="76"/>
  <c r="AU408" i="76"/>
  <c r="AU404" i="76"/>
  <c r="AU402" i="76"/>
  <c r="AU400" i="76"/>
  <c r="AU389" i="76"/>
  <c r="AU401" i="76"/>
  <c r="AU399" i="76"/>
  <c r="AU398" i="76"/>
  <c r="AU394" i="76"/>
  <c r="AU390" i="76"/>
  <c r="AU418" i="76"/>
  <c r="AU388" i="76"/>
  <c r="AU387" i="76"/>
  <c r="AU386" i="76"/>
  <c r="AU379" i="76"/>
  <c r="AU378" i="76"/>
  <c r="AU374" i="76"/>
  <c r="AU370" i="76"/>
  <c r="AU363" i="76"/>
  <c r="AU362" i="76"/>
  <c r="AU361" i="76"/>
  <c r="AU357" i="76"/>
  <c r="AU356" i="76"/>
  <c r="AU352" i="76"/>
  <c r="AU348" i="76"/>
  <c r="AU347" i="76"/>
  <c r="AU346" i="76"/>
  <c r="AU342" i="76"/>
  <c r="AU341" i="76"/>
  <c r="AU340" i="76"/>
  <c r="AU339" i="76"/>
  <c r="AU338" i="76"/>
  <c r="AU337" i="76"/>
  <c r="AU330" i="76"/>
  <c r="AU329" i="76"/>
  <c r="AU328" i="76"/>
  <c r="AU327" i="76"/>
  <c r="AU326" i="76"/>
  <c r="AU317" i="76"/>
  <c r="AU321" i="76"/>
  <c r="AU322" i="76"/>
  <c r="AU313" i="76"/>
  <c r="AU312" i="76"/>
  <c r="AU311" i="76"/>
  <c r="AU310" i="76"/>
  <c r="AU309" i="76"/>
  <c r="AU308" i="76"/>
  <c r="AU301" i="76"/>
  <c r="AU300" i="76"/>
  <c r="AU299" i="76"/>
  <c r="AU298" i="76"/>
  <c r="AU293" i="76"/>
  <c r="AU288" i="76"/>
  <c r="AU287" i="76"/>
  <c r="AU292" i="76"/>
  <c r="AU285" i="76"/>
  <c r="AU284" i="76"/>
  <c r="AU283" i="76"/>
  <c r="AU273" i="76"/>
  <c r="AU276" i="76"/>
  <c r="AU275" i="76"/>
  <c r="AU274" i="76"/>
  <c r="AU269" i="76"/>
  <c r="AU268" i="76"/>
  <c r="AU267" i="76"/>
  <c r="AU259" i="76"/>
  <c r="AU263" i="76"/>
  <c r="AU258" i="76"/>
  <c r="AU257" i="76"/>
  <c r="AU256" i="76"/>
  <c r="AU249" i="76"/>
  <c r="AU248" i="76"/>
  <c r="AU247" i="76"/>
  <c r="AU246" i="76"/>
  <c r="AU245" i="76"/>
  <c r="AU244" i="76"/>
  <c r="AU238" i="76"/>
  <c r="AU240" i="76"/>
  <c r="AU239" i="76"/>
  <c r="AU237" i="76"/>
  <c r="AU230" i="76"/>
  <c r="AU236" i="76"/>
  <c r="AU235" i="76"/>
  <c r="AU229" i="76"/>
  <c r="AU231" i="76"/>
  <c r="AU228" i="76"/>
  <c r="AU224" i="76"/>
  <c r="AU223" i="76"/>
  <c r="AU215" i="76"/>
  <c r="AU217" i="76"/>
  <c r="AU219" i="76"/>
  <c r="AU216" i="76"/>
  <c r="AU218" i="76"/>
  <c r="AU214" i="76"/>
  <c r="AU213" i="76"/>
  <c r="AU212" i="76"/>
  <c r="AU211" i="76"/>
  <c r="AU210" i="76"/>
  <c r="AU209" i="76"/>
  <c r="AU208" i="76"/>
  <c r="AU207" i="76"/>
  <c r="AU206" i="76"/>
  <c r="AU205" i="76"/>
  <c r="AU204" i="76"/>
  <c r="AU203" i="76"/>
  <c r="AU193" i="76"/>
  <c r="AU192" i="76"/>
  <c r="AU191" i="76"/>
  <c r="AU187" i="76"/>
  <c r="AU186" i="76"/>
  <c r="AU185" i="76"/>
  <c r="AU184" i="76"/>
  <c r="AU183" i="76"/>
  <c r="AU182" i="76"/>
  <c r="AU175" i="76"/>
  <c r="AU177" i="76"/>
  <c r="AU174" i="76"/>
  <c r="AU170" i="76"/>
  <c r="AU176" i="76"/>
  <c r="AU194" i="76"/>
  <c r="AU181" i="76"/>
  <c r="AU169" i="76"/>
  <c r="AU168" i="76"/>
  <c r="AU161" i="76"/>
  <c r="AU160" i="76"/>
  <c r="AU159" i="76"/>
  <c r="AU158" i="76"/>
  <c r="AU154" i="76"/>
  <c r="AU150" i="76"/>
  <c r="AU146" i="76"/>
  <c r="AU139" i="76"/>
  <c r="AU138" i="76"/>
  <c r="AU137" i="76"/>
  <c r="AU136" i="76"/>
  <c r="AU132" i="76"/>
  <c r="AU131" i="76"/>
  <c r="AU130" i="76"/>
  <c r="AU126" i="76"/>
  <c r="AU125" i="76"/>
  <c r="AU121" i="76"/>
  <c r="AU120" i="76"/>
  <c r="AU116" i="76"/>
  <c r="AU109" i="76"/>
  <c r="AU108" i="76"/>
  <c r="AU107" i="76"/>
  <c r="AU102" i="76"/>
  <c r="AU103" i="76"/>
  <c r="AU95" i="76"/>
  <c r="AU94" i="76"/>
  <c r="AU93" i="76"/>
  <c r="AU89" i="76"/>
  <c r="AU88" i="76"/>
  <c r="AU81" i="76"/>
  <c r="AU80" i="76"/>
  <c r="AU79" i="76"/>
  <c r="AU78" i="76"/>
  <c r="AU73" i="76"/>
  <c r="AU74" i="76"/>
  <c r="AU72" i="76"/>
  <c r="AU68" i="76"/>
  <c r="AU64" i="76"/>
  <c r="AU63" i="76"/>
  <c r="AU62" i="76"/>
  <c r="AU58" i="76"/>
  <c r="AU57" i="76"/>
  <c r="AU56" i="76"/>
  <c r="AU49" i="76"/>
  <c r="AU48" i="76"/>
  <c r="AU41" i="76"/>
  <c r="AU47" i="76"/>
  <c r="AU46" i="76"/>
  <c r="AU45" i="76"/>
  <c r="AU37" i="76"/>
  <c r="AU30" i="76"/>
  <c r="AU29" i="76"/>
  <c r="AU28" i="76"/>
  <c r="AU27" i="76"/>
  <c r="AU26" i="76"/>
  <c r="AU25" i="76"/>
  <c r="AU19" i="76"/>
  <c r="AU24" i="76"/>
  <c r="AU23" i="76"/>
  <c r="AU15" i="76"/>
  <c r="AU14" i="76"/>
  <c r="AU9" i="76"/>
  <c r="AU8" i="76"/>
  <c r="AU7" i="76"/>
  <c r="AU10" i="76"/>
  <c r="AU6" i="76"/>
  <c r="AU5" i="76"/>
  <c r="AT1032" i="76"/>
  <c r="AT1025" i="76"/>
  <c r="AT1031" i="76"/>
  <c r="AT1030" i="76"/>
  <c r="AT1029" i="76"/>
  <c r="AT1028" i="76"/>
  <c r="AT1027" i="76"/>
  <c r="AT1026" i="76"/>
  <c r="AT1024" i="76"/>
  <c r="AT1023" i="76"/>
  <c r="AT1022" i="76"/>
  <c r="AT1021" i="76"/>
  <c r="AT1020" i="76"/>
  <c r="AT1019" i="76"/>
  <c r="AT1018" i="76"/>
  <c r="AT1017" i="76"/>
  <c r="AT1016" i="76"/>
  <c r="AT1015" i="76"/>
  <c r="AT1014" i="76"/>
  <c r="AT1013" i="76"/>
  <c r="AT1012" i="76"/>
  <c r="AT1008" i="76"/>
  <c r="AT1004" i="76"/>
  <c r="AT1003" i="76"/>
  <c r="AT1002" i="76"/>
  <c r="AT1001" i="76"/>
  <c r="AT1000" i="76"/>
  <c r="AT999" i="76"/>
  <c r="AT998" i="76"/>
  <c r="AT997" i="76"/>
  <c r="AT996" i="76"/>
  <c r="AT995" i="76"/>
  <c r="AT994" i="76"/>
  <c r="AT993" i="76"/>
  <c r="AT992" i="76"/>
  <c r="AT991" i="76"/>
  <c r="AT990" i="76"/>
  <c r="AT989" i="76"/>
  <c r="AT988" i="76"/>
  <c r="AT987" i="76"/>
  <c r="AT986" i="76"/>
  <c r="AT985" i="76"/>
  <c r="AT984" i="76"/>
  <c r="AT983" i="76"/>
  <c r="AT982" i="76"/>
  <c r="AT981" i="76"/>
  <c r="AT980" i="76"/>
  <c r="AT979" i="76"/>
  <c r="AT978" i="76"/>
  <c r="AT977" i="76"/>
  <c r="AT976" i="76"/>
  <c r="AT975" i="76"/>
  <c r="AT974" i="76"/>
  <c r="AT973" i="76"/>
  <c r="AT972" i="76"/>
  <c r="AT971" i="76"/>
  <c r="AT970" i="76"/>
  <c r="AT969" i="76"/>
  <c r="AT968" i="76"/>
  <c r="AT967" i="76"/>
  <c r="AT966" i="76"/>
  <c r="AT965" i="76"/>
  <c r="AT964" i="76"/>
  <c r="AT963" i="76"/>
  <c r="AT962" i="76"/>
  <c r="AT961" i="76"/>
  <c r="AT960" i="76"/>
  <c r="AT959" i="76"/>
  <c r="AT958" i="76"/>
  <c r="AT951" i="76"/>
  <c r="AT949" i="76"/>
  <c r="AT948" i="76"/>
  <c r="AT947" i="76"/>
  <c r="AT946" i="76"/>
  <c r="AT945" i="76"/>
  <c r="AT941" i="76"/>
  <c r="AT940" i="76"/>
  <c r="AT939" i="76"/>
  <c r="AT935" i="76"/>
  <c r="AT931" i="76"/>
  <c r="AT950" i="76"/>
  <c r="AT920" i="76"/>
  <c r="AT922" i="76"/>
  <c r="AT921" i="76"/>
  <c r="AT915" i="76"/>
  <c r="AT916" i="76"/>
  <c r="AT879" i="76"/>
  <c r="AT911" i="76"/>
  <c r="AT907" i="76"/>
  <c r="AT903" i="76"/>
  <c r="AT902" i="76"/>
  <c r="AT901" i="76"/>
  <c r="AT900" i="76"/>
  <c r="AT899" i="76"/>
  <c r="AT898" i="76"/>
  <c r="AT897" i="76"/>
  <c r="AT896" i="76"/>
  <c r="AT895" i="76"/>
  <c r="AT894" i="76"/>
  <c r="AT887" i="76"/>
  <c r="AT886" i="76"/>
  <c r="AT885" i="76"/>
  <c r="AT884" i="76"/>
  <c r="AT883" i="76"/>
  <c r="AT875" i="76"/>
  <c r="AT874" i="76"/>
  <c r="AT867" i="76"/>
  <c r="AT866" i="76"/>
  <c r="AT859" i="76"/>
  <c r="AT865" i="76"/>
  <c r="AT864" i="76"/>
  <c r="AT860" i="76"/>
  <c r="AT858" i="76"/>
  <c r="AT857" i="76"/>
  <c r="AT856" i="76"/>
  <c r="AT855" i="76"/>
  <c r="AT854" i="76"/>
  <c r="AT853" i="76"/>
  <c r="AT852" i="76"/>
  <c r="AT848" i="76"/>
  <c r="AT847" i="76"/>
  <c r="AT843" i="76"/>
  <c r="AT842" i="76"/>
  <c r="AT835" i="76"/>
  <c r="AT834" i="76"/>
  <c r="AT824" i="76"/>
  <c r="AT833" i="76"/>
  <c r="AT829" i="76"/>
  <c r="AT828" i="76"/>
  <c r="AT823" i="76"/>
  <c r="AT819" i="76"/>
  <c r="AT818" i="76"/>
  <c r="AT811" i="76"/>
  <c r="AT807" i="76"/>
  <c r="AT810" i="76"/>
  <c r="AT809" i="76"/>
  <c r="AT808" i="76"/>
  <c r="AT803" i="76"/>
  <c r="AT790" i="76"/>
  <c r="AT801" i="76"/>
  <c r="AT800" i="76"/>
  <c r="AT799" i="76"/>
  <c r="AT795" i="76"/>
  <c r="AT794" i="76"/>
  <c r="AT788" i="76"/>
  <c r="AT779" i="76"/>
  <c r="AT777" i="76"/>
  <c r="AT774" i="76"/>
  <c r="AT776" i="76"/>
  <c r="AT775" i="76"/>
  <c r="AT778" i="76"/>
  <c r="AT773" i="76"/>
  <c r="AT768" i="76"/>
  <c r="AT769" i="76"/>
  <c r="AT764" i="76"/>
  <c r="AT759" i="76"/>
  <c r="AT760" i="76"/>
  <c r="AT758" i="76"/>
  <c r="AT757" i="76"/>
  <c r="AT756" i="76"/>
  <c r="AT749" i="76"/>
  <c r="AT748" i="76"/>
  <c r="AT747" i="76"/>
  <c r="AT743" i="76"/>
  <c r="AT742" i="76"/>
  <c r="AT733" i="76"/>
  <c r="AT732" i="76"/>
  <c r="AT731" i="76"/>
  <c r="AT730" i="76"/>
  <c r="AT723" i="76"/>
  <c r="AT722" i="76"/>
  <c r="AT718" i="76"/>
  <c r="AT713" i="76"/>
  <c r="AT717" i="76"/>
  <c r="AT712" i="76"/>
  <c r="AT708" i="76"/>
  <c r="AT706" i="76"/>
  <c r="AT707" i="76"/>
  <c r="AT702" i="76"/>
  <c r="AT701" i="76"/>
  <c r="AT694" i="76"/>
  <c r="AT693" i="76"/>
  <c r="AT692" i="76"/>
  <c r="AT691" i="76"/>
  <c r="AT690" i="76"/>
  <c r="AT689" i="76"/>
  <c r="AT685" i="76"/>
  <c r="AT681" i="76"/>
  <c r="AT674" i="76"/>
  <c r="AT673" i="76"/>
  <c r="AT672" i="76"/>
  <c r="AT668" i="76"/>
  <c r="AT664" i="76"/>
  <c r="AT663" i="76"/>
  <c r="AT658" i="76"/>
  <c r="AT654" i="76"/>
  <c r="AT647" i="76"/>
  <c r="AT646" i="76"/>
  <c r="AT645" i="76"/>
  <c r="AT641" i="76"/>
  <c r="AT637" i="76"/>
  <c r="AT630" i="76"/>
  <c r="AT628" i="76"/>
  <c r="AT627" i="76"/>
  <c r="AT626" i="76"/>
  <c r="AT622" i="76"/>
  <c r="AT618" i="76"/>
  <c r="AT617" i="76"/>
  <c r="AT613" i="76"/>
  <c r="AT612" i="76"/>
  <c r="AT605" i="76"/>
  <c r="AT604" i="76"/>
  <c r="AT603" i="76"/>
  <c r="AT602" i="76"/>
  <c r="AT601" i="76"/>
  <c r="AT597" i="76"/>
  <c r="AT596" i="76"/>
  <c r="AT592" i="76"/>
  <c r="AT591" i="76"/>
  <c r="AT584" i="76"/>
  <c r="AT583" i="76"/>
  <c r="AT582" i="76"/>
  <c r="AT572" i="76"/>
  <c r="AT578" i="76"/>
  <c r="AT577" i="76"/>
  <c r="AT573" i="76"/>
  <c r="AT569" i="76"/>
  <c r="AT565" i="76"/>
  <c r="AT570" i="76"/>
  <c r="AT571" i="76"/>
  <c r="AT561" i="76"/>
  <c r="AT554" i="76"/>
  <c r="AT553" i="76"/>
  <c r="AT551" i="76"/>
  <c r="AT550" i="76"/>
  <c r="AT549" i="76"/>
  <c r="AT544" i="76"/>
  <c r="AT540" i="76"/>
  <c r="AT539" i="76"/>
  <c r="AT535" i="76"/>
  <c r="AT534" i="76"/>
  <c r="AT533" i="76"/>
  <c r="AT529" i="76"/>
  <c r="AT528" i="76"/>
  <c r="AT527" i="76"/>
  <c r="AT526" i="76"/>
  <c r="AT519" i="76"/>
  <c r="AT518" i="76"/>
  <c r="AT517" i="76"/>
  <c r="AT516" i="76"/>
  <c r="AT515" i="76"/>
  <c r="AT511" i="76"/>
  <c r="AT510" i="76"/>
  <c r="AT506" i="76"/>
  <c r="AT505" i="76"/>
  <c r="AT504" i="76"/>
  <c r="AT503" i="76"/>
  <c r="AT494" i="76"/>
  <c r="AT493" i="76"/>
  <c r="AT492" i="76"/>
  <c r="AT491" i="76"/>
  <c r="AT490" i="76"/>
  <c r="AT485" i="76"/>
  <c r="AT484" i="76"/>
  <c r="AT483" i="76"/>
  <c r="AT482" i="76"/>
  <c r="AT481" i="76"/>
  <c r="AT480" i="76"/>
  <c r="AT486" i="76"/>
  <c r="AT473" i="76"/>
  <c r="AT472" i="76"/>
  <c r="AT471" i="76"/>
  <c r="AT470" i="76"/>
  <c r="AT469" i="76"/>
  <c r="AT468" i="76"/>
  <c r="AT467" i="76"/>
  <c r="AT466" i="76"/>
  <c r="AT465" i="76"/>
  <c r="AT460" i="76"/>
  <c r="AT461" i="76"/>
  <c r="AT455" i="76"/>
  <c r="AT459" i="76"/>
  <c r="AT451" i="76"/>
  <c r="AT447" i="76"/>
  <c r="AT445" i="76"/>
  <c r="AT444" i="76"/>
  <c r="AT443" i="76"/>
  <c r="AT436" i="76"/>
  <c r="AT425" i="76"/>
  <c r="AT435" i="76"/>
  <c r="AT434" i="76"/>
  <c r="AT430" i="76"/>
  <c r="AT426" i="76"/>
  <c r="AT423" i="76"/>
  <c r="AT422" i="76"/>
  <c r="AT424" i="76"/>
  <c r="AT417" i="76"/>
  <c r="AT409" i="76"/>
  <c r="AT408" i="76"/>
  <c r="AT404" i="76"/>
  <c r="AT402" i="76"/>
  <c r="AT400" i="76"/>
  <c r="AT389" i="76"/>
  <c r="AT401" i="76"/>
  <c r="AT399" i="76"/>
  <c r="AT398" i="76"/>
  <c r="AT394" i="76"/>
  <c r="AT390" i="76"/>
  <c r="AT418" i="76"/>
  <c r="AT388" i="76"/>
  <c r="AT387" i="76"/>
  <c r="AT386" i="76"/>
  <c r="AT379" i="76"/>
  <c r="AT378" i="76"/>
  <c r="AT374" i="76"/>
  <c r="AT370" i="76"/>
  <c r="AT363" i="76"/>
  <c r="AT362" i="76"/>
  <c r="AT361" i="76"/>
  <c r="AT357" i="76"/>
  <c r="AT356" i="76"/>
  <c r="AT352" i="76"/>
  <c r="AT348" i="76"/>
  <c r="AT347" i="76"/>
  <c r="AT346" i="76"/>
  <c r="AT342" i="76"/>
  <c r="AT341" i="76"/>
  <c r="AT340" i="76"/>
  <c r="AT339" i="76"/>
  <c r="AT338" i="76"/>
  <c r="AT337" i="76"/>
  <c r="AT330" i="76"/>
  <c r="AT329" i="76"/>
  <c r="AT328" i="76"/>
  <c r="AT327" i="76"/>
  <c r="AT326" i="76"/>
  <c r="AT317" i="76"/>
  <c r="AT321" i="76"/>
  <c r="AT322" i="76"/>
  <c r="AT313" i="76"/>
  <c r="AT312" i="76"/>
  <c r="AT311" i="76"/>
  <c r="AT310" i="76"/>
  <c r="AT309" i="76"/>
  <c r="AT308" i="76"/>
  <c r="AT301" i="76"/>
  <c r="AT300" i="76"/>
  <c r="AT299" i="76"/>
  <c r="AT298" i="76"/>
  <c r="AT293" i="76"/>
  <c r="AT288" i="76"/>
  <c r="AT287" i="76"/>
  <c r="AT292" i="76"/>
  <c r="AT285" i="76"/>
  <c r="AT284" i="76"/>
  <c r="AT283" i="76"/>
  <c r="AT273" i="76"/>
  <c r="AT276" i="76"/>
  <c r="AT275" i="76"/>
  <c r="AT274" i="76"/>
  <c r="AT269" i="76"/>
  <c r="AT268" i="76"/>
  <c r="AT267" i="76"/>
  <c r="AT259" i="76"/>
  <c r="AT263" i="76"/>
  <c r="AT258" i="76"/>
  <c r="AT257" i="76"/>
  <c r="AT256" i="76"/>
  <c r="AT249" i="76"/>
  <c r="AT248" i="76"/>
  <c r="AT247" i="76"/>
  <c r="AT246" i="76"/>
  <c r="AT245" i="76"/>
  <c r="AT244" i="76"/>
  <c r="AT238" i="76"/>
  <c r="AT240" i="76"/>
  <c r="AT239" i="76"/>
  <c r="AT237" i="76"/>
  <c r="AT230" i="76"/>
  <c r="AT236" i="76"/>
  <c r="AT235" i="76"/>
  <c r="AT229" i="76"/>
  <c r="AT231" i="76"/>
  <c r="AT228" i="76"/>
  <c r="AT224" i="76"/>
  <c r="AT223" i="76"/>
  <c r="AT215" i="76"/>
  <c r="AT217" i="76"/>
  <c r="AT219" i="76"/>
  <c r="AT216" i="76"/>
  <c r="AT218" i="76"/>
  <c r="AT214" i="76"/>
  <c r="AT213" i="76"/>
  <c r="AT212" i="76"/>
  <c r="AT211" i="76"/>
  <c r="AT210" i="76"/>
  <c r="AT209" i="76"/>
  <c r="AT208" i="76"/>
  <c r="AT207" i="76"/>
  <c r="AT206" i="76"/>
  <c r="AT205" i="76"/>
  <c r="AT204" i="76"/>
  <c r="AT203" i="76"/>
  <c r="AT193" i="76"/>
  <c r="AT192" i="76"/>
  <c r="AT191" i="76"/>
  <c r="AT187" i="76"/>
  <c r="AT186" i="76"/>
  <c r="AT185" i="76"/>
  <c r="AT184" i="76"/>
  <c r="AT183" i="76"/>
  <c r="AT182" i="76"/>
  <c r="AT175" i="76"/>
  <c r="AT177" i="76"/>
  <c r="AT174" i="76"/>
  <c r="AT170" i="76"/>
  <c r="AT176" i="76"/>
  <c r="AT194" i="76"/>
  <c r="AT181" i="76"/>
  <c r="AT169" i="76"/>
  <c r="AT168" i="76"/>
  <c r="AT161" i="76"/>
  <c r="AT160" i="76"/>
  <c r="AT159" i="76"/>
  <c r="AT158" i="76"/>
  <c r="AT154" i="76"/>
  <c r="AT150" i="76"/>
  <c r="AT146" i="76"/>
  <c r="AT139" i="76"/>
  <c r="AT138" i="76"/>
  <c r="AT137" i="76"/>
  <c r="AT136" i="76"/>
  <c r="AT132" i="76"/>
  <c r="AT131" i="76"/>
  <c r="AT130" i="76"/>
  <c r="AT126" i="76"/>
  <c r="AT125" i="76"/>
  <c r="AT121" i="76"/>
  <c r="AT120" i="76"/>
  <c r="AT116" i="76"/>
  <c r="AT109" i="76"/>
  <c r="AT108" i="76"/>
  <c r="AT107" i="76"/>
  <c r="AT102" i="76"/>
  <c r="AT103" i="76"/>
  <c r="AT95" i="76"/>
  <c r="AT94" i="76"/>
  <c r="AT93" i="76"/>
  <c r="AT89" i="76"/>
  <c r="AT88" i="76"/>
  <c r="AT81" i="76"/>
  <c r="AT80" i="76"/>
  <c r="AT79" i="76"/>
  <c r="AT78" i="76"/>
  <c r="AT73" i="76"/>
  <c r="AT74" i="76"/>
  <c r="AT72" i="76"/>
  <c r="AT68" i="76"/>
  <c r="AT64" i="76"/>
  <c r="AT63" i="76"/>
  <c r="AT62" i="76"/>
  <c r="AT58" i="76"/>
  <c r="AT57" i="76"/>
  <c r="AT56" i="76"/>
  <c r="AT49" i="76"/>
  <c r="AT48" i="76"/>
  <c r="AT41" i="76"/>
  <c r="AT47" i="76"/>
  <c r="AT46" i="76"/>
  <c r="AT45" i="76"/>
  <c r="AT37" i="76"/>
  <c r="AT30" i="76"/>
  <c r="AT29" i="76"/>
  <c r="AT28" i="76"/>
  <c r="AT27" i="76"/>
  <c r="AT26" i="76"/>
  <c r="AT25" i="76"/>
  <c r="AT19" i="76"/>
  <c r="AT24" i="76"/>
  <c r="AT23" i="76"/>
  <c r="AT15" i="76"/>
  <c r="AT14" i="76"/>
  <c r="AT9" i="76"/>
  <c r="AT8" i="76"/>
  <c r="AT7" i="76"/>
  <c r="AT10" i="76"/>
  <c r="AT6" i="76"/>
  <c r="AT5" i="76"/>
  <c r="O948" i="76"/>
  <c r="AT405" i="76"/>
  <c r="AT406" i="76"/>
  <c r="AT407" i="76"/>
  <c r="AT410" i="76"/>
  <c r="AT411" i="76"/>
  <c r="AT412" i="76"/>
  <c r="AT413" i="76"/>
  <c r="AT414" i="76"/>
  <c r="AT415" i="76"/>
  <c r="AT416" i="76"/>
  <c r="AT419" i="76"/>
  <c r="AT420" i="76"/>
  <c r="AT421" i="76"/>
  <c r="AT427" i="76"/>
  <c r="AT428" i="76"/>
  <c r="AT429" i="76"/>
  <c r="AT431" i="76"/>
  <c r="AT432" i="76"/>
  <c r="AT433" i="76"/>
  <c r="AT437" i="76"/>
  <c r="AT438" i="76"/>
  <c r="AT439" i="76"/>
  <c r="AT440" i="76"/>
  <c r="AT441" i="76"/>
  <c r="AT442" i="76"/>
  <c r="AR432" i="76"/>
  <c r="AR433" i="76"/>
  <c r="AR434" i="76"/>
  <c r="AR435" i="76"/>
  <c r="AR425" i="76"/>
  <c r="AR436" i="76"/>
  <c r="AR437" i="76"/>
  <c r="AR438" i="76"/>
  <c r="AR439" i="76"/>
  <c r="AR440" i="76"/>
  <c r="O952" i="76" l="1"/>
  <c r="O954" i="76" s="1"/>
  <c r="X948" i="76"/>
  <c r="W948" i="76"/>
  <c r="AV4" i="76"/>
  <c r="AU4" i="76"/>
  <c r="P65" i="76"/>
  <c r="Q65" i="76"/>
  <c r="R65" i="76"/>
  <c r="M65" i="76"/>
  <c r="M474" i="76"/>
  <c r="P410" i="76"/>
  <c r="Q410" i="76"/>
  <c r="R410" i="76"/>
  <c r="M410" i="76"/>
  <c r="P232" i="76"/>
  <c r="Q232" i="76"/>
  <c r="R232" i="76"/>
  <c r="M232" i="76"/>
  <c r="AT4" i="76"/>
  <c r="O484" i="76"/>
  <c r="O327" i="76"/>
  <c r="O216" i="76"/>
  <c r="AR1037" i="76"/>
  <c r="AR1038" i="76"/>
  <c r="AR5" i="76"/>
  <c r="AR6" i="76"/>
  <c r="AR10" i="76"/>
  <c r="AS10" i="76" s="1"/>
  <c r="AR7" i="76"/>
  <c r="AR8" i="76"/>
  <c r="AR9" i="76"/>
  <c r="AR11" i="76"/>
  <c r="AR12" i="76"/>
  <c r="AR13" i="76"/>
  <c r="AR14" i="76"/>
  <c r="AR15" i="76"/>
  <c r="AR16" i="76"/>
  <c r="AR17" i="76"/>
  <c r="AR22" i="76"/>
  <c r="AR23" i="76"/>
  <c r="AR24" i="76"/>
  <c r="AR19" i="76"/>
  <c r="AR25" i="76"/>
  <c r="AR26" i="76"/>
  <c r="AR27" i="76"/>
  <c r="AR28" i="76"/>
  <c r="AR29" i="76"/>
  <c r="AR30" i="76"/>
  <c r="AR31" i="76"/>
  <c r="AR32" i="76"/>
  <c r="AR33" i="76"/>
  <c r="AR34" i="76"/>
  <c r="AR35" i="76"/>
  <c r="AR36" i="76"/>
  <c r="AR37" i="76"/>
  <c r="AR38" i="76"/>
  <c r="AR39" i="76"/>
  <c r="AR44" i="76"/>
  <c r="AR45" i="76"/>
  <c r="AR46" i="76"/>
  <c r="AR47" i="76"/>
  <c r="AR41" i="76"/>
  <c r="AR48" i="76"/>
  <c r="AR49" i="76"/>
  <c r="AR50" i="76"/>
  <c r="AR51" i="76"/>
  <c r="AR52" i="76"/>
  <c r="AR53" i="76"/>
  <c r="AR54" i="76"/>
  <c r="AR55" i="76"/>
  <c r="AR56" i="76"/>
  <c r="AR57" i="76"/>
  <c r="AR58" i="76"/>
  <c r="AR59" i="76"/>
  <c r="AR60" i="76"/>
  <c r="AR61" i="76"/>
  <c r="AR62" i="76"/>
  <c r="AR63" i="76"/>
  <c r="AR64" i="76"/>
  <c r="AR74" i="76"/>
  <c r="AR65" i="76"/>
  <c r="AR66" i="76"/>
  <c r="AR67" i="76"/>
  <c r="AR68" i="76"/>
  <c r="AR69" i="76"/>
  <c r="AR70" i="76"/>
  <c r="AR71" i="76"/>
  <c r="AR72" i="76"/>
  <c r="AR73" i="76"/>
  <c r="AR75" i="76"/>
  <c r="AR76" i="76"/>
  <c r="AR77" i="76"/>
  <c r="AR78" i="76"/>
  <c r="AR79" i="76"/>
  <c r="AR80" i="76"/>
  <c r="AR81" i="76"/>
  <c r="AR82" i="76"/>
  <c r="AR83" i="76"/>
  <c r="AR84" i="76"/>
  <c r="AR85" i="76"/>
  <c r="AR86" i="76"/>
  <c r="AR87" i="76"/>
  <c r="AR88" i="76"/>
  <c r="AS88" i="76" s="1"/>
  <c r="AR89" i="76"/>
  <c r="AR90" i="76"/>
  <c r="AR91" i="76"/>
  <c r="AR92" i="76"/>
  <c r="AR93" i="76"/>
  <c r="AR94" i="76"/>
  <c r="AR95" i="76"/>
  <c r="AR96" i="76"/>
  <c r="AR97" i="76"/>
  <c r="AR98" i="76"/>
  <c r="AR99" i="76"/>
  <c r="AR100" i="76"/>
  <c r="AR101" i="76"/>
  <c r="AR103" i="76"/>
  <c r="AR102" i="76"/>
  <c r="AS102" i="76" s="1"/>
  <c r="AR104" i="76"/>
  <c r="AR105" i="76"/>
  <c r="AR106" i="76"/>
  <c r="AR107" i="76"/>
  <c r="AR108" i="76"/>
  <c r="AR109" i="76"/>
  <c r="AR110" i="76"/>
  <c r="AR111" i="76"/>
  <c r="AR112" i="76"/>
  <c r="AR113" i="76"/>
  <c r="AR114" i="76"/>
  <c r="AR115" i="76"/>
  <c r="AR116" i="76"/>
  <c r="AR117" i="76"/>
  <c r="AR118" i="76"/>
  <c r="AR119" i="76"/>
  <c r="AR120" i="76"/>
  <c r="AR121" i="76"/>
  <c r="AR122" i="76"/>
  <c r="AR123" i="76"/>
  <c r="AR124" i="76"/>
  <c r="AR125" i="76"/>
  <c r="AR126" i="76"/>
  <c r="AR127" i="76"/>
  <c r="AR128" i="76"/>
  <c r="AR129" i="76"/>
  <c r="AR130" i="76"/>
  <c r="AR131" i="76"/>
  <c r="AR132" i="76"/>
  <c r="AR133" i="76"/>
  <c r="AR134" i="76"/>
  <c r="AR135" i="76"/>
  <c r="AR136" i="76"/>
  <c r="AR137" i="76"/>
  <c r="AR138" i="76"/>
  <c r="AR139" i="76"/>
  <c r="AR140" i="76"/>
  <c r="AR141" i="76"/>
  <c r="AR142" i="76"/>
  <c r="AR143" i="76"/>
  <c r="AR144" i="76"/>
  <c r="AR145" i="76"/>
  <c r="AR146" i="76"/>
  <c r="AR147" i="76"/>
  <c r="AR148" i="76"/>
  <c r="AR149" i="76"/>
  <c r="AR150" i="76"/>
  <c r="AR151" i="76"/>
  <c r="AR152" i="76"/>
  <c r="AR153" i="76"/>
  <c r="AR154" i="76"/>
  <c r="AR155" i="76"/>
  <c r="AR156" i="76"/>
  <c r="AR157" i="76"/>
  <c r="AR158" i="76"/>
  <c r="AR159" i="76"/>
  <c r="AR160" i="76"/>
  <c r="AR161" i="76"/>
  <c r="AR162" i="76"/>
  <c r="AR163" i="76"/>
  <c r="AR164" i="76"/>
  <c r="AR165" i="76"/>
  <c r="AR166" i="76"/>
  <c r="AR167" i="76"/>
  <c r="AR168" i="76"/>
  <c r="AR169" i="76"/>
  <c r="AR181" i="76"/>
  <c r="AR194" i="76"/>
  <c r="AR176" i="76"/>
  <c r="AR170" i="76"/>
  <c r="AR171" i="76"/>
  <c r="AR172" i="76"/>
  <c r="AR173" i="76"/>
  <c r="AR174" i="76"/>
  <c r="AR177" i="76"/>
  <c r="AR175" i="76"/>
  <c r="AR178" i="76"/>
  <c r="AR179" i="76"/>
  <c r="AR180" i="76"/>
  <c r="AR182" i="76"/>
  <c r="AR183" i="76"/>
  <c r="AR184" i="76"/>
  <c r="AR185" i="76"/>
  <c r="AR186" i="76"/>
  <c r="AR187" i="76"/>
  <c r="AR188" i="76"/>
  <c r="AR189" i="76"/>
  <c r="AR190" i="76"/>
  <c r="AR191" i="76"/>
  <c r="AR192" i="76"/>
  <c r="AR193" i="76"/>
  <c r="AR195" i="76"/>
  <c r="AR196" i="76"/>
  <c r="AR197" i="76"/>
  <c r="AR198" i="76"/>
  <c r="AR199" i="76"/>
  <c r="AR200" i="76"/>
  <c r="AR201" i="76"/>
  <c r="AR202" i="76"/>
  <c r="AR203" i="76"/>
  <c r="AS203" i="76" s="1"/>
  <c r="AR204" i="76"/>
  <c r="AS204" i="76" s="1"/>
  <c r="AR205" i="76"/>
  <c r="AS205" i="76" s="1"/>
  <c r="AR206" i="76"/>
  <c r="AR207" i="76"/>
  <c r="AR208" i="76"/>
  <c r="AS208" i="76" s="1"/>
  <c r="AR209" i="76"/>
  <c r="AS209" i="76" s="1"/>
  <c r="AR210" i="76"/>
  <c r="AR211" i="76"/>
  <c r="AR212" i="76"/>
  <c r="AR213" i="76"/>
  <c r="AR214" i="76"/>
  <c r="AR218" i="76"/>
  <c r="AS218" i="76" s="1"/>
  <c r="AR216" i="76"/>
  <c r="AR219" i="76"/>
  <c r="AR217" i="76"/>
  <c r="AS217" i="76" s="1"/>
  <c r="AR215" i="76"/>
  <c r="AR220" i="76"/>
  <c r="AR221" i="76"/>
  <c r="AR222" i="76"/>
  <c r="AR223" i="76"/>
  <c r="AR224" i="76"/>
  <c r="AR225" i="76"/>
  <c r="AR226" i="76"/>
  <c r="AR227" i="76"/>
  <c r="AR231" i="76"/>
  <c r="AR232" i="76"/>
  <c r="AR233" i="76"/>
  <c r="AR234" i="76"/>
  <c r="AR229" i="76"/>
  <c r="AR228" i="76"/>
  <c r="AR235" i="76"/>
  <c r="AR236" i="76"/>
  <c r="AR230" i="76"/>
  <c r="AR237" i="76"/>
  <c r="AR239" i="76"/>
  <c r="AR238" i="76"/>
  <c r="AR241" i="76"/>
  <c r="AR242" i="76"/>
  <c r="AR243" i="76"/>
  <c r="AR244" i="76"/>
  <c r="AR240" i="76"/>
  <c r="AR245" i="76"/>
  <c r="AR246" i="76"/>
  <c r="AR247" i="76"/>
  <c r="AR248" i="76"/>
  <c r="AR249" i="76"/>
  <c r="AR250" i="76"/>
  <c r="AR251" i="76"/>
  <c r="AR252" i="76"/>
  <c r="AR253" i="76"/>
  <c r="AR254" i="76"/>
  <c r="AR255" i="76"/>
  <c r="AR256" i="76"/>
  <c r="AR257" i="76"/>
  <c r="AR258" i="76"/>
  <c r="AR260" i="76"/>
  <c r="AR261" i="76"/>
  <c r="AR262" i="76"/>
  <c r="AR263" i="76"/>
  <c r="AR264" i="76"/>
  <c r="AR265" i="76"/>
  <c r="AR259" i="76"/>
  <c r="AR266" i="76"/>
  <c r="AR267" i="76"/>
  <c r="AR268" i="76"/>
  <c r="AR269" i="76"/>
  <c r="AR270" i="76"/>
  <c r="AR271" i="76"/>
  <c r="AR272" i="76"/>
  <c r="AR274" i="76"/>
  <c r="AR275" i="76"/>
  <c r="AR276" i="76"/>
  <c r="AR273" i="76"/>
  <c r="AR277" i="76"/>
  <c r="AR278" i="76"/>
  <c r="AR279" i="76"/>
  <c r="AR280" i="76"/>
  <c r="AR281" i="76"/>
  <c r="AR282" i="76"/>
  <c r="AR283" i="76"/>
  <c r="AR284" i="76"/>
  <c r="AR285" i="76"/>
  <c r="AR292" i="76"/>
  <c r="AR287" i="76"/>
  <c r="AS287" i="76" s="1"/>
  <c r="AR289" i="76"/>
  <c r="AR290" i="76"/>
  <c r="AR288" i="76"/>
  <c r="AR293" i="76"/>
  <c r="AR296" i="76"/>
  <c r="AR297" i="76"/>
  <c r="AR298" i="76"/>
  <c r="AR299" i="76"/>
  <c r="AR300" i="76"/>
  <c r="AR301" i="76"/>
  <c r="AR302" i="76"/>
  <c r="AR303" i="76"/>
  <c r="AR304" i="76"/>
  <c r="AR305" i="76"/>
  <c r="AR306" i="76"/>
  <c r="AR307" i="76"/>
  <c r="AR308" i="76"/>
  <c r="AS308" i="76" s="1"/>
  <c r="AR309" i="76"/>
  <c r="AR310" i="76"/>
  <c r="AS310" i="76" s="1"/>
  <c r="AR311" i="76"/>
  <c r="AR312" i="76"/>
  <c r="AR313" i="76"/>
  <c r="AR314" i="76"/>
  <c r="AR315" i="76"/>
  <c r="AR320" i="76"/>
  <c r="AR322" i="76"/>
  <c r="AR321" i="76"/>
  <c r="AR317" i="76"/>
  <c r="AR323" i="76"/>
  <c r="AR324" i="76"/>
  <c r="AR325" i="76"/>
  <c r="AR326" i="76"/>
  <c r="AR327" i="76"/>
  <c r="AR328" i="76"/>
  <c r="AR329" i="76"/>
  <c r="AR330" i="76"/>
  <c r="AR331" i="76"/>
  <c r="AR332" i="76"/>
  <c r="AR333" i="76"/>
  <c r="AR334" i="76"/>
  <c r="AR335" i="76"/>
  <c r="AR336" i="76"/>
  <c r="AR337" i="76"/>
  <c r="AS337" i="76" s="1"/>
  <c r="AR338" i="76"/>
  <c r="AR339" i="76"/>
  <c r="AS339" i="76" s="1"/>
  <c r="AR340" i="76"/>
  <c r="AS340" i="76" s="1"/>
  <c r="AR341" i="76"/>
  <c r="AR342" i="76"/>
  <c r="AR343" i="76"/>
  <c r="AR344" i="76"/>
  <c r="AR345" i="76"/>
  <c r="AR346" i="76"/>
  <c r="AR347" i="76"/>
  <c r="AR348" i="76"/>
  <c r="AR349" i="76"/>
  <c r="AR350" i="76"/>
  <c r="AR351" i="76"/>
  <c r="AR352" i="76"/>
  <c r="AR353" i="76"/>
  <c r="AR354" i="76"/>
  <c r="AR355" i="76"/>
  <c r="AR356" i="76"/>
  <c r="AR357" i="76"/>
  <c r="AR358" i="76"/>
  <c r="AR359" i="76"/>
  <c r="AR360" i="76"/>
  <c r="AR361" i="76"/>
  <c r="AR362" i="76"/>
  <c r="AR363" i="76"/>
  <c r="AR364" i="76"/>
  <c r="AR365" i="76"/>
  <c r="AR366" i="76"/>
  <c r="AR367" i="76"/>
  <c r="AR368" i="76"/>
  <c r="AR369" i="76"/>
  <c r="AR370" i="76"/>
  <c r="AR371" i="76"/>
  <c r="AR372" i="76"/>
  <c r="AR373" i="76"/>
  <c r="AR374" i="76"/>
  <c r="AR375" i="76"/>
  <c r="AR376" i="76"/>
  <c r="AR377" i="76"/>
  <c r="AR378" i="76"/>
  <c r="AR379" i="76"/>
  <c r="AR380" i="76"/>
  <c r="AR381" i="76"/>
  <c r="AR382" i="76"/>
  <c r="AR383" i="76"/>
  <c r="AR384" i="76"/>
  <c r="AR385" i="76"/>
  <c r="AR386" i="76"/>
  <c r="AS386" i="76" s="1"/>
  <c r="AR387" i="76"/>
  <c r="AS387" i="76" s="1"/>
  <c r="AR388" i="76"/>
  <c r="AR418" i="76"/>
  <c r="AR390" i="76"/>
  <c r="AR391" i="76"/>
  <c r="AR392" i="76"/>
  <c r="AR397" i="76"/>
  <c r="AR394" i="76"/>
  <c r="AR398" i="76"/>
  <c r="AR399" i="76"/>
  <c r="AR401" i="76"/>
  <c r="AR389" i="76"/>
  <c r="AR400" i="76"/>
  <c r="AR404" i="76"/>
  <c r="AR405" i="76"/>
  <c r="AR406" i="76"/>
  <c r="AR407" i="76"/>
  <c r="AR402" i="76"/>
  <c r="AR408" i="76"/>
  <c r="AR409" i="76"/>
  <c r="AR410" i="76"/>
  <c r="AR411" i="76"/>
  <c r="AR412" i="76"/>
  <c r="AR413" i="76"/>
  <c r="AR414" i="76"/>
  <c r="AR415" i="76"/>
  <c r="AR416" i="76"/>
  <c r="AR417" i="76"/>
  <c r="AR419" i="76"/>
  <c r="AR420" i="76"/>
  <c r="AR421" i="76"/>
  <c r="AR424" i="76"/>
  <c r="AR422" i="76"/>
  <c r="AR423" i="76"/>
  <c r="AR426" i="76"/>
  <c r="AR427" i="76"/>
  <c r="AR428" i="76"/>
  <c r="AR429" i="76"/>
  <c r="AR430" i="76"/>
  <c r="AR431" i="76"/>
  <c r="AR441" i="76"/>
  <c r="AR442" i="76"/>
  <c r="AR443" i="76"/>
  <c r="AR444" i="76"/>
  <c r="AR445" i="76"/>
  <c r="AR447" i="76"/>
  <c r="AR448" i="76"/>
  <c r="AR449" i="76"/>
  <c r="AR450" i="76"/>
  <c r="AR451" i="76"/>
  <c r="AR452" i="76"/>
  <c r="AR453" i="76"/>
  <c r="AR458" i="76"/>
  <c r="AR459" i="76"/>
  <c r="AR455" i="76"/>
  <c r="AR460" i="76"/>
  <c r="AR462" i="76"/>
  <c r="AR463" i="76"/>
  <c r="AR464" i="76"/>
  <c r="AR465" i="76"/>
  <c r="AR466" i="76"/>
  <c r="AR467" i="76"/>
  <c r="AR468" i="76"/>
  <c r="AR469" i="76"/>
  <c r="AR470" i="76"/>
  <c r="AR471" i="76"/>
  <c r="AR472" i="76"/>
  <c r="AR461" i="76"/>
  <c r="AR473" i="76"/>
  <c r="AR474" i="76"/>
  <c r="AR475" i="76"/>
  <c r="AR476" i="76"/>
  <c r="AR477" i="76"/>
  <c r="AR478" i="76"/>
  <c r="AR479" i="76"/>
  <c r="AR486" i="76"/>
  <c r="AR480" i="76"/>
  <c r="AR481" i="76"/>
  <c r="AR482" i="76"/>
  <c r="AR483" i="76"/>
  <c r="AR484" i="76"/>
  <c r="AS484" i="76" s="1"/>
  <c r="AR485" i="76"/>
  <c r="AR487" i="76"/>
  <c r="AR488" i="76"/>
  <c r="AR489" i="76"/>
  <c r="AR490" i="76"/>
  <c r="AR491" i="76"/>
  <c r="AR492" i="76"/>
  <c r="AR493" i="76"/>
  <c r="AR494" i="76"/>
  <c r="AR495" i="76"/>
  <c r="AR496" i="76"/>
  <c r="AR497" i="76"/>
  <c r="AR498" i="76"/>
  <c r="AR499" i="76"/>
  <c r="AR500" i="76"/>
  <c r="AR501" i="76"/>
  <c r="AR502" i="76"/>
  <c r="AR503" i="76"/>
  <c r="AR504" i="76"/>
  <c r="AR505" i="76"/>
  <c r="AR506" i="76"/>
  <c r="AR507" i="76"/>
  <c r="AR508" i="76"/>
  <c r="AR509" i="76"/>
  <c r="AR510" i="76"/>
  <c r="AR512" i="76"/>
  <c r="AR513" i="76"/>
  <c r="AR514" i="76"/>
  <c r="AR511" i="76"/>
  <c r="AR515" i="76"/>
  <c r="AR516" i="76"/>
  <c r="AR517" i="76"/>
  <c r="AR518" i="76"/>
  <c r="AR519" i="76"/>
  <c r="AR520" i="76"/>
  <c r="AR521" i="76"/>
  <c r="AR522" i="76"/>
  <c r="AR523" i="76"/>
  <c r="AR524" i="76"/>
  <c r="AR525" i="76"/>
  <c r="AR526" i="76"/>
  <c r="AR527" i="76"/>
  <c r="AR528" i="76"/>
  <c r="AS528" i="76" s="1"/>
  <c r="AR529" i="76"/>
  <c r="AR530" i="76"/>
  <c r="AR531" i="76"/>
  <c r="AR532" i="76"/>
  <c r="AR533" i="76"/>
  <c r="AR534" i="76"/>
  <c r="AR535" i="76"/>
  <c r="AR536" i="76"/>
  <c r="AR537" i="76"/>
  <c r="AR538" i="76"/>
  <c r="AR539" i="76"/>
  <c r="AR540" i="76"/>
  <c r="AR541" i="76"/>
  <c r="AR542" i="76"/>
  <c r="AR543" i="76"/>
  <c r="AR544" i="76"/>
  <c r="AR546" i="76"/>
  <c r="AR547" i="76"/>
  <c r="AR548" i="76"/>
  <c r="AR549" i="76"/>
  <c r="AR550" i="76"/>
  <c r="AR551" i="76"/>
  <c r="AR553" i="76"/>
  <c r="AR554" i="76"/>
  <c r="AR555" i="76"/>
  <c r="AR556" i="76"/>
  <c r="AR557" i="76"/>
  <c r="AR558" i="76"/>
  <c r="AR559" i="76"/>
  <c r="AR560" i="76"/>
  <c r="AR561" i="76"/>
  <c r="AR571" i="76"/>
  <c r="AR570" i="76"/>
  <c r="AR562" i="76"/>
  <c r="AR563" i="76"/>
  <c r="AR564" i="76"/>
  <c r="AR565" i="76"/>
  <c r="AR566" i="76"/>
  <c r="AR567" i="76"/>
  <c r="AR568" i="76"/>
  <c r="AR569" i="76"/>
  <c r="AR573" i="76"/>
  <c r="AS573" i="76" s="1"/>
  <c r="AR574" i="76"/>
  <c r="AR575" i="76"/>
  <c r="AR576" i="76"/>
  <c r="AR577" i="76"/>
  <c r="AR572" i="76"/>
  <c r="AR579" i="76"/>
  <c r="AR580" i="76"/>
  <c r="AR581" i="76"/>
  <c r="AR582" i="76"/>
  <c r="AR583" i="76"/>
  <c r="AR578" i="76"/>
  <c r="AR584" i="76"/>
  <c r="AR585" i="76"/>
  <c r="AR586" i="76"/>
  <c r="AR587" i="76"/>
  <c r="AR588" i="76"/>
  <c r="AR589" i="76"/>
  <c r="AR590" i="76"/>
  <c r="AR591" i="76"/>
  <c r="AR592" i="76"/>
  <c r="AR593" i="76"/>
  <c r="AR594" i="76"/>
  <c r="AR595" i="76"/>
  <c r="AR596" i="76"/>
  <c r="AR597" i="76"/>
  <c r="AR598" i="76"/>
  <c r="AR599" i="76"/>
  <c r="AR600" i="76"/>
  <c r="AR601" i="76"/>
  <c r="AR602" i="76"/>
  <c r="AR603" i="76"/>
  <c r="AR604" i="76"/>
  <c r="AR605" i="76"/>
  <c r="AR606" i="76"/>
  <c r="AR607" i="76"/>
  <c r="AR608" i="76"/>
  <c r="AR609" i="76"/>
  <c r="AR610" i="76"/>
  <c r="AR611" i="76"/>
  <c r="AR612" i="76"/>
  <c r="AR613" i="76"/>
  <c r="AR614" i="76"/>
  <c r="AR615" i="76"/>
  <c r="AR616" i="76"/>
  <c r="AR617" i="76"/>
  <c r="AR618" i="76"/>
  <c r="AR619" i="76"/>
  <c r="AR620" i="76"/>
  <c r="AR621" i="76"/>
  <c r="AR622" i="76"/>
  <c r="AR623" i="76"/>
  <c r="AR624" i="76"/>
  <c r="AR625" i="76"/>
  <c r="AR626" i="76"/>
  <c r="AR627" i="76"/>
  <c r="AR628" i="76"/>
  <c r="AR630" i="76"/>
  <c r="AR631" i="76"/>
  <c r="AR632" i="76"/>
  <c r="AR633" i="76"/>
  <c r="AR634" i="76"/>
  <c r="AR635" i="76"/>
  <c r="AR636" i="76"/>
  <c r="AR637" i="76"/>
  <c r="AS637" i="76" s="1"/>
  <c r="AR638" i="76"/>
  <c r="AR639" i="76"/>
  <c r="AR640" i="76"/>
  <c r="AR641" i="76"/>
  <c r="AR642" i="76"/>
  <c r="AR643" i="76"/>
  <c r="AR644" i="76"/>
  <c r="AR645" i="76"/>
  <c r="AR646" i="76"/>
  <c r="AR647" i="76"/>
  <c r="AR648" i="76"/>
  <c r="AR649" i="76"/>
  <c r="AR650" i="76"/>
  <c r="AR651" i="76"/>
  <c r="AR652" i="76"/>
  <c r="AR653" i="76"/>
  <c r="AR654" i="76"/>
  <c r="AS654" i="76" s="1"/>
  <c r="AR655" i="76"/>
  <c r="AR656" i="76"/>
  <c r="AR657" i="76"/>
  <c r="AR658" i="76"/>
  <c r="AR660" i="76"/>
  <c r="AR661" i="76"/>
  <c r="AR662" i="76"/>
  <c r="AR663" i="76"/>
  <c r="AR665" i="76"/>
  <c r="AR666" i="76"/>
  <c r="AR667" i="76"/>
  <c r="AR664" i="76"/>
  <c r="AR668" i="76"/>
  <c r="AR669" i="76"/>
  <c r="AR670" i="76"/>
  <c r="AR671" i="76"/>
  <c r="AR672" i="76"/>
  <c r="AR673" i="76"/>
  <c r="AR674" i="76"/>
  <c r="AR675" i="76"/>
  <c r="AR676" i="76"/>
  <c r="AR677" i="76"/>
  <c r="AR678" i="76"/>
  <c r="AR679" i="76"/>
  <c r="AR680" i="76"/>
  <c r="AR681" i="76"/>
  <c r="AR682" i="76"/>
  <c r="AR683" i="76"/>
  <c r="AR684" i="76"/>
  <c r="AR685" i="76"/>
  <c r="AR686" i="76"/>
  <c r="AR687" i="76"/>
  <c r="AR688" i="76"/>
  <c r="AR689" i="76"/>
  <c r="AR690" i="76"/>
  <c r="AR691" i="76"/>
  <c r="AR692" i="76"/>
  <c r="AR693" i="76"/>
  <c r="AR694" i="76"/>
  <c r="AR695" i="76"/>
  <c r="AR696" i="76"/>
  <c r="AR697" i="76"/>
  <c r="AR698" i="76"/>
  <c r="AR699" i="76"/>
  <c r="AR700" i="76"/>
  <c r="AR701" i="76"/>
  <c r="AR702" i="76"/>
  <c r="AS702" i="76" s="1"/>
  <c r="AR707" i="76"/>
  <c r="AR703" i="76"/>
  <c r="AR704" i="76"/>
  <c r="AR705" i="76"/>
  <c r="AR706" i="76"/>
  <c r="AR708" i="76"/>
  <c r="AR709" i="76"/>
  <c r="AR710" i="76"/>
  <c r="AR711" i="76"/>
  <c r="AR712" i="76"/>
  <c r="AR714" i="76"/>
  <c r="AR715" i="76"/>
  <c r="AR716" i="76"/>
  <c r="AR717" i="76"/>
  <c r="AR713" i="76"/>
  <c r="AR718" i="76"/>
  <c r="AR719" i="76"/>
  <c r="AR720" i="76"/>
  <c r="AR721" i="76"/>
  <c r="AR722" i="76"/>
  <c r="AR723" i="76"/>
  <c r="AR724" i="76"/>
  <c r="AR725" i="76"/>
  <c r="AR726" i="76"/>
  <c r="AR727" i="76"/>
  <c r="AR728" i="76"/>
  <c r="AR729" i="76"/>
  <c r="AR730" i="76"/>
  <c r="AS730" i="76" s="1"/>
  <c r="AR731" i="76"/>
  <c r="AR732" i="76"/>
  <c r="AR733" i="76"/>
  <c r="AR734" i="76"/>
  <c r="AR735" i="76"/>
  <c r="AR741" i="76"/>
  <c r="AR742" i="76"/>
  <c r="AR744" i="76"/>
  <c r="AR745" i="76"/>
  <c r="AR746" i="76"/>
  <c r="AR743" i="76"/>
  <c r="AR747" i="76"/>
  <c r="AR748" i="76"/>
  <c r="AR749" i="76"/>
  <c r="AR750" i="76"/>
  <c r="AR751" i="76"/>
  <c r="AR752" i="76"/>
  <c r="AR753" i="76"/>
  <c r="AR754" i="76"/>
  <c r="AR755" i="76"/>
  <c r="AR756" i="76"/>
  <c r="AR757" i="76"/>
  <c r="AR758" i="76"/>
  <c r="AR760" i="76"/>
  <c r="AR759" i="76"/>
  <c r="AR761" i="76"/>
  <c r="AR762" i="76"/>
  <c r="AR763" i="76"/>
  <c r="AR764" i="76"/>
  <c r="AR769" i="76"/>
  <c r="AR765" i="76"/>
  <c r="AR766" i="76"/>
  <c r="AR767" i="76"/>
  <c r="AR768" i="76"/>
  <c r="AR770" i="76"/>
  <c r="AR771" i="76"/>
  <c r="AR772" i="76"/>
  <c r="AR773" i="76"/>
  <c r="AR778" i="76"/>
  <c r="AR775" i="76"/>
  <c r="AR776" i="76"/>
  <c r="AR774" i="76"/>
  <c r="AR777" i="76"/>
  <c r="AR779" i="76"/>
  <c r="AR780" i="76"/>
  <c r="AR781" i="76"/>
  <c r="AR782" i="76"/>
  <c r="AR783" i="76"/>
  <c r="AR784" i="76"/>
  <c r="AR785" i="76"/>
  <c r="AR786" i="76"/>
  <c r="AR787" i="76"/>
  <c r="AR788" i="76"/>
  <c r="AR791" i="76"/>
  <c r="AR792" i="76"/>
  <c r="AR793" i="76"/>
  <c r="AR794" i="76"/>
  <c r="AR795" i="76"/>
  <c r="AR796" i="76"/>
  <c r="AR797" i="76"/>
  <c r="AR798" i="76"/>
  <c r="AR799" i="76"/>
  <c r="AR803" i="76"/>
  <c r="AR804" i="76"/>
  <c r="AR805" i="76"/>
  <c r="AR806" i="76"/>
  <c r="AR790" i="76"/>
  <c r="AR801" i="76"/>
  <c r="AR800" i="76"/>
  <c r="AR808" i="76"/>
  <c r="AR809" i="76"/>
  <c r="AR810" i="76"/>
  <c r="AR807" i="76"/>
  <c r="AR811" i="76"/>
  <c r="AR812" i="76"/>
  <c r="AR813" i="76"/>
  <c r="AR814" i="76"/>
  <c r="AR815" i="76"/>
  <c r="AR816" i="76"/>
  <c r="AR817" i="76"/>
  <c r="AR818" i="76"/>
  <c r="AS818" i="76" s="1"/>
  <c r="AR819" i="76"/>
  <c r="AR820" i="76"/>
  <c r="AR821" i="76"/>
  <c r="AR822" i="76"/>
  <c r="AR823" i="76"/>
  <c r="AR825" i="76"/>
  <c r="AR826" i="76"/>
  <c r="AR827" i="76"/>
  <c r="AR828" i="76"/>
  <c r="AR829" i="76"/>
  <c r="AR830" i="76"/>
  <c r="AR831" i="76"/>
  <c r="AR832" i="76"/>
  <c r="AR833" i="76"/>
  <c r="AR824" i="76"/>
  <c r="AR834" i="76"/>
  <c r="AR835" i="76"/>
  <c r="AR836" i="76"/>
  <c r="AR837" i="76"/>
  <c r="AR838" i="76"/>
  <c r="AR839" i="76"/>
  <c r="AR840" i="76"/>
  <c r="AR841" i="76"/>
  <c r="AR842" i="76"/>
  <c r="AS842" i="76" s="1"/>
  <c r="AR843" i="76"/>
  <c r="AR844" i="76"/>
  <c r="AR845" i="76"/>
  <c r="AR846" i="76"/>
  <c r="AR847" i="76"/>
  <c r="AR848" i="76"/>
  <c r="AR849" i="76"/>
  <c r="AR850" i="76"/>
  <c r="AR851" i="76"/>
  <c r="AR852" i="76"/>
  <c r="AR853" i="76"/>
  <c r="AR861" i="76"/>
  <c r="AR862" i="76"/>
  <c r="AR863" i="76"/>
  <c r="AR864" i="76"/>
  <c r="AR856" i="76"/>
  <c r="AR857" i="76"/>
  <c r="AR858" i="76"/>
  <c r="AR860" i="76"/>
  <c r="AR865" i="76"/>
  <c r="AR854" i="76"/>
  <c r="AR866" i="76"/>
  <c r="AR867" i="76"/>
  <c r="AR855" i="76"/>
  <c r="AR868" i="76"/>
  <c r="AR869" i="76"/>
  <c r="AR870" i="76"/>
  <c r="AR871" i="76"/>
  <c r="AR872" i="76"/>
  <c r="AR873" i="76"/>
  <c r="AR874" i="76"/>
  <c r="AS874" i="76" s="1"/>
  <c r="AR875" i="76"/>
  <c r="AR876" i="76"/>
  <c r="AR877" i="76"/>
  <c r="AR882" i="76"/>
  <c r="AR883" i="76"/>
  <c r="AR884" i="76"/>
  <c r="AR885" i="76"/>
  <c r="AR886" i="76"/>
  <c r="AR887" i="76"/>
  <c r="AR888" i="76"/>
  <c r="AR889" i="76"/>
  <c r="AR890" i="76"/>
  <c r="AR891" i="76"/>
  <c r="AR892" i="76"/>
  <c r="AR893" i="76"/>
  <c r="AR894" i="76"/>
  <c r="AS894" i="76" s="1"/>
  <c r="AR895" i="76"/>
  <c r="AR896" i="76"/>
  <c r="AR897" i="76"/>
  <c r="AS897" i="76" s="1"/>
  <c r="AR898" i="76"/>
  <c r="AS898" i="76" s="1"/>
  <c r="AR899" i="76"/>
  <c r="AR900" i="76"/>
  <c r="AR901" i="76"/>
  <c r="AR902" i="76"/>
  <c r="AR903" i="76"/>
  <c r="AR904" i="76"/>
  <c r="AR905" i="76"/>
  <c r="AR906" i="76"/>
  <c r="AR907" i="76"/>
  <c r="AS907" i="76" s="1"/>
  <c r="AR908" i="76"/>
  <c r="AR909" i="76"/>
  <c r="AR910" i="76"/>
  <c r="AR911" i="76"/>
  <c r="AR879" i="76"/>
  <c r="AR916" i="76"/>
  <c r="AR912" i="76"/>
  <c r="AR913" i="76"/>
  <c r="AR914" i="76"/>
  <c r="AR915" i="76"/>
  <c r="AR917" i="76"/>
  <c r="AR918" i="76"/>
  <c r="AR919" i="76"/>
  <c r="AR921" i="76"/>
  <c r="AR922" i="76"/>
  <c r="AR920" i="76"/>
  <c r="AR923" i="76"/>
  <c r="AR924" i="76"/>
  <c r="AR925" i="76"/>
  <c r="AR926" i="76"/>
  <c r="AR927" i="76"/>
  <c r="AR950" i="76"/>
  <c r="AR929" i="76"/>
  <c r="AR930" i="76"/>
  <c r="AR931" i="76"/>
  <c r="AR932" i="76"/>
  <c r="AR933" i="76"/>
  <c r="AR934" i="76"/>
  <c r="AR935" i="76"/>
  <c r="AR936" i="76"/>
  <c r="AR937" i="76"/>
  <c r="AR938" i="76"/>
  <c r="AR939" i="76"/>
  <c r="AR940" i="76"/>
  <c r="AR941" i="76"/>
  <c r="AR942" i="76"/>
  <c r="AR943" i="76"/>
  <c r="AR944" i="76"/>
  <c r="AR945" i="76"/>
  <c r="AR946" i="76"/>
  <c r="AR947" i="76"/>
  <c r="AR948" i="76"/>
  <c r="AR949" i="76"/>
  <c r="AR951" i="76"/>
  <c r="AR952" i="76"/>
  <c r="AR953" i="76"/>
  <c r="AR954" i="76"/>
  <c r="AR955" i="76"/>
  <c r="AR956" i="76"/>
  <c r="AR957" i="76"/>
  <c r="AR958" i="76"/>
  <c r="AR959" i="76"/>
  <c r="AR960" i="76"/>
  <c r="AR961" i="76"/>
  <c r="AR962" i="76"/>
  <c r="AR963" i="76"/>
  <c r="AS963" i="76" s="1"/>
  <c r="AR964" i="76"/>
  <c r="AR965" i="76"/>
  <c r="AR966" i="76"/>
  <c r="AR967" i="76"/>
  <c r="AR968" i="76"/>
  <c r="AR969" i="76"/>
  <c r="AR970" i="76"/>
  <c r="AR971" i="76"/>
  <c r="AR972" i="76"/>
  <c r="AR973" i="76"/>
  <c r="AR974" i="76"/>
  <c r="AR975" i="76"/>
  <c r="AR976" i="76"/>
  <c r="AR977" i="76"/>
  <c r="AR978" i="76"/>
  <c r="AR979" i="76"/>
  <c r="AR980" i="76"/>
  <c r="AR981" i="76"/>
  <c r="AR982" i="76"/>
  <c r="AR983" i="76"/>
  <c r="AR984" i="76"/>
  <c r="AR985" i="76"/>
  <c r="AR986" i="76"/>
  <c r="AR987" i="76"/>
  <c r="AR988" i="76"/>
  <c r="AR989" i="76"/>
  <c r="AR990" i="76"/>
  <c r="AR991" i="76"/>
  <c r="AR992" i="76"/>
  <c r="AR993" i="76"/>
  <c r="AR994" i="76"/>
  <c r="AR995" i="76"/>
  <c r="AR996" i="76"/>
  <c r="AS996" i="76" s="1"/>
  <c r="AR997" i="76"/>
  <c r="AR998" i="76"/>
  <c r="AR999" i="76"/>
  <c r="AR1000" i="76"/>
  <c r="AR1001" i="76"/>
  <c r="AR1002" i="76"/>
  <c r="AR1003" i="76"/>
  <c r="AR1004" i="76"/>
  <c r="AR1005" i="76"/>
  <c r="AR1006" i="76"/>
  <c r="AR1011" i="76"/>
  <c r="AR1008" i="76"/>
  <c r="AR1012" i="76"/>
  <c r="AR1013" i="76"/>
  <c r="AR1014" i="76"/>
  <c r="AR1015" i="76"/>
  <c r="AR1016" i="76"/>
  <c r="AR1017" i="76"/>
  <c r="AR1018" i="76"/>
  <c r="AR1019" i="76"/>
  <c r="AR1020" i="76"/>
  <c r="AR1021" i="76"/>
  <c r="AR1022" i="76"/>
  <c r="AR1023" i="76"/>
  <c r="AR1024" i="76"/>
  <c r="AR1026" i="76"/>
  <c r="AR1027" i="76"/>
  <c r="AR1028" i="76"/>
  <c r="AR1029" i="76"/>
  <c r="AR1030" i="76"/>
  <c r="AR1031" i="76"/>
  <c r="AR1025" i="76"/>
  <c r="AR1032" i="76"/>
  <c r="AR1033" i="76"/>
  <c r="AR1034" i="76"/>
  <c r="AR1035" i="76"/>
  <c r="AR1036" i="76"/>
  <c r="AR4" i="76"/>
  <c r="AS4" i="76" s="1"/>
  <c r="AN1032" i="76"/>
  <c r="AN1025" i="76"/>
  <c r="AN1031" i="76"/>
  <c r="AN1030" i="76"/>
  <c r="AN1029" i="76"/>
  <c r="AN1028" i="76"/>
  <c r="AN1027" i="76"/>
  <c r="AN1026" i="76"/>
  <c r="AN1024" i="76"/>
  <c r="AN1023" i="76"/>
  <c r="AN1022" i="76"/>
  <c r="AN1021" i="76"/>
  <c r="AN1020" i="76"/>
  <c r="AN1019" i="76"/>
  <c r="AN1018" i="76"/>
  <c r="AN1017" i="76"/>
  <c r="AN1016" i="76"/>
  <c r="AN1015" i="76"/>
  <c r="AN1014" i="76"/>
  <c r="AN1013" i="76"/>
  <c r="AN1012" i="76"/>
  <c r="AN1008" i="76"/>
  <c r="AN1004" i="76"/>
  <c r="AN1003" i="76"/>
  <c r="AN1002" i="76"/>
  <c r="AN1001" i="76"/>
  <c r="AN1000" i="76"/>
  <c r="AN999" i="76"/>
  <c r="AN998" i="76"/>
  <c r="AN997" i="76"/>
  <c r="AN996" i="76"/>
  <c r="AN995" i="76"/>
  <c r="AN994" i="76"/>
  <c r="AN993" i="76"/>
  <c r="AN992" i="76"/>
  <c r="AN991" i="76"/>
  <c r="AN990" i="76"/>
  <c r="AN989" i="76"/>
  <c r="AN988" i="76"/>
  <c r="AN987" i="76"/>
  <c r="AN986" i="76"/>
  <c r="AN985" i="76"/>
  <c r="AN984" i="76"/>
  <c r="AN983" i="76"/>
  <c r="AN982" i="76"/>
  <c r="AN981" i="76"/>
  <c r="AN980" i="76"/>
  <c r="AN979" i="76"/>
  <c r="AN978" i="76"/>
  <c r="AN977" i="76"/>
  <c r="AN976" i="76"/>
  <c r="AN975" i="76"/>
  <c r="AN974" i="76"/>
  <c r="AN973" i="76"/>
  <c r="AN972" i="76"/>
  <c r="AN971" i="76"/>
  <c r="AN970" i="76"/>
  <c r="AN969" i="76"/>
  <c r="AN968" i="76"/>
  <c r="AN967" i="76"/>
  <c r="AN966" i="76"/>
  <c r="AN965" i="76"/>
  <c r="AN964" i="76"/>
  <c r="AN963" i="76"/>
  <c r="AN962" i="76"/>
  <c r="AN961" i="76"/>
  <c r="AN960" i="76"/>
  <c r="AN959" i="76"/>
  <c r="AN958" i="76"/>
  <c r="AN951" i="76"/>
  <c r="AN949" i="76"/>
  <c r="AN948" i="76"/>
  <c r="AN947" i="76"/>
  <c r="AN946" i="76"/>
  <c r="AN945" i="76"/>
  <c r="AN941" i="76"/>
  <c r="AN940" i="76"/>
  <c r="AN939" i="76"/>
  <c r="AN935" i="76"/>
  <c r="AN931" i="76"/>
  <c r="AN950" i="76"/>
  <c r="AN920" i="76"/>
  <c r="AN922" i="76"/>
  <c r="AN921" i="76"/>
  <c r="AN915" i="76"/>
  <c r="AN916" i="76"/>
  <c r="AN879" i="76"/>
  <c r="AN911" i="76"/>
  <c r="AN907" i="76"/>
  <c r="AN903" i="76"/>
  <c r="AN902" i="76"/>
  <c r="AN901" i="76"/>
  <c r="AN900" i="76"/>
  <c r="AN899" i="76"/>
  <c r="AN898" i="76"/>
  <c r="AN897" i="76"/>
  <c r="AN896" i="76"/>
  <c r="AN895" i="76"/>
  <c r="AN894" i="76"/>
  <c r="AN887" i="76"/>
  <c r="AN886" i="76"/>
  <c r="AN885" i="76"/>
  <c r="AN884" i="76"/>
  <c r="AN883" i="76"/>
  <c r="AN875" i="76"/>
  <c r="AN874" i="76"/>
  <c r="AN855" i="76"/>
  <c r="AN867" i="76"/>
  <c r="AN866" i="76"/>
  <c r="AN854" i="76"/>
  <c r="AN865" i="76"/>
  <c r="AN860" i="76"/>
  <c r="AN858" i="76"/>
  <c r="AN857" i="76"/>
  <c r="AN856" i="76"/>
  <c r="AN864" i="76"/>
  <c r="AN853" i="76"/>
  <c r="AN852" i="76"/>
  <c r="AN848" i="76"/>
  <c r="AN847" i="76"/>
  <c r="AN843" i="76"/>
  <c r="AN842" i="76"/>
  <c r="AN835" i="76"/>
  <c r="AN834" i="76"/>
  <c r="AN824" i="76"/>
  <c r="AN833" i="76"/>
  <c r="AN829" i="76"/>
  <c r="AN828" i="76"/>
  <c r="AN823" i="76"/>
  <c r="AN819" i="76"/>
  <c r="AN818" i="76"/>
  <c r="AN811" i="76"/>
  <c r="AN807" i="76"/>
  <c r="AN810" i="76"/>
  <c r="AN809" i="76"/>
  <c r="AN808" i="76"/>
  <c r="AN800" i="76"/>
  <c r="AN801" i="76"/>
  <c r="AN790" i="76"/>
  <c r="AN803" i="76"/>
  <c r="AN799" i="76"/>
  <c r="AN795" i="76"/>
  <c r="AN794" i="76"/>
  <c r="AN788" i="76"/>
  <c r="AN779" i="76"/>
  <c r="AN777" i="76"/>
  <c r="AN774" i="76"/>
  <c r="AN776" i="76"/>
  <c r="AN775" i="76"/>
  <c r="AN778" i="76"/>
  <c r="AN773" i="76"/>
  <c r="AN768" i="76"/>
  <c r="AN769" i="76"/>
  <c r="AN764" i="76"/>
  <c r="AN759" i="76"/>
  <c r="AN760" i="76"/>
  <c r="AN758" i="76"/>
  <c r="AN757" i="76"/>
  <c r="AN756" i="76"/>
  <c r="AN749" i="76"/>
  <c r="AN748" i="76"/>
  <c r="AN747" i="76"/>
  <c r="AN743" i="76"/>
  <c r="AN742" i="76"/>
  <c r="AN733" i="76"/>
  <c r="AN732" i="76"/>
  <c r="AN731" i="76"/>
  <c r="AN730" i="76"/>
  <c r="AN723" i="76"/>
  <c r="AN722" i="76"/>
  <c r="AN718" i="76"/>
  <c r="AN713" i="76"/>
  <c r="AN717" i="76"/>
  <c r="AN712" i="76"/>
  <c r="AN708" i="76"/>
  <c r="AN706" i="76"/>
  <c r="AN707" i="76"/>
  <c r="AN702" i="76"/>
  <c r="AN701" i="76"/>
  <c r="AN694" i="76"/>
  <c r="AN693" i="76"/>
  <c r="AN692" i="76"/>
  <c r="AN691" i="76"/>
  <c r="AN690" i="76"/>
  <c r="AN689" i="76"/>
  <c r="AN685" i="76"/>
  <c r="AN681" i="76"/>
  <c r="AN674" i="76"/>
  <c r="AN673" i="76"/>
  <c r="AN672" i="76"/>
  <c r="AN668" i="76"/>
  <c r="AN664" i="76"/>
  <c r="AN663" i="76"/>
  <c r="AN658" i="76"/>
  <c r="AN654" i="76"/>
  <c r="AN647" i="76"/>
  <c r="AN646" i="76"/>
  <c r="AN645" i="76"/>
  <c r="AN641" i="76"/>
  <c r="AN637" i="76"/>
  <c r="AN630" i="76"/>
  <c r="AN628" i="76"/>
  <c r="AN627" i="76"/>
  <c r="AN626" i="76"/>
  <c r="AN622" i="76"/>
  <c r="AN618" i="76"/>
  <c r="AN617" i="76"/>
  <c r="AN613" i="76"/>
  <c r="AN612" i="76"/>
  <c r="AN605" i="76"/>
  <c r="AN604" i="76"/>
  <c r="AN603" i="76"/>
  <c r="AN602" i="76"/>
  <c r="AN601" i="76"/>
  <c r="AN597" i="76"/>
  <c r="AN596" i="76"/>
  <c r="AN592" i="76"/>
  <c r="AN591" i="76"/>
  <c r="AN584" i="76"/>
  <c r="AN578" i="76"/>
  <c r="AN583" i="76"/>
  <c r="AN582" i="76"/>
  <c r="AN572" i="76"/>
  <c r="AN577" i="76"/>
  <c r="AN573" i="76"/>
  <c r="AN569" i="76"/>
  <c r="AN565" i="76"/>
  <c r="AN570" i="76"/>
  <c r="AN571" i="76"/>
  <c r="AN561" i="76"/>
  <c r="AN554" i="76"/>
  <c r="AN553" i="76"/>
  <c r="AN551" i="76"/>
  <c r="AN550" i="76"/>
  <c r="AN549" i="76"/>
  <c r="AN544" i="76"/>
  <c r="AN540" i="76"/>
  <c r="AN539" i="76"/>
  <c r="AN535" i="76"/>
  <c r="AN534" i="76"/>
  <c r="AN533" i="76"/>
  <c r="AN529" i="76"/>
  <c r="AN528" i="76"/>
  <c r="AN527" i="76"/>
  <c r="AN526" i="76"/>
  <c r="AN519" i="76"/>
  <c r="AN518" i="76"/>
  <c r="AN517" i="76"/>
  <c r="AN516" i="76"/>
  <c r="AN515" i="76"/>
  <c r="AN511" i="76"/>
  <c r="AN510" i="76"/>
  <c r="AN506" i="76"/>
  <c r="AN505" i="76"/>
  <c r="AN504" i="76"/>
  <c r="AN503" i="76"/>
  <c r="AN494" i="76"/>
  <c r="AN493" i="76"/>
  <c r="AN492" i="76"/>
  <c r="AN491" i="76"/>
  <c r="AN490" i="76"/>
  <c r="AN485" i="76"/>
  <c r="AN484" i="76"/>
  <c r="AN483" i="76"/>
  <c r="AN482" i="76"/>
  <c r="AN481" i="76"/>
  <c r="AN480" i="76"/>
  <c r="AN486" i="76"/>
  <c r="AN473" i="76"/>
  <c r="AN461" i="76"/>
  <c r="AN472" i="76"/>
  <c r="AN471" i="76"/>
  <c r="AN470" i="76"/>
  <c r="AN469" i="76"/>
  <c r="AN468" i="76"/>
  <c r="AN467" i="76"/>
  <c r="AN466" i="76"/>
  <c r="AN465" i="76"/>
  <c r="AN460" i="76"/>
  <c r="AN455" i="76"/>
  <c r="AN459" i="76"/>
  <c r="AN451" i="76"/>
  <c r="AN447" i="76"/>
  <c r="AN445" i="76"/>
  <c r="AN444" i="76"/>
  <c r="AN443" i="76"/>
  <c r="AN436" i="76"/>
  <c r="AN435" i="76"/>
  <c r="AN434" i="76"/>
  <c r="AN430" i="76"/>
  <c r="AN426" i="76"/>
  <c r="AN423" i="76"/>
  <c r="AN422" i="76"/>
  <c r="AN424" i="76"/>
  <c r="AN417" i="76"/>
  <c r="AN409" i="76"/>
  <c r="AN408" i="76"/>
  <c r="AN402" i="76"/>
  <c r="AN404" i="76"/>
  <c r="AN400" i="76"/>
  <c r="AN389" i="76"/>
  <c r="AN401" i="76"/>
  <c r="AN399" i="76"/>
  <c r="AN398" i="76"/>
  <c r="AN394" i="76"/>
  <c r="AN390" i="76"/>
  <c r="AN418" i="76"/>
  <c r="AN388" i="76"/>
  <c r="AN387" i="76"/>
  <c r="AN386" i="76"/>
  <c r="AN379" i="76"/>
  <c r="AN378" i="76"/>
  <c r="AN374" i="76"/>
  <c r="AN370" i="76"/>
  <c r="AN363" i="76"/>
  <c r="AN362" i="76"/>
  <c r="AN361" i="76"/>
  <c r="AN357" i="76"/>
  <c r="AN356" i="76"/>
  <c r="AN352" i="76"/>
  <c r="AN348" i="76"/>
  <c r="AN347" i="76"/>
  <c r="AN346" i="76"/>
  <c r="AN342" i="76"/>
  <c r="AN341" i="76"/>
  <c r="AN340" i="76"/>
  <c r="AN339" i="76"/>
  <c r="AN338" i="76"/>
  <c r="AN337" i="76"/>
  <c r="AN330" i="76"/>
  <c r="AN329" i="76"/>
  <c r="AN328" i="76"/>
  <c r="AN327" i="76"/>
  <c r="AN326" i="76"/>
  <c r="AN317" i="76"/>
  <c r="AN321" i="76"/>
  <c r="AN322" i="76"/>
  <c r="AN313" i="76"/>
  <c r="AN312" i="76"/>
  <c r="AN311" i="76"/>
  <c r="AN310" i="76"/>
  <c r="AN309" i="76"/>
  <c r="AN308" i="76"/>
  <c r="AN301" i="76"/>
  <c r="AN300" i="76"/>
  <c r="AN299" i="76"/>
  <c r="AN298" i="76"/>
  <c r="AN293" i="76"/>
  <c r="AN288" i="76"/>
  <c r="AN287" i="76"/>
  <c r="AN292" i="76"/>
  <c r="AN285" i="76"/>
  <c r="AN284" i="76"/>
  <c r="AN283" i="76"/>
  <c r="AN273" i="76"/>
  <c r="AN276" i="76"/>
  <c r="AN275" i="76"/>
  <c r="AN274" i="76"/>
  <c r="AN269" i="76"/>
  <c r="AN268" i="76"/>
  <c r="AN267" i="76"/>
  <c r="AN259" i="76"/>
  <c r="AN263" i="76"/>
  <c r="AN258" i="76"/>
  <c r="AN257" i="76"/>
  <c r="AN256" i="76"/>
  <c r="AN249" i="76"/>
  <c r="AN248" i="76"/>
  <c r="AN247" i="76"/>
  <c r="AN246" i="76"/>
  <c r="AN245" i="76"/>
  <c r="AN240" i="76"/>
  <c r="AN244" i="76"/>
  <c r="AN238" i="76"/>
  <c r="AN239" i="76"/>
  <c r="AN237" i="76"/>
  <c r="AN230" i="76"/>
  <c r="AN236" i="76"/>
  <c r="AN235" i="76"/>
  <c r="AN228" i="76"/>
  <c r="AN229" i="76"/>
  <c r="AN231" i="76"/>
  <c r="AN224" i="76"/>
  <c r="AN223" i="76"/>
  <c r="AN215" i="76"/>
  <c r="AN217" i="76"/>
  <c r="AN219" i="76"/>
  <c r="AN216" i="76"/>
  <c r="AN218" i="76"/>
  <c r="AN214" i="76"/>
  <c r="AN213" i="76"/>
  <c r="AN212" i="76"/>
  <c r="AN211" i="76"/>
  <c r="AN210" i="76"/>
  <c r="AN209" i="76"/>
  <c r="AN208" i="76"/>
  <c r="AN207" i="76"/>
  <c r="AN206" i="76"/>
  <c r="AN205" i="76"/>
  <c r="AN204" i="76"/>
  <c r="AN203" i="76"/>
  <c r="AN193" i="76"/>
  <c r="AN192" i="76"/>
  <c r="AN191" i="76"/>
  <c r="AN187" i="76"/>
  <c r="AN186" i="76"/>
  <c r="AN185" i="76"/>
  <c r="AN184" i="76"/>
  <c r="AN183" i="76"/>
  <c r="AN182" i="76"/>
  <c r="AN175" i="76"/>
  <c r="AN177" i="76"/>
  <c r="AN174" i="76"/>
  <c r="AN170" i="76"/>
  <c r="AN176" i="76"/>
  <c r="AN194" i="76"/>
  <c r="AN181" i="76"/>
  <c r="AN169" i="76"/>
  <c r="AN168" i="76"/>
  <c r="AN161" i="76"/>
  <c r="AN160" i="76"/>
  <c r="AN159" i="76"/>
  <c r="AN158" i="76"/>
  <c r="AN154" i="76"/>
  <c r="AN150" i="76"/>
  <c r="AN146" i="76"/>
  <c r="AN139" i="76"/>
  <c r="AN138" i="76"/>
  <c r="AN137" i="76"/>
  <c r="AN136" i="76"/>
  <c r="AN132" i="76"/>
  <c r="AN131" i="76"/>
  <c r="AN130" i="76"/>
  <c r="AN126" i="76"/>
  <c r="AN125" i="76"/>
  <c r="AN121" i="76"/>
  <c r="AN120" i="76"/>
  <c r="AN116" i="76"/>
  <c r="AN109" i="76"/>
  <c r="AN108" i="76"/>
  <c r="AN107" i="76"/>
  <c r="AN102" i="76"/>
  <c r="AN103" i="76"/>
  <c r="AN95" i="76"/>
  <c r="AN94" i="76"/>
  <c r="AN93" i="76"/>
  <c r="AN89" i="76"/>
  <c r="AN88" i="76"/>
  <c r="AN81" i="76"/>
  <c r="AN80" i="76"/>
  <c r="AN79" i="76"/>
  <c r="AN78" i="76"/>
  <c r="AN73" i="76"/>
  <c r="AN72" i="76"/>
  <c r="AN68" i="76"/>
  <c r="AN74" i="76"/>
  <c r="AN64" i="76"/>
  <c r="AN63" i="76"/>
  <c r="AN62" i="76"/>
  <c r="AN58" i="76"/>
  <c r="AN57" i="76"/>
  <c r="AN56" i="76"/>
  <c r="AN49" i="76"/>
  <c r="AN48" i="76"/>
  <c r="AN41" i="76"/>
  <c r="AN47" i="76"/>
  <c r="AN46" i="76"/>
  <c r="AN45" i="76"/>
  <c r="AN37" i="76"/>
  <c r="AN30" i="76"/>
  <c r="AN29" i="76"/>
  <c r="AN28" i="76"/>
  <c r="AN27" i="76"/>
  <c r="AN26" i="76"/>
  <c r="AN25" i="76"/>
  <c r="AN19" i="76"/>
  <c r="AN24" i="76"/>
  <c r="AN23" i="76"/>
  <c r="AN15" i="76"/>
  <c r="AN14" i="76"/>
  <c r="AN9" i="76"/>
  <c r="AN8" i="76"/>
  <c r="AN7" i="76"/>
  <c r="AN10" i="76"/>
  <c r="AN6" i="76"/>
  <c r="AN5" i="76"/>
  <c r="AN4" i="76"/>
  <c r="X484" i="76" l="1"/>
  <c r="W484" i="76"/>
  <c r="O925" i="76"/>
  <c r="X907" i="76"/>
  <c r="X908" i="76" s="1"/>
  <c r="W907" i="76"/>
  <c r="W908" i="76" s="1"/>
  <c r="X216" i="76"/>
  <c r="W216" i="76"/>
  <c r="O331" i="76"/>
  <c r="O333" i="76" s="1"/>
  <c r="X327" i="76"/>
  <c r="W327" i="76"/>
  <c r="X825" i="76"/>
  <c r="W825" i="76"/>
  <c r="X880" i="76" l="1"/>
  <c r="X912" i="76"/>
  <c r="X791" i="76"/>
  <c r="X669" i="76"/>
  <c r="X395" i="76"/>
  <c r="W669" i="76"/>
  <c r="W395" i="76"/>
  <c r="O426" i="76"/>
  <c r="O483" i="76"/>
  <c r="O1004" i="76"/>
  <c r="O539" i="76"/>
  <c r="O229" i="76"/>
  <c r="P780" i="76"/>
  <c r="Q780" i="76"/>
  <c r="R780" i="76"/>
  <c r="M780" i="76"/>
  <c r="P752" i="76"/>
  <c r="Q752" i="76"/>
  <c r="R752" i="76"/>
  <c r="P579" i="76"/>
  <c r="Q579" i="76"/>
  <c r="R579" i="76"/>
  <c r="M579" i="76"/>
  <c r="R507" i="76"/>
  <c r="Q507" i="76"/>
  <c r="P507" i="76"/>
  <c r="P331" i="76"/>
  <c r="Q331" i="76"/>
  <c r="R331" i="76"/>
  <c r="P323" i="76"/>
  <c r="Q323" i="76"/>
  <c r="R323" i="76"/>
  <c r="M323" i="76"/>
  <c r="P314" i="76"/>
  <c r="Q314" i="76"/>
  <c r="R314" i="76"/>
  <c r="P302" i="76"/>
  <c r="Q302" i="76"/>
  <c r="R302" i="76"/>
  <c r="P289" i="76"/>
  <c r="Q289" i="76"/>
  <c r="R289" i="76"/>
  <c r="P270" i="76"/>
  <c r="Q270" i="76"/>
  <c r="R270" i="76"/>
  <c r="P264" i="76"/>
  <c r="Q264" i="76"/>
  <c r="R264" i="76"/>
  <c r="P260" i="76"/>
  <c r="Q260" i="76"/>
  <c r="R260" i="76"/>
  <c r="P195" i="76"/>
  <c r="Q195" i="76"/>
  <c r="R195" i="76"/>
  <c r="M195" i="76"/>
  <c r="P133" i="76"/>
  <c r="Q133" i="76"/>
  <c r="R133" i="76"/>
  <c r="M133" i="76"/>
  <c r="P31" i="76"/>
  <c r="Q31" i="76"/>
  <c r="R31" i="76"/>
  <c r="M31" i="76"/>
  <c r="X483" i="76" l="1"/>
  <c r="W483" i="76"/>
  <c r="O232" i="76"/>
  <c r="X229" i="76"/>
  <c r="W229" i="76"/>
  <c r="O427" i="76"/>
  <c r="X426" i="76"/>
  <c r="W426" i="76"/>
  <c r="X539" i="76"/>
  <c r="W539" i="76"/>
  <c r="X1004" i="76"/>
  <c r="W1004" i="76"/>
  <c r="P304" i="76"/>
  <c r="Q304" i="76"/>
  <c r="R304" i="76"/>
  <c r="X232" i="76"/>
  <c r="Q333" i="76"/>
  <c r="R333" i="76"/>
  <c r="P333" i="76"/>
  <c r="X750" i="76"/>
  <c r="W750" i="76"/>
  <c r="W665" i="76"/>
  <c r="W714" i="76"/>
  <c r="X714" i="76"/>
  <c r="X665" i="76"/>
  <c r="R279" i="76"/>
  <c r="P279" i="76"/>
  <c r="Q279" i="76"/>
  <c r="X761" i="76"/>
  <c r="V761" i="76"/>
  <c r="W791" i="76"/>
  <c r="V791" i="76"/>
  <c r="X703" i="76"/>
  <c r="W703" i="76"/>
  <c r="V703" i="76"/>
  <c r="X709" i="76"/>
  <c r="W709" i="76"/>
  <c r="V709" i="76"/>
  <c r="V188" i="76"/>
  <c r="X188" i="76"/>
  <c r="W104" i="76"/>
  <c r="V104" i="76"/>
  <c r="X104" i="76"/>
  <c r="V225" i="76"/>
  <c r="V171" i="76"/>
  <c r="V220" i="76"/>
  <c r="V250" i="76"/>
  <c r="V405" i="76"/>
  <c r="V241" i="76"/>
  <c r="V541" i="76"/>
  <c r="X171" i="76"/>
  <c r="V178" i="76"/>
  <c r="W171" i="76"/>
  <c r="X512" i="76"/>
  <c r="W880" i="76"/>
  <c r="V880" i="76"/>
  <c r="W512" i="76"/>
  <c r="V512" i="76"/>
  <c r="V520" i="76"/>
  <c r="X277" i="76"/>
  <c r="X812" i="76"/>
  <c r="V923" i="76"/>
  <c r="X917" i="76"/>
  <c r="W917" i="76"/>
  <c r="V917" i="76"/>
  <c r="W912" i="76"/>
  <c r="V912" i="76"/>
  <c r="V812" i="76"/>
  <c r="W277" i="76"/>
  <c r="V277" i="76"/>
  <c r="W65" i="76"/>
  <c r="V65" i="76"/>
  <c r="X65" i="76"/>
  <c r="X410" i="76"/>
  <c r="W410" i="76"/>
  <c r="V410" i="76"/>
  <c r="V232" i="76"/>
  <c r="R122" i="76"/>
  <c r="Q122" i="76"/>
  <c r="P122" i="76"/>
  <c r="M122" i="76"/>
  <c r="P59" i="76"/>
  <c r="Q59" i="76"/>
  <c r="R59" i="76"/>
  <c r="M59" i="76"/>
  <c r="P50" i="76"/>
  <c r="Q50" i="76"/>
  <c r="R50" i="76"/>
  <c r="M50" i="76"/>
  <c r="P16" i="76"/>
  <c r="Q16" i="76"/>
  <c r="R16" i="76"/>
  <c r="M16" i="76"/>
  <c r="P11" i="76"/>
  <c r="Q11" i="76"/>
  <c r="R11" i="76"/>
  <c r="O14" i="76"/>
  <c r="R796" i="76"/>
  <c r="Q796" i="76"/>
  <c r="P796" i="76"/>
  <c r="M796" i="76"/>
  <c r="R642" i="76"/>
  <c r="Q642" i="76"/>
  <c r="P642" i="76"/>
  <c r="M642" i="76"/>
  <c r="P638" i="76"/>
  <c r="Q638" i="76"/>
  <c r="R638" i="76"/>
  <c r="M638" i="76"/>
  <c r="P574" i="76"/>
  <c r="Q574" i="76"/>
  <c r="R574" i="76"/>
  <c r="M574" i="76"/>
  <c r="O352" i="76"/>
  <c r="P343" i="76"/>
  <c r="Q343" i="76"/>
  <c r="R343" i="76"/>
  <c r="V642" i="76"/>
  <c r="V638" i="76"/>
  <c r="V264" i="76"/>
  <c r="V122" i="76"/>
  <c r="O16" i="76" l="1"/>
  <c r="O33" i="76" s="1"/>
  <c r="X14" i="76"/>
  <c r="W14" i="76"/>
  <c r="O353" i="76"/>
  <c r="X352" i="76"/>
  <c r="W352" i="76"/>
  <c r="P33" i="76"/>
  <c r="R33" i="76"/>
  <c r="Q33" i="76"/>
  <c r="W188" i="76"/>
  <c r="W761" i="76"/>
  <c r="X250" i="76"/>
  <c r="W232" i="76"/>
  <c r="W812" i="76"/>
  <c r="W250" i="76"/>
  <c r="V780" i="76"/>
  <c r="V507" i="76"/>
  <c r="V579" i="76"/>
  <c r="V752" i="76"/>
  <c r="V323" i="76"/>
  <c r="V260" i="76"/>
  <c r="V289" i="76"/>
  <c r="V314" i="76"/>
  <c r="V331" i="76"/>
  <c r="V270" i="76"/>
  <c r="V302" i="76"/>
  <c r="V133" i="76"/>
  <c r="V195" i="76"/>
  <c r="V31" i="76"/>
  <c r="V16" i="76"/>
  <c r="V59" i="76"/>
  <c r="V50" i="76"/>
  <c r="V796" i="76"/>
  <c r="V11" i="76"/>
  <c r="V574" i="76"/>
  <c r="V343" i="76"/>
  <c r="V304" i="76" l="1"/>
  <c r="V33" i="76"/>
  <c r="V333" i="76"/>
  <c r="V279" i="76"/>
  <c r="S4" i="76" l="1"/>
  <c r="S11" i="76" s="1"/>
  <c r="S33" i="76" s="1"/>
  <c r="S199" i="76" s="1"/>
  <c r="S1037" i="76" s="1"/>
  <c r="P942" i="76"/>
  <c r="Q942" i="76"/>
  <c r="R942" i="76"/>
  <c r="M942" i="76"/>
  <c r="P888" i="76"/>
  <c r="Q888" i="76"/>
  <c r="R888" i="76"/>
  <c r="M888" i="76"/>
  <c r="P836" i="76"/>
  <c r="Q836" i="76"/>
  <c r="R836" i="76"/>
  <c r="M836" i="76"/>
  <c r="P719" i="76"/>
  <c r="Q719" i="76"/>
  <c r="R719" i="76"/>
  <c r="M719" i="76"/>
  <c r="P536" i="76"/>
  <c r="Q536" i="76"/>
  <c r="R536" i="76"/>
  <c r="M536" i="76"/>
  <c r="P358" i="76"/>
  <c r="Q358" i="76"/>
  <c r="R358" i="76"/>
  <c r="M358" i="76"/>
  <c r="P349" i="76"/>
  <c r="Q349" i="76"/>
  <c r="R349" i="76"/>
  <c r="M270" i="76"/>
  <c r="W264" i="76"/>
  <c r="V155" i="76"/>
  <c r="W122" i="76"/>
  <c r="W69" i="76"/>
  <c r="W16" i="76"/>
  <c r="R155" i="76"/>
  <c r="Q155" i="76"/>
  <c r="P155" i="76"/>
  <c r="M155" i="76"/>
  <c r="R598" i="76"/>
  <c r="Q598" i="76"/>
  <c r="P598" i="76"/>
  <c r="M598" i="76"/>
  <c r="M876" i="76"/>
  <c r="M861" i="76"/>
  <c r="M849" i="76"/>
  <c r="M844" i="76"/>
  <c r="M431" i="76"/>
  <c r="R849" i="76"/>
  <c r="Q849" i="76"/>
  <c r="P849" i="76"/>
  <c r="P844" i="76"/>
  <c r="Q844" i="76"/>
  <c r="R844" i="76"/>
  <c r="P655" i="76"/>
  <c r="Q655" i="76"/>
  <c r="R655" i="76"/>
  <c r="M655" i="76"/>
  <c r="R566" i="76"/>
  <c r="Q566" i="76"/>
  <c r="P566" i="76"/>
  <c r="M566" i="76"/>
  <c r="R452" i="76"/>
  <c r="Q452" i="76"/>
  <c r="P452" i="76"/>
  <c r="M452" i="76"/>
  <c r="R431" i="76"/>
  <c r="Q431" i="76"/>
  <c r="P431" i="76"/>
  <c r="M264" i="76"/>
  <c r="R151" i="76"/>
  <c r="Q151" i="76"/>
  <c r="P151" i="76"/>
  <c r="M151" i="76"/>
  <c r="P127" i="76"/>
  <c r="Q127" i="76"/>
  <c r="R127" i="76"/>
  <c r="M127" i="76"/>
  <c r="R69" i="76"/>
  <c r="Q69" i="76"/>
  <c r="P69" i="76"/>
  <c r="P861" i="76"/>
  <c r="Q861" i="76"/>
  <c r="R861" i="76"/>
  <c r="P631" i="76"/>
  <c r="Q631" i="76"/>
  <c r="R631" i="76"/>
  <c r="M631" i="76"/>
  <c r="R353" i="76"/>
  <c r="Q353" i="76"/>
  <c r="P353" i="76"/>
  <c r="M353" i="76"/>
  <c r="R830" i="76"/>
  <c r="Q830" i="76"/>
  <c r="P830" i="76"/>
  <c r="M830" i="76"/>
  <c r="R936" i="76"/>
  <c r="Q936" i="76"/>
  <c r="P936" i="76"/>
  <c r="M936" i="76"/>
  <c r="R140" i="76"/>
  <c r="Q140" i="76"/>
  <c r="P140" i="76"/>
  <c r="M140" i="76"/>
  <c r="P117" i="76"/>
  <c r="Q117" i="76"/>
  <c r="R117" i="76"/>
  <c r="M117" i="76"/>
  <c r="R820" i="76"/>
  <c r="Q820" i="76"/>
  <c r="P820" i="76"/>
  <c r="M820" i="76"/>
  <c r="M804" i="76"/>
  <c r="R686" i="76"/>
  <c r="Q686" i="76"/>
  <c r="P686" i="76"/>
  <c r="M686" i="76"/>
  <c r="M614" i="76"/>
  <c r="M619" i="76"/>
  <c r="P623" i="76"/>
  <c r="Q623" i="76"/>
  <c r="R623" i="76"/>
  <c r="M623" i="76"/>
  <c r="P448" i="76"/>
  <c r="Q448" i="76"/>
  <c r="R448" i="76"/>
  <c r="M448" i="76"/>
  <c r="P462" i="76"/>
  <c r="Q462" i="76"/>
  <c r="R462" i="76"/>
  <c r="M462" i="76"/>
  <c r="P474" i="76"/>
  <c r="Q474" i="76"/>
  <c r="R474" i="76"/>
  <c r="P437" i="76"/>
  <c r="Q437" i="76"/>
  <c r="R437" i="76"/>
  <c r="M437" i="76"/>
  <c r="P427" i="76"/>
  <c r="Q427" i="76"/>
  <c r="R427" i="76"/>
  <c r="M427" i="76"/>
  <c r="AM380" i="76"/>
  <c r="R380" i="76"/>
  <c r="Q380" i="76"/>
  <c r="P380" i="76"/>
  <c r="M380" i="76"/>
  <c r="AM379" i="76"/>
  <c r="AL379" i="76"/>
  <c r="AJ379" i="76"/>
  <c r="AG379" i="76"/>
  <c r="AD379" i="76"/>
  <c r="AE379" i="76"/>
  <c r="AM378" i="76"/>
  <c r="AL378" i="76"/>
  <c r="AJ378" i="76"/>
  <c r="AG378" i="76"/>
  <c r="AD378" i="76"/>
  <c r="AE378" i="76"/>
  <c r="AM377" i="76"/>
  <c r="AM376" i="76"/>
  <c r="AM382" i="76"/>
  <c r="AM383" i="76"/>
  <c r="AM384" i="76"/>
  <c r="AM385" i="76"/>
  <c r="AE386" i="76"/>
  <c r="AD386" i="76"/>
  <c r="AG386" i="76"/>
  <c r="AJ386" i="76"/>
  <c r="AL386" i="76"/>
  <c r="AM386" i="76"/>
  <c r="AE387" i="76"/>
  <c r="AD387" i="76"/>
  <c r="AG387" i="76"/>
  <c r="AJ387" i="76"/>
  <c r="AL387" i="76"/>
  <c r="AM387" i="76"/>
  <c r="AM375" i="76"/>
  <c r="R375" i="76"/>
  <c r="Q375" i="76"/>
  <c r="P375" i="76"/>
  <c r="M375" i="76"/>
  <c r="AM374" i="76"/>
  <c r="AL374" i="76"/>
  <c r="AJ374" i="76"/>
  <c r="AG374" i="76"/>
  <c r="AD374" i="76"/>
  <c r="AE374" i="76"/>
  <c r="AM373" i="76"/>
  <c r="M302" i="76"/>
  <c r="M304" i="76" s="1"/>
  <c r="M260" i="76"/>
  <c r="P147" i="76"/>
  <c r="Q147" i="76"/>
  <c r="R147" i="76"/>
  <c r="M147" i="76"/>
  <c r="R38" i="76"/>
  <c r="R52" i="76" s="1"/>
  <c r="Q38" i="76"/>
  <c r="Q52" i="76" s="1"/>
  <c r="P38" i="76"/>
  <c r="P52" i="76" s="1"/>
  <c r="M38" i="76"/>
  <c r="M52" i="76" s="1"/>
  <c r="M11" i="76"/>
  <c r="M33" i="76" s="1"/>
  <c r="R1035" i="76"/>
  <c r="Q1035" i="76"/>
  <c r="P1035" i="76"/>
  <c r="AM1032" i="76"/>
  <c r="AJ1032" i="76"/>
  <c r="AG1032" i="76"/>
  <c r="AD1032" i="76"/>
  <c r="AH1032" i="76"/>
  <c r="AM1025" i="76"/>
  <c r="AJ1025" i="76"/>
  <c r="AG1025" i="76"/>
  <c r="AD1025" i="76"/>
  <c r="AH1025" i="76"/>
  <c r="AM1031" i="76"/>
  <c r="AJ1031" i="76"/>
  <c r="AG1031" i="76"/>
  <c r="AD1031" i="76"/>
  <c r="AH1031" i="76"/>
  <c r="AM1030" i="76"/>
  <c r="AJ1030" i="76"/>
  <c r="AG1030" i="76"/>
  <c r="AD1030" i="76"/>
  <c r="AH1030" i="76"/>
  <c r="AM1029" i="76"/>
  <c r="AJ1029" i="76"/>
  <c r="AG1029" i="76"/>
  <c r="AD1029" i="76"/>
  <c r="AH1029" i="76"/>
  <c r="AM1028" i="76"/>
  <c r="AJ1028" i="76"/>
  <c r="AG1028" i="76"/>
  <c r="AD1028" i="76"/>
  <c r="AH1028" i="76"/>
  <c r="AM1027" i="76"/>
  <c r="AJ1027" i="76"/>
  <c r="AG1027" i="76"/>
  <c r="AD1027" i="76"/>
  <c r="AH1027" i="76"/>
  <c r="AM1026" i="76"/>
  <c r="AJ1026" i="76"/>
  <c r="AG1026" i="76"/>
  <c r="AD1026" i="76"/>
  <c r="AH1026" i="76"/>
  <c r="AM1023" i="76"/>
  <c r="AJ1023" i="76"/>
  <c r="AG1023" i="76"/>
  <c r="AD1023" i="76"/>
  <c r="AH1023" i="76"/>
  <c r="AM1022" i="76"/>
  <c r="AJ1022" i="76"/>
  <c r="AG1022" i="76"/>
  <c r="AD1022" i="76"/>
  <c r="AH1022" i="76"/>
  <c r="AM1021" i="76"/>
  <c r="AJ1021" i="76"/>
  <c r="AG1021" i="76"/>
  <c r="AD1021" i="76"/>
  <c r="AH1021" i="76"/>
  <c r="AM1020" i="76"/>
  <c r="AJ1020" i="76"/>
  <c r="AG1020" i="76"/>
  <c r="AD1020" i="76"/>
  <c r="AH1020" i="76"/>
  <c r="AM1019" i="76"/>
  <c r="AJ1019" i="76"/>
  <c r="AG1019" i="76"/>
  <c r="AD1019" i="76"/>
  <c r="AH1019" i="76"/>
  <c r="AM1018" i="76"/>
  <c r="AJ1018" i="76"/>
  <c r="AG1018" i="76"/>
  <c r="AD1018" i="76"/>
  <c r="AH1018" i="76"/>
  <c r="AM1017" i="76"/>
  <c r="AJ1017" i="76"/>
  <c r="AG1017" i="76"/>
  <c r="AD1017" i="76"/>
  <c r="O1017" i="76"/>
  <c r="AE1017" i="76"/>
  <c r="AM1016" i="76"/>
  <c r="AJ1016" i="76"/>
  <c r="AG1016" i="76"/>
  <c r="AD1016" i="76"/>
  <c r="AM1015" i="76"/>
  <c r="AJ1015" i="76"/>
  <c r="AG1015" i="76"/>
  <c r="AD1015" i="76"/>
  <c r="AM1024" i="76"/>
  <c r="AJ1024" i="76"/>
  <c r="AG1024" i="76"/>
  <c r="AD1024" i="76"/>
  <c r="AH1024" i="76"/>
  <c r="AM1011" i="76"/>
  <c r="AM1012" i="76"/>
  <c r="AJ1012" i="76"/>
  <c r="AG1012" i="76"/>
  <c r="AD1012" i="76"/>
  <c r="AE1012" i="76"/>
  <c r="AM1008" i="76"/>
  <c r="AJ1008" i="76"/>
  <c r="AG1008" i="76"/>
  <c r="AD1008" i="76"/>
  <c r="AH1008" i="76"/>
  <c r="AM1006" i="76"/>
  <c r="AM1005" i="76"/>
  <c r="AM1004" i="76"/>
  <c r="AJ1004" i="76"/>
  <c r="AG1004" i="76"/>
  <c r="AD1004" i="76"/>
  <c r="AH1004" i="76"/>
  <c r="AM1003" i="76"/>
  <c r="AJ1003" i="76"/>
  <c r="AG1003" i="76"/>
  <c r="AD1003" i="76"/>
  <c r="AH1003" i="76"/>
  <c r="AM1002" i="76"/>
  <c r="AJ1002" i="76"/>
  <c r="AG1002" i="76"/>
  <c r="AD1002" i="76"/>
  <c r="AH1002" i="76"/>
  <c r="AM1001" i="76"/>
  <c r="AJ1001" i="76"/>
  <c r="AG1001" i="76"/>
  <c r="AD1001" i="76"/>
  <c r="AH1001" i="76"/>
  <c r="AM1014" i="76"/>
  <c r="AJ1014" i="76"/>
  <c r="AG1014" i="76"/>
  <c r="AD1014" i="76"/>
  <c r="AH1014" i="76"/>
  <c r="AM1000" i="76"/>
  <c r="AJ1000" i="76"/>
  <c r="AG1000" i="76"/>
  <c r="AD1000" i="76"/>
  <c r="AH1000" i="76"/>
  <c r="AM999" i="76"/>
  <c r="AJ999" i="76"/>
  <c r="AG999" i="76"/>
  <c r="AD999" i="76"/>
  <c r="AH999" i="76"/>
  <c r="AM998" i="76"/>
  <c r="AJ998" i="76"/>
  <c r="AG998" i="76"/>
  <c r="AD998" i="76"/>
  <c r="AH998" i="76"/>
  <c r="AM997" i="76"/>
  <c r="AJ997" i="76"/>
  <c r="AG997" i="76"/>
  <c r="AD997" i="76"/>
  <c r="AH997" i="76"/>
  <c r="AM996" i="76"/>
  <c r="AJ996" i="76"/>
  <c r="AG996" i="76"/>
  <c r="AD996" i="76"/>
  <c r="AH996" i="76"/>
  <c r="AM995" i="76"/>
  <c r="AJ995" i="76"/>
  <c r="AG995" i="76"/>
  <c r="AD995" i="76"/>
  <c r="AH995" i="76"/>
  <c r="AM994" i="76"/>
  <c r="AJ994" i="76"/>
  <c r="AG994" i="76"/>
  <c r="AD994" i="76"/>
  <c r="AH994" i="76"/>
  <c r="AM993" i="76"/>
  <c r="AJ993" i="76"/>
  <c r="AG993" i="76"/>
  <c r="AD993" i="76"/>
  <c r="AH993" i="76"/>
  <c r="AM992" i="76"/>
  <c r="AJ992" i="76"/>
  <c r="AG992" i="76"/>
  <c r="AD992" i="76"/>
  <c r="O992" i="76"/>
  <c r="AE992" i="76"/>
  <c r="AM991" i="76"/>
  <c r="AJ991" i="76"/>
  <c r="AG991" i="76"/>
  <c r="AD991" i="76"/>
  <c r="AM990" i="76"/>
  <c r="AJ990" i="76"/>
  <c r="AG990" i="76"/>
  <c r="AD990" i="76"/>
  <c r="AM989" i="76"/>
  <c r="AJ989" i="76"/>
  <c r="AG989" i="76"/>
  <c r="AD989" i="76"/>
  <c r="AM988" i="76"/>
  <c r="AJ988" i="76"/>
  <c r="AG988" i="76"/>
  <c r="AD988" i="76"/>
  <c r="AM987" i="76"/>
  <c r="AJ987" i="76"/>
  <c r="AG987" i="76"/>
  <c r="AD987" i="76"/>
  <c r="AE987" i="76"/>
  <c r="AM986" i="76"/>
  <c r="AJ986" i="76"/>
  <c r="AG986" i="76"/>
  <c r="AD986" i="76"/>
  <c r="AE986" i="76"/>
  <c r="AM985" i="76"/>
  <c r="AJ985" i="76"/>
  <c r="AG985" i="76"/>
  <c r="AD985" i="76"/>
  <c r="AE985" i="76"/>
  <c r="AM984" i="76"/>
  <c r="AJ984" i="76"/>
  <c r="AG984" i="76"/>
  <c r="AD984" i="76"/>
  <c r="AE984" i="76"/>
  <c r="AM983" i="76"/>
  <c r="AJ983" i="76"/>
  <c r="AG983" i="76"/>
  <c r="AD983" i="76"/>
  <c r="AE983" i="76"/>
  <c r="AM982" i="76"/>
  <c r="AJ982" i="76"/>
  <c r="AG982" i="76"/>
  <c r="AD982" i="76"/>
  <c r="AE982" i="76"/>
  <c r="AM981" i="76"/>
  <c r="AJ981" i="76"/>
  <c r="AG981" i="76"/>
  <c r="AD981" i="76"/>
  <c r="AE981" i="76"/>
  <c r="AM980" i="76"/>
  <c r="AJ980" i="76"/>
  <c r="AG980" i="76"/>
  <c r="AD980" i="76"/>
  <c r="O980" i="76"/>
  <c r="AE980" i="76"/>
  <c r="AM979" i="76"/>
  <c r="AJ979" i="76"/>
  <c r="AG979" i="76"/>
  <c r="AD979" i="76"/>
  <c r="AE979" i="76"/>
  <c r="AM978" i="76"/>
  <c r="AJ978" i="76"/>
  <c r="AG978" i="76"/>
  <c r="AD978" i="76"/>
  <c r="AE978" i="76"/>
  <c r="AM977" i="76"/>
  <c r="AJ977" i="76"/>
  <c r="AG977" i="76"/>
  <c r="AD977" i="76"/>
  <c r="AE977" i="76"/>
  <c r="AM976" i="76"/>
  <c r="AJ976" i="76"/>
  <c r="AG976" i="76"/>
  <c r="AD976" i="76"/>
  <c r="AE976" i="76"/>
  <c r="AM975" i="76"/>
  <c r="AJ975" i="76"/>
  <c r="AG975" i="76"/>
  <c r="AD975" i="76"/>
  <c r="AE975" i="76"/>
  <c r="AM974" i="76"/>
  <c r="AJ974" i="76"/>
  <c r="AG974" i="76"/>
  <c r="AD974" i="76"/>
  <c r="AE974" i="76"/>
  <c r="AM973" i="76"/>
  <c r="AJ973" i="76"/>
  <c r="AG973" i="76"/>
  <c r="AD973" i="76"/>
  <c r="AE973" i="76"/>
  <c r="AM972" i="76"/>
  <c r="AJ972" i="76"/>
  <c r="AG972" i="76"/>
  <c r="AD972" i="76"/>
  <c r="AE972" i="76"/>
  <c r="AM971" i="76"/>
  <c r="AJ971" i="76"/>
  <c r="AG971" i="76"/>
  <c r="AD971" i="76"/>
  <c r="AE971" i="76"/>
  <c r="AM970" i="76"/>
  <c r="AJ970" i="76"/>
  <c r="AG970" i="76"/>
  <c r="AD970" i="76"/>
  <c r="AE970" i="76"/>
  <c r="AM969" i="76"/>
  <c r="AJ969" i="76"/>
  <c r="AG969" i="76"/>
  <c r="AD969" i="76"/>
  <c r="AE969" i="76"/>
  <c r="AM968" i="76"/>
  <c r="AJ968" i="76"/>
  <c r="AG968" i="76"/>
  <c r="AD968" i="76"/>
  <c r="AE968" i="76"/>
  <c r="AM967" i="76"/>
  <c r="AJ967" i="76"/>
  <c r="AG967" i="76"/>
  <c r="AD967" i="76"/>
  <c r="AE967" i="76"/>
  <c r="AM966" i="76"/>
  <c r="AJ966" i="76"/>
  <c r="AG966" i="76"/>
  <c r="AD966" i="76"/>
  <c r="AE966" i="76"/>
  <c r="AM965" i="76"/>
  <c r="AJ965" i="76"/>
  <c r="AG965" i="76"/>
  <c r="AD965" i="76"/>
  <c r="AE965" i="76"/>
  <c r="AM964" i="76"/>
  <c r="AJ964" i="76"/>
  <c r="AG964" i="76"/>
  <c r="AD964" i="76"/>
  <c r="AE964" i="76"/>
  <c r="AM963" i="76"/>
  <c r="AJ963" i="76"/>
  <c r="AG963" i="76"/>
  <c r="AD963" i="76"/>
  <c r="AE963" i="76"/>
  <c r="AM962" i="76"/>
  <c r="AJ962" i="76"/>
  <c r="AG962" i="76"/>
  <c r="AD962" i="76"/>
  <c r="O962" i="76"/>
  <c r="AE962" i="76"/>
  <c r="AM961" i="76"/>
  <c r="AJ961" i="76"/>
  <c r="AG961" i="76"/>
  <c r="AD961" i="76"/>
  <c r="M961" i="76"/>
  <c r="X961" i="76" s="1"/>
  <c r="AE961" i="76"/>
  <c r="AM960" i="76"/>
  <c r="AJ960" i="76"/>
  <c r="AG960" i="76"/>
  <c r="AD960" i="76"/>
  <c r="AE960" i="76"/>
  <c r="AM1013" i="76"/>
  <c r="AJ1013" i="76"/>
  <c r="AG1013" i="76"/>
  <c r="AD1013" i="76"/>
  <c r="AE1013" i="76"/>
  <c r="AM959" i="76"/>
  <c r="AJ959" i="76"/>
  <c r="AG959" i="76"/>
  <c r="AD959" i="76"/>
  <c r="AE959" i="76"/>
  <c r="AM958" i="76"/>
  <c r="AJ958" i="76"/>
  <c r="AG958" i="76"/>
  <c r="AD958" i="76"/>
  <c r="AE958" i="76"/>
  <c r="AM957" i="76"/>
  <c r="AM956" i="76"/>
  <c r="AM955" i="76"/>
  <c r="AM954" i="76"/>
  <c r="AM953" i="76"/>
  <c r="AM952" i="76"/>
  <c r="R952" i="76"/>
  <c r="Q952" i="76"/>
  <c r="P952" i="76"/>
  <c r="M952" i="76"/>
  <c r="AM951" i="76"/>
  <c r="AL951" i="76"/>
  <c r="AJ951" i="76"/>
  <c r="AG951" i="76"/>
  <c r="AD951" i="76"/>
  <c r="AH951" i="76"/>
  <c r="AM941" i="76"/>
  <c r="AL941" i="76"/>
  <c r="AJ941" i="76"/>
  <c r="AG941" i="76"/>
  <c r="AD941" i="76"/>
  <c r="AH941" i="76"/>
  <c r="AM948" i="76"/>
  <c r="AL948" i="76"/>
  <c r="AJ948" i="76"/>
  <c r="AG948" i="76"/>
  <c r="AD948" i="76"/>
  <c r="AE948" i="76"/>
  <c r="AM947" i="76"/>
  <c r="AL947" i="76"/>
  <c r="AJ947" i="76"/>
  <c r="AG947" i="76"/>
  <c r="AD947" i="76"/>
  <c r="AE947" i="76"/>
  <c r="AM946" i="76"/>
  <c r="AL946" i="76"/>
  <c r="AJ946" i="76"/>
  <c r="AG946" i="76"/>
  <c r="AD946" i="76"/>
  <c r="AE946" i="76"/>
  <c r="AM945" i="76"/>
  <c r="AL945" i="76"/>
  <c r="AJ945" i="76"/>
  <c r="AG945" i="76"/>
  <c r="AD945" i="76"/>
  <c r="AH945" i="76"/>
  <c r="AM944" i="76"/>
  <c r="AM943" i="76"/>
  <c r="AM942" i="76"/>
  <c r="AM935" i="76"/>
  <c r="AL935" i="76"/>
  <c r="AJ935" i="76"/>
  <c r="AG935" i="76"/>
  <c r="AD935" i="76"/>
  <c r="W936" i="76"/>
  <c r="AH935" i="76"/>
  <c r="AM949" i="76"/>
  <c r="AL949" i="76"/>
  <c r="AJ949" i="76"/>
  <c r="AG949" i="76"/>
  <c r="AD949" i="76"/>
  <c r="AE949" i="76"/>
  <c r="AM939" i="76"/>
  <c r="AL939" i="76"/>
  <c r="AJ939" i="76"/>
  <c r="AG939" i="76"/>
  <c r="AD939" i="76"/>
  <c r="AE939" i="76"/>
  <c r="AM940" i="76"/>
  <c r="AJ940" i="76"/>
  <c r="AG940" i="76"/>
  <c r="AD940" i="76"/>
  <c r="AH940" i="76"/>
  <c r="AM938" i="76"/>
  <c r="AM933" i="76"/>
  <c r="AM932" i="76"/>
  <c r="R932" i="76"/>
  <c r="Q932" i="76"/>
  <c r="P932" i="76"/>
  <c r="M932" i="76"/>
  <c r="AM931" i="76"/>
  <c r="AJ931" i="76"/>
  <c r="AG931" i="76"/>
  <c r="AD931" i="76"/>
  <c r="AE931" i="76"/>
  <c r="AM930" i="76"/>
  <c r="AM929" i="76"/>
  <c r="AM950" i="76"/>
  <c r="AL950" i="76"/>
  <c r="AJ950" i="76"/>
  <c r="AG950" i="76"/>
  <c r="AD950" i="76"/>
  <c r="AE950" i="76"/>
  <c r="AM927" i="76"/>
  <c r="AM926" i="76"/>
  <c r="AM925" i="76"/>
  <c r="AM924" i="76"/>
  <c r="AM923" i="76"/>
  <c r="AM922" i="76"/>
  <c r="AL922" i="76"/>
  <c r="AJ922" i="76"/>
  <c r="AG922" i="76"/>
  <c r="AD922" i="76"/>
  <c r="AH922" i="76"/>
  <c r="AM879" i="76"/>
  <c r="AL879" i="76"/>
  <c r="AJ879" i="76"/>
  <c r="AG879" i="76"/>
  <c r="AD879" i="76"/>
  <c r="AH879" i="76"/>
  <c r="AM921" i="76"/>
  <c r="AL921" i="76"/>
  <c r="AJ921" i="76"/>
  <c r="AG921" i="76"/>
  <c r="AD921" i="76"/>
  <c r="AE921" i="76"/>
  <c r="AM919" i="76"/>
  <c r="AM918" i="76"/>
  <c r="AM917" i="76"/>
  <c r="AM916" i="76"/>
  <c r="AL916" i="76"/>
  <c r="AJ916" i="76"/>
  <c r="AG916" i="76"/>
  <c r="AD916" i="76"/>
  <c r="AH916" i="76"/>
  <c r="AM900" i="76"/>
  <c r="AJ900" i="76"/>
  <c r="AG900" i="76"/>
  <c r="AD900" i="76"/>
  <c r="AH900" i="76"/>
  <c r="AM903" i="76"/>
  <c r="AJ903" i="76"/>
  <c r="AG903" i="76"/>
  <c r="AD903" i="76"/>
  <c r="AH903" i="76"/>
  <c r="AM902" i="76"/>
  <c r="AJ902" i="76"/>
  <c r="AG902" i="76"/>
  <c r="AD902" i="76"/>
  <c r="AH902" i="76"/>
  <c r="AM901" i="76"/>
  <c r="AJ901" i="76"/>
  <c r="AG901" i="76"/>
  <c r="AD901" i="76"/>
  <c r="AH901" i="76"/>
  <c r="AM911" i="76"/>
  <c r="AL911" i="76"/>
  <c r="AJ911" i="76"/>
  <c r="AG911" i="76"/>
  <c r="AD911" i="76"/>
  <c r="AM897" i="76"/>
  <c r="AL897" i="76"/>
  <c r="AJ897" i="76"/>
  <c r="AG897" i="76"/>
  <c r="AD897" i="76"/>
  <c r="AH897" i="76"/>
  <c r="AM915" i="76"/>
  <c r="AL915" i="76"/>
  <c r="AJ915" i="76"/>
  <c r="AG915" i="76"/>
  <c r="AD915" i="76"/>
  <c r="AM907" i="76"/>
  <c r="AJ907" i="76"/>
  <c r="AG907" i="76"/>
  <c r="AD907" i="76"/>
  <c r="AM920" i="76"/>
  <c r="AJ920" i="76"/>
  <c r="AG920" i="76"/>
  <c r="AD920" i="76"/>
  <c r="AM914" i="76"/>
  <c r="AM905" i="76"/>
  <c r="AM904" i="76"/>
  <c r="R904" i="76"/>
  <c r="Q904" i="76"/>
  <c r="P904" i="76"/>
  <c r="AM899" i="76"/>
  <c r="AL899" i="76"/>
  <c r="AJ899" i="76"/>
  <c r="AG899" i="76"/>
  <c r="AD899" i="76"/>
  <c r="AM898" i="76"/>
  <c r="AL898" i="76"/>
  <c r="AJ898" i="76"/>
  <c r="AG898" i="76"/>
  <c r="AD898" i="76"/>
  <c r="AE898" i="76"/>
  <c r="AM896" i="76"/>
  <c r="AL896" i="76"/>
  <c r="AJ896" i="76"/>
  <c r="AG896" i="76"/>
  <c r="AD896" i="76"/>
  <c r="AE896" i="76"/>
  <c r="AM895" i="76"/>
  <c r="AL895" i="76"/>
  <c r="AJ895" i="76"/>
  <c r="AG895" i="76"/>
  <c r="AD895" i="76"/>
  <c r="AM894" i="76"/>
  <c r="AL894" i="76"/>
  <c r="AJ894" i="76"/>
  <c r="AG894" i="76"/>
  <c r="AD894" i="76"/>
  <c r="AM893" i="76"/>
  <c r="AM892" i="76"/>
  <c r="AM891" i="76"/>
  <c r="AM890" i="76"/>
  <c r="AM889" i="76"/>
  <c r="AM888" i="76"/>
  <c r="AM887" i="76"/>
  <c r="AL887" i="76"/>
  <c r="AJ887" i="76"/>
  <c r="AG887" i="76"/>
  <c r="AD887" i="76"/>
  <c r="AM886" i="76"/>
  <c r="AL886" i="76"/>
  <c r="AJ886" i="76"/>
  <c r="AG886" i="76"/>
  <c r="AD886" i="76"/>
  <c r="AM884" i="76"/>
  <c r="AL884" i="76"/>
  <c r="AJ884" i="76"/>
  <c r="AG884" i="76"/>
  <c r="AD884" i="76"/>
  <c r="O884" i="76"/>
  <c r="AE884" i="76"/>
  <c r="AM885" i="76"/>
  <c r="AL885" i="76"/>
  <c r="AJ885" i="76"/>
  <c r="AG885" i="76"/>
  <c r="AD885" i="76"/>
  <c r="AM882" i="76"/>
  <c r="AM883" i="76"/>
  <c r="AJ883" i="76"/>
  <c r="AG883" i="76"/>
  <c r="AD883" i="76"/>
  <c r="AE883" i="76"/>
  <c r="AM877" i="76"/>
  <c r="AM876" i="76"/>
  <c r="R876" i="76"/>
  <c r="Q876" i="76"/>
  <c r="P876" i="76"/>
  <c r="AM875" i="76"/>
  <c r="AL875" i="76"/>
  <c r="AJ875" i="76"/>
  <c r="AG875" i="76"/>
  <c r="AD875" i="76"/>
  <c r="AE875" i="76"/>
  <c r="AM874" i="76"/>
  <c r="AL874" i="76"/>
  <c r="AJ874" i="76"/>
  <c r="AG874" i="76"/>
  <c r="AD874" i="76"/>
  <c r="AM873" i="76"/>
  <c r="AM872" i="76"/>
  <c r="AM871" i="76"/>
  <c r="AM870" i="76"/>
  <c r="AM869" i="76"/>
  <c r="AM868" i="76"/>
  <c r="R868" i="76"/>
  <c r="Q868" i="76"/>
  <c r="P868" i="76"/>
  <c r="M868" i="76"/>
  <c r="AM865" i="76"/>
  <c r="AL865" i="76"/>
  <c r="AJ865" i="76"/>
  <c r="AG865" i="76"/>
  <c r="AD865" i="76"/>
  <c r="AH865" i="76"/>
  <c r="AM855" i="76"/>
  <c r="AL855" i="76"/>
  <c r="AJ855" i="76"/>
  <c r="AG855" i="76"/>
  <c r="AD855" i="76"/>
  <c r="AM867" i="76"/>
  <c r="AL867" i="76"/>
  <c r="AJ867" i="76"/>
  <c r="AG867" i="76"/>
  <c r="AD867" i="76"/>
  <c r="AE867" i="76"/>
  <c r="AM860" i="76"/>
  <c r="AL860" i="76"/>
  <c r="AJ860" i="76"/>
  <c r="AG860" i="76"/>
  <c r="AD860" i="76"/>
  <c r="AE860" i="76"/>
  <c r="AM866" i="76"/>
  <c r="AL866" i="76"/>
  <c r="AJ866" i="76"/>
  <c r="AG866" i="76"/>
  <c r="AD866" i="76"/>
  <c r="AM853" i="76"/>
  <c r="AL853" i="76"/>
  <c r="AJ853" i="76"/>
  <c r="AG853" i="76"/>
  <c r="AD853" i="76"/>
  <c r="AE853" i="76"/>
  <c r="AM854" i="76"/>
  <c r="AL854" i="76"/>
  <c r="AJ854" i="76"/>
  <c r="AG854" i="76"/>
  <c r="AD854" i="76"/>
  <c r="AM864" i="76"/>
  <c r="AL864" i="76"/>
  <c r="AJ864" i="76"/>
  <c r="AG864" i="76"/>
  <c r="AD864" i="76"/>
  <c r="AE864" i="76"/>
  <c r="AM863" i="76"/>
  <c r="AM862" i="76"/>
  <c r="AM861" i="76"/>
  <c r="AM858" i="76"/>
  <c r="AL858" i="76"/>
  <c r="AJ858" i="76"/>
  <c r="AG858" i="76"/>
  <c r="AD858" i="76"/>
  <c r="AE858" i="76"/>
  <c r="AM857" i="76"/>
  <c r="AL857" i="76"/>
  <c r="AJ857" i="76"/>
  <c r="AG857" i="76"/>
  <c r="AD857" i="76"/>
  <c r="AM843" i="76"/>
  <c r="AL843" i="76"/>
  <c r="AJ843" i="76"/>
  <c r="AG843" i="76"/>
  <c r="AD843" i="76"/>
  <c r="AE843" i="76"/>
  <c r="AM856" i="76"/>
  <c r="AL856" i="76"/>
  <c r="AJ856" i="76"/>
  <c r="AG856" i="76"/>
  <c r="AD856" i="76"/>
  <c r="AE856" i="76"/>
  <c r="AM842" i="76"/>
  <c r="AL842" i="76"/>
  <c r="AJ842" i="76"/>
  <c r="AG842" i="76"/>
  <c r="AD842" i="76"/>
  <c r="AM852" i="76"/>
  <c r="AL852" i="76"/>
  <c r="AJ852" i="76"/>
  <c r="AG852" i="76"/>
  <c r="AD852" i="76"/>
  <c r="AH852" i="76"/>
  <c r="AM851" i="76"/>
  <c r="AM845" i="76"/>
  <c r="AM844" i="76"/>
  <c r="AM848" i="76"/>
  <c r="AL848" i="76"/>
  <c r="AJ848" i="76"/>
  <c r="AG848" i="76"/>
  <c r="AD848" i="76"/>
  <c r="AM847" i="76"/>
  <c r="AL847" i="76"/>
  <c r="AJ847" i="76"/>
  <c r="AG847" i="76"/>
  <c r="AD847" i="76"/>
  <c r="AM841" i="76"/>
  <c r="AM840" i="76"/>
  <c r="AM839" i="76"/>
  <c r="AM838" i="76"/>
  <c r="AM837" i="76"/>
  <c r="AM836" i="76"/>
  <c r="AM835" i="76"/>
  <c r="AL835" i="76"/>
  <c r="AJ835" i="76"/>
  <c r="AG835" i="76"/>
  <c r="AD835" i="76"/>
  <c r="AH835" i="76"/>
  <c r="AM834" i="76"/>
  <c r="AL834" i="76"/>
  <c r="AJ834" i="76"/>
  <c r="AG834" i="76"/>
  <c r="AD834" i="76"/>
  <c r="AM833" i="76"/>
  <c r="AL833" i="76"/>
  <c r="AJ833" i="76"/>
  <c r="AG833" i="76"/>
  <c r="AD833" i="76"/>
  <c r="AE833" i="76"/>
  <c r="AM824" i="76"/>
  <c r="AL824" i="76"/>
  <c r="AJ824" i="76"/>
  <c r="AG824" i="76"/>
  <c r="AD824" i="76"/>
  <c r="AM832" i="76"/>
  <c r="AM826" i="76"/>
  <c r="AM825" i="76"/>
  <c r="AM828" i="76"/>
  <c r="AL828" i="76"/>
  <c r="AJ828" i="76"/>
  <c r="AG828" i="76"/>
  <c r="AD828" i="76"/>
  <c r="AM823" i="76"/>
  <c r="AL823" i="76"/>
  <c r="AJ823" i="76"/>
  <c r="AG823" i="76"/>
  <c r="AD823" i="76"/>
  <c r="AM822" i="76"/>
  <c r="AM821" i="76"/>
  <c r="AM820" i="76"/>
  <c r="AM829" i="76"/>
  <c r="AL829" i="76"/>
  <c r="AJ829" i="76"/>
  <c r="AG829" i="76"/>
  <c r="AD829" i="76"/>
  <c r="AE829" i="76"/>
  <c r="AM819" i="76"/>
  <c r="AL819" i="76"/>
  <c r="AJ819" i="76"/>
  <c r="AG819" i="76"/>
  <c r="AD819" i="76"/>
  <c r="AM818" i="76"/>
  <c r="AL818" i="76"/>
  <c r="AJ818" i="76"/>
  <c r="AG818" i="76"/>
  <c r="AD818" i="76"/>
  <c r="AH818" i="76"/>
  <c r="AM817" i="76"/>
  <c r="AM816" i="76"/>
  <c r="AM815" i="76"/>
  <c r="AM814" i="76"/>
  <c r="AM813" i="76"/>
  <c r="AM812" i="76"/>
  <c r="AM811" i="76"/>
  <c r="AL811" i="76"/>
  <c r="AJ811" i="76"/>
  <c r="AG811" i="76"/>
  <c r="AD811" i="76"/>
  <c r="AM801" i="76"/>
  <c r="AL801" i="76"/>
  <c r="AJ801" i="76"/>
  <c r="AG801" i="76"/>
  <c r="AD801" i="76"/>
  <c r="AM810" i="76"/>
  <c r="AL810" i="76"/>
  <c r="AJ810" i="76"/>
  <c r="AG810" i="76"/>
  <c r="AD810" i="76"/>
  <c r="AH810" i="76"/>
  <c r="AM809" i="76"/>
  <c r="AL809" i="76"/>
  <c r="AJ809" i="76"/>
  <c r="AG809" i="76"/>
  <c r="AD809" i="76"/>
  <c r="AM800" i="76"/>
  <c r="AL800" i="76"/>
  <c r="AJ800" i="76"/>
  <c r="AG800" i="76"/>
  <c r="AD800" i="76"/>
  <c r="AE800" i="76"/>
  <c r="AM808" i="76"/>
  <c r="AL808" i="76"/>
  <c r="AJ808" i="76"/>
  <c r="AG808" i="76"/>
  <c r="AD808" i="76"/>
  <c r="AM807" i="76"/>
  <c r="AL807" i="76"/>
  <c r="AJ807" i="76"/>
  <c r="AG807" i="76"/>
  <c r="AD807" i="76"/>
  <c r="AH807" i="76"/>
  <c r="AM806" i="76"/>
  <c r="AM805" i="76"/>
  <c r="AM804" i="76"/>
  <c r="R804" i="76"/>
  <c r="Q804" i="76"/>
  <c r="P804" i="76"/>
  <c r="AM803" i="76"/>
  <c r="AL803" i="76"/>
  <c r="AJ803" i="76"/>
  <c r="AG803" i="76"/>
  <c r="AD803" i="76"/>
  <c r="AH803" i="76"/>
  <c r="AM799" i="76"/>
  <c r="AL799" i="76"/>
  <c r="AJ799" i="76"/>
  <c r="AG799" i="76"/>
  <c r="AD799" i="76"/>
  <c r="AM790" i="76"/>
  <c r="AL790" i="76"/>
  <c r="AJ790" i="76"/>
  <c r="AG790" i="76"/>
  <c r="AD790" i="76"/>
  <c r="AH790" i="76"/>
  <c r="AM798" i="76"/>
  <c r="AM792" i="76"/>
  <c r="AM791" i="76"/>
  <c r="AM795" i="76"/>
  <c r="AL795" i="76"/>
  <c r="AJ795" i="76"/>
  <c r="AG795" i="76"/>
  <c r="AD795" i="76"/>
  <c r="AM794" i="76"/>
  <c r="AL794" i="76"/>
  <c r="AJ794" i="76"/>
  <c r="AG794" i="76"/>
  <c r="AD794" i="76"/>
  <c r="AM788" i="76"/>
  <c r="AL788" i="76"/>
  <c r="AJ788" i="76"/>
  <c r="AG788" i="76"/>
  <c r="AD788" i="76"/>
  <c r="AM787" i="76"/>
  <c r="AM786" i="76"/>
  <c r="AM785" i="76"/>
  <c r="AM784" i="76"/>
  <c r="AM783" i="76"/>
  <c r="AM782" i="76"/>
  <c r="AM781" i="76"/>
  <c r="AM780" i="76"/>
  <c r="AM769" i="76"/>
  <c r="AL769" i="76"/>
  <c r="AJ769" i="76"/>
  <c r="AG769" i="76"/>
  <c r="AD769" i="76"/>
  <c r="AE769" i="76"/>
  <c r="AM772" i="76"/>
  <c r="AM766" i="76"/>
  <c r="AM765" i="76"/>
  <c r="AM760" i="76"/>
  <c r="AJ760" i="76"/>
  <c r="AG760" i="76"/>
  <c r="AD760" i="76"/>
  <c r="AM777" i="76"/>
  <c r="AJ777" i="76"/>
  <c r="AG777" i="76"/>
  <c r="AD777" i="76"/>
  <c r="AM776" i="76"/>
  <c r="AJ776" i="76"/>
  <c r="AG776" i="76"/>
  <c r="AD776" i="76"/>
  <c r="AM775" i="76"/>
  <c r="AJ775" i="76"/>
  <c r="AG775" i="76"/>
  <c r="AD775" i="76"/>
  <c r="AM764" i="76"/>
  <c r="AL764" i="76"/>
  <c r="AJ764" i="76"/>
  <c r="AG764" i="76"/>
  <c r="AD764" i="76"/>
  <c r="AH764" i="76"/>
  <c r="AM779" i="76"/>
  <c r="AL779" i="76"/>
  <c r="AJ779" i="76"/>
  <c r="AG779" i="76"/>
  <c r="AD779" i="76"/>
  <c r="AH779" i="76"/>
  <c r="AM773" i="76"/>
  <c r="AL773" i="76"/>
  <c r="AJ773" i="76"/>
  <c r="AG773" i="76"/>
  <c r="AD773" i="76"/>
  <c r="AM768" i="76"/>
  <c r="AL768" i="76"/>
  <c r="AJ768" i="76"/>
  <c r="AG768" i="76"/>
  <c r="AD768" i="76"/>
  <c r="AE768" i="76"/>
  <c r="AM774" i="76"/>
  <c r="AJ774" i="76"/>
  <c r="AG774" i="76"/>
  <c r="AD774" i="76"/>
  <c r="AE774" i="76"/>
  <c r="AM778" i="76"/>
  <c r="AJ778" i="76"/>
  <c r="AG778" i="76"/>
  <c r="AD778" i="76"/>
  <c r="AE778" i="76"/>
  <c r="AM763" i="76"/>
  <c r="AM762" i="76"/>
  <c r="AM761" i="76"/>
  <c r="AM759" i="76"/>
  <c r="AL759" i="76"/>
  <c r="AJ759" i="76"/>
  <c r="AG759" i="76"/>
  <c r="AD759" i="76"/>
  <c r="AE759" i="76"/>
  <c r="AM758" i="76"/>
  <c r="AL758" i="76"/>
  <c r="AJ758" i="76"/>
  <c r="AG758" i="76"/>
  <c r="AD758" i="76"/>
  <c r="AM757" i="76"/>
  <c r="AL757" i="76"/>
  <c r="AJ757" i="76"/>
  <c r="AG757" i="76"/>
  <c r="AD757" i="76"/>
  <c r="AM756" i="76"/>
  <c r="AL756" i="76"/>
  <c r="AJ756" i="76"/>
  <c r="AG756" i="76"/>
  <c r="AD756" i="76"/>
  <c r="AM755" i="76"/>
  <c r="AM754" i="76"/>
  <c r="AM753" i="76"/>
  <c r="AM752" i="76"/>
  <c r="AM751" i="76"/>
  <c r="AM750" i="76"/>
  <c r="AM747" i="76"/>
  <c r="AL747" i="76"/>
  <c r="AJ747" i="76"/>
  <c r="AG747" i="76"/>
  <c r="AD747" i="76"/>
  <c r="AE747" i="76"/>
  <c r="AM749" i="76"/>
  <c r="AL749" i="76"/>
  <c r="AJ749" i="76"/>
  <c r="AG749" i="76"/>
  <c r="AD749" i="76"/>
  <c r="AM743" i="76"/>
  <c r="AL743" i="76"/>
  <c r="AJ743" i="76"/>
  <c r="AG743" i="76"/>
  <c r="AD743" i="76"/>
  <c r="AH743" i="76"/>
  <c r="AM742" i="76"/>
  <c r="AL742" i="76"/>
  <c r="AJ742" i="76"/>
  <c r="AG742" i="76"/>
  <c r="AD742" i="76"/>
  <c r="AH742" i="76"/>
  <c r="AM748" i="76"/>
  <c r="AL748" i="76"/>
  <c r="AJ748" i="76"/>
  <c r="AG748" i="76"/>
  <c r="AD748" i="76"/>
  <c r="AM746" i="76"/>
  <c r="AM745" i="76"/>
  <c r="AM744" i="76"/>
  <c r="AM732" i="76"/>
  <c r="AL732" i="76"/>
  <c r="AJ732" i="76"/>
  <c r="AG732" i="76"/>
  <c r="AD732" i="76"/>
  <c r="AE732" i="76"/>
  <c r="AM741" i="76"/>
  <c r="AM735" i="76"/>
  <c r="AM734" i="76"/>
  <c r="M734" i="76"/>
  <c r="M752" i="76" s="1"/>
  <c r="AM733" i="76"/>
  <c r="AL733" i="76"/>
  <c r="AJ733" i="76"/>
  <c r="AG733" i="76"/>
  <c r="AD733" i="76"/>
  <c r="AH733" i="76"/>
  <c r="AM731" i="76"/>
  <c r="AL731" i="76"/>
  <c r="AJ731" i="76"/>
  <c r="AG731" i="76"/>
  <c r="AD731" i="76"/>
  <c r="AE731" i="76"/>
  <c r="AM730" i="76"/>
  <c r="AL730" i="76"/>
  <c r="AJ730" i="76"/>
  <c r="AG730" i="76"/>
  <c r="AD730" i="76"/>
  <c r="AM729" i="76"/>
  <c r="AM728" i="76"/>
  <c r="AM727" i="76"/>
  <c r="AM726" i="76"/>
  <c r="AM725" i="76"/>
  <c r="AM724" i="76"/>
  <c r="R724" i="76"/>
  <c r="Q724" i="76"/>
  <c r="P724" i="76"/>
  <c r="M724" i="76"/>
  <c r="AM723" i="76"/>
  <c r="AL723" i="76"/>
  <c r="AJ723" i="76"/>
  <c r="AG723" i="76"/>
  <c r="AD723" i="76"/>
  <c r="AH723" i="76"/>
  <c r="AM718" i="76"/>
  <c r="AL718" i="76"/>
  <c r="AJ718" i="76"/>
  <c r="AG718" i="76"/>
  <c r="AD718" i="76"/>
  <c r="AM722" i="76"/>
  <c r="AL722" i="76"/>
  <c r="AJ722" i="76"/>
  <c r="AG722" i="76"/>
  <c r="AD722" i="76"/>
  <c r="AM721" i="76"/>
  <c r="AM720" i="76"/>
  <c r="AM719" i="76"/>
  <c r="AM702" i="76"/>
  <c r="AL702" i="76"/>
  <c r="AJ702" i="76"/>
  <c r="AG702" i="76"/>
  <c r="AD702" i="76"/>
  <c r="AM708" i="76"/>
  <c r="AL708" i="76"/>
  <c r="AJ708" i="76"/>
  <c r="AG708" i="76"/>
  <c r="AD708" i="76"/>
  <c r="AE708" i="76"/>
  <c r="AM717" i="76"/>
  <c r="AJ717" i="76"/>
  <c r="AG717" i="76"/>
  <c r="AD717" i="76"/>
  <c r="AE717" i="76"/>
  <c r="AM712" i="76"/>
  <c r="AL712" i="76"/>
  <c r="AJ712" i="76"/>
  <c r="AG712" i="76"/>
  <c r="AD712" i="76"/>
  <c r="AE712" i="76"/>
  <c r="AM713" i="76"/>
  <c r="AL713" i="76"/>
  <c r="AJ713" i="76"/>
  <c r="AG713" i="76"/>
  <c r="AD713" i="76"/>
  <c r="AE713" i="76"/>
  <c r="AM716" i="76"/>
  <c r="AM704" i="76"/>
  <c r="AM703" i="76"/>
  <c r="AM707" i="76"/>
  <c r="AJ707" i="76"/>
  <c r="AG707" i="76"/>
  <c r="AD707" i="76"/>
  <c r="AE707" i="76"/>
  <c r="AM706" i="76"/>
  <c r="AL706" i="76"/>
  <c r="AJ706" i="76"/>
  <c r="AG706" i="76"/>
  <c r="AD706" i="76"/>
  <c r="AH706" i="76"/>
  <c r="AM701" i="76"/>
  <c r="AL701" i="76"/>
  <c r="AJ701" i="76"/>
  <c r="AG701" i="76"/>
  <c r="AD701" i="76"/>
  <c r="AE701" i="76"/>
  <c r="AM700" i="76"/>
  <c r="AM699" i="76"/>
  <c r="AM698" i="76"/>
  <c r="AM697" i="76"/>
  <c r="AM696" i="76"/>
  <c r="AM695" i="76"/>
  <c r="R695" i="76"/>
  <c r="Q695" i="76"/>
  <c r="P695" i="76"/>
  <c r="M695" i="76"/>
  <c r="AM691" i="76"/>
  <c r="AL691" i="76"/>
  <c r="AJ691" i="76"/>
  <c r="AG691" i="76"/>
  <c r="AD691" i="76"/>
  <c r="AE691" i="76"/>
  <c r="AM694" i="76"/>
  <c r="AL694" i="76"/>
  <c r="AJ694" i="76"/>
  <c r="AG694" i="76"/>
  <c r="AD694" i="76"/>
  <c r="AM693" i="76"/>
  <c r="AL693" i="76"/>
  <c r="AJ693" i="76"/>
  <c r="AG693" i="76"/>
  <c r="AD693" i="76"/>
  <c r="AE693" i="76"/>
  <c r="AM692" i="76"/>
  <c r="AL692" i="76"/>
  <c r="AJ692" i="76"/>
  <c r="AG692" i="76"/>
  <c r="AD692" i="76"/>
  <c r="AE692" i="76"/>
  <c r="AM690" i="76"/>
  <c r="AL690" i="76"/>
  <c r="AJ690" i="76"/>
  <c r="AG690" i="76"/>
  <c r="AD690" i="76"/>
  <c r="AE690" i="76"/>
  <c r="AM685" i="76"/>
  <c r="AL685" i="76"/>
  <c r="AJ685" i="76"/>
  <c r="AG685" i="76"/>
  <c r="AD685" i="76"/>
  <c r="X686" i="76"/>
  <c r="W686" i="76"/>
  <c r="AE685" i="76"/>
  <c r="AM689" i="76"/>
  <c r="AL689" i="76"/>
  <c r="AJ689" i="76"/>
  <c r="AG689" i="76"/>
  <c r="AD689" i="76"/>
  <c r="AE689" i="76"/>
  <c r="AM688" i="76"/>
  <c r="AM687" i="76"/>
  <c r="AM682" i="76"/>
  <c r="R682" i="76"/>
  <c r="Q682" i="76"/>
  <c r="P682" i="76"/>
  <c r="M682" i="76"/>
  <c r="AM681" i="76"/>
  <c r="AL681" i="76"/>
  <c r="AJ681" i="76"/>
  <c r="AG681" i="76"/>
  <c r="AD681" i="76"/>
  <c r="X682" i="76"/>
  <c r="W682" i="76"/>
  <c r="AE681" i="76"/>
  <c r="AM680" i="76"/>
  <c r="AM679" i="76"/>
  <c r="AM678" i="76"/>
  <c r="AM677" i="76"/>
  <c r="AM676" i="76"/>
  <c r="AM675" i="76"/>
  <c r="R675" i="76"/>
  <c r="Q675" i="76"/>
  <c r="P675" i="76"/>
  <c r="M675" i="76"/>
  <c r="AM674" i="76"/>
  <c r="AL674" i="76"/>
  <c r="AJ674" i="76"/>
  <c r="AG674" i="76"/>
  <c r="AD674" i="76"/>
  <c r="AM663" i="76"/>
  <c r="AL663" i="76"/>
  <c r="AJ663" i="76"/>
  <c r="AG663" i="76"/>
  <c r="AD663" i="76"/>
  <c r="AE663" i="76"/>
  <c r="AM673" i="76"/>
  <c r="AL673" i="76"/>
  <c r="AJ673" i="76"/>
  <c r="AG673" i="76"/>
  <c r="AD673" i="76"/>
  <c r="AH673" i="76"/>
  <c r="AM672" i="76"/>
  <c r="AL672" i="76"/>
  <c r="AJ672" i="76"/>
  <c r="AG672" i="76"/>
  <c r="AD672" i="76"/>
  <c r="AE672" i="76"/>
  <c r="AM671" i="76"/>
  <c r="AM670" i="76"/>
  <c r="AM669" i="76"/>
  <c r="AM654" i="76"/>
  <c r="AL654" i="76"/>
  <c r="AJ654" i="76"/>
  <c r="AG654" i="76"/>
  <c r="AD654" i="76"/>
  <c r="X655" i="76"/>
  <c r="W655" i="76"/>
  <c r="AE654" i="76"/>
  <c r="AM668" i="76"/>
  <c r="AL668" i="76"/>
  <c r="AJ668" i="76"/>
  <c r="AG668" i="76"/>
  <c r="AD668" i="76"/>
  <c r="AE668" i="76"/>
  <c r="AM664" i="76"/>
  <c r="AL664" i="76"/>
  <c r="AJ664" i="76"/>
  <c r="AG664" i="76"/>
  <c r="AD664" i="76"/>
  <c r="AE664" i="76"/>
  <c r="AM667" i="76"/>
  <c r="AM656" i="76"/>
  <c r="AM655" i="76"/>
  <c r="AM658" i="76"/>
  <c r="AL658" i="76"/>
  <c r="AJ658" i="76"/>
  <c r="AG658" i="76"/>
  <c r="AD658" i="76"/>
  <c r="AE658" i="76"/>
  <c r="AM653" i="76"/>
  <c r="AM652" i="76"/>
  <c r="AM651" i="76"/>
  <c r="AM650" i="76"/>
  <c r="AM649" i="76"/>
  <c r="AM648" i="76"/>
  <c r="R648" i="76"/>
  <c r="R650" i="76" s="1"/>
  <c r="Q648" i="76"/>
  <c r="Q650" i="76" s="1"/>
  <c r="P648" i="76"/>
  <c r="P650" i="76" s="1"/>
  <c r="M648" i="76"/>
  <c r="AM647" i="76"/>
  <c r="AL647" i="76"/>
  <c r="AJ647" i="76"/>
  <c r="AG647" i="76"/>
  <c r="AD647" i="76"/>
  <c r="AH647" i="76"/>
  <c r="AM646" i="76"/>
  <c r="AL646" i="76"/>
  <c r="AJ646" i="76"/>
  <c r="AG646" i="76"/>
  <c r="AD646" i="76"/>
  <c r="O646" i="76"/>
  <c r="AE646" i="76"/>
  <c r="AM645" i="76"/>
  <c r="AL645" i="76"/>
  <c r="AJ645" i="76"/>
  <c r="AG645" i="76"/>
  <c r="AD645" i="76"/>
  <c r="AE645" i="76"/>
  <c r="AM644" i="76"/>
  <c r="AM639" i="76"/>
  <c r="AM638" i="76"/>
  <c r="AM641" i="76"/>
  <c r="AL641" i="76"/>
  <c r="AJ641" i="76"/>
  <c r="AG641" i="76"/>
  <c r="AD641" i="76"/>
  <c r="O641" i="76"/>
  <c r="AE641" i="76"/>
  <c r="AM637" i="76"/>
  <c r="AL637" i="76"/>
  <c r="AJ637" i="76"/>
  <c r="AG637" i="76"/>
  <c r="AD637" i="76"/>
  <c r="O637" i="76"/>
  <c r="AH637" i="76"/>
  <c r="AM636" i="76"/>
  <c r="AM635" i="76"/>
  <c r="AM634" i="76"/>
  <c r="AM633" i="76"/>
  <c r="AM624" i="76"/>
  <c r="AM623" i="76"/>
  <c r="AM628" i="76"/>
  <c r="AL628" i="76"/>
  <c r="AJ628" i="76"/>
  <c r="AG628" i="76"/>
  <c r="AD628" i="76"/>
  <c r="AE628" i="76"/>
  <c r="AM630" i="76"/>
  <c r="AL630" i="76"/>
  <c r="AJ630" i="76"/>
  <c r="AG630" i="76"/>
  <c r="AD630" i="76"/>
  <c r="AH630" i="76"/>
  <c r="AM627" i="76"/>
  <c r="AL627" i="76"/>
  <c r="AJ627" i="76"/>
  <c r="AG627" i="76"/>
  <c r="AD627" i="76"/>
  <c r="AH627" i="76"/>
  <c r="AM622" i="76"/>
  <c r="AL622" i="76"/>
  <c r="AJ622" i="76"/>
  <c r="AG622" i="76"/>
  <c r="AD622" i="76"/>
  <c r="X623" i="76"/>
  <c r="W623" i="76"/>
  <c r="AE622" i="76"/>
  <c r="AM626" i="76"/>
  <c r="AL626" i="76"/>
  <c r="AJ626" i="76"/>
  <c r="AG626" i="76"/>
  <c r="AD626" i="76"/>
  <c r="AE626" i="76"/>
  <c r="AM621" i="76"/>
  <c r="AM620" i="76"/>
  <c r="AM619" i="76"/>
  <c r="R619" i="76"/>
  <c r="Q619" i="76"/>
  <c r="P619" i="76"/>
  <c r="AM618" i="76"/>
  <c r="AL618" i="76"/>
  <c r="AJ618" i="76"/>
  <c r="AG618" i="76"/>
  <c r="AD618" i="76"/>
  <c r="AH618" i="76"/>
  <c r="AM617" i="76"/>
  <c r="AL617" i="76"/>
  <c r="AJ617" i="76"/>
  <c r="AG617" i="76"/>
  <c r="AD617" i="76"/>
  <c r="AH617" i="76"/>
  <c r="AM616" i="76"/>
  <c r="AM615" i="76"/>
  <c r="AM614" i="76"/>
  <c r="R614" i="76"/>
  <c r="Q614" i="76"/>
  <c r="P614" i="76"/>
  <c r="AM613" i="76"/>
  <c r="AL613" i="76"/>
  <c r="AJ613" i="76"/>
  <c r="AG613" i="76"/>
  <c r="AD613" i="76"/>
  <c r="AH613" i="76"/>
  <c r="AM612" i="76"/>
  <c r="AL612" i="76"/>
  <c r="AJ612" i="76"/>
  <c r="AG612" i="76"/>
  <c r="AD612" i="76"/>
  <c r="AH612" i="76"/>
  <c r="AM611" i="76"/>
  <c r="AM610" i="76"/>
  <c r="AM609" i="76"/>
  <c r="AM608" i="76"/>
  <c r="AM607" i="76"/>
  <c r="AM606" i="76"/>
  <c r="R606" i="76"/>
  <c r="Q606" i="76"/>
  <c r="P606" i="76"/>
  <c r="M606" i="76"/>
  <c r="AM604" i="76"/>
  <c r="AL604" i="76"/>
  <c r="AJ604" i="76"/>
  <c r="AG604" i="76"/>
  <c r="AD604" i="76"/>
  <c r="AE604" i="76"/>
  <c r="AM603" i="76"/>
  <c r="AL603" i="76"/>
  <c r="AJ603" i="76"/>
  <c r="AG603" i="76"/>
  <c r="AD603" i="76"/>
  <c r="AH603" i="76"/>
  <c r="AM605" i="76"/>
  <c r="AL605" i="76"/>
  <c r="AJ605" i="76"/>
  <c r="AG605" i="76"/>
  <c r="AD605" i="76"/>
  <c r="AH605" i="76"/>
  <c r="AM602" i="76"/>
  <c r="AL602" i="76"/>
  <c r="AJ602" i="76"/>
  <c r="AG602" i="76"/>
  <c r="AD602" i="76"/>
  <c r="AE602" i="76"/>
  <c r="AM601" i="76"/>
  <c r="AL601" i="76"/>
  <c r="AJ601" i="76"/>
  <c r="AG601" i="76"/>
  <c r="AD601" i="76"/>
  <c r="AH601" i="76"/>
  <c r="AM600" i="76"/>
  <c r="AM594" i="76"/>
  <c r="AM593" i="76"/>
  <c r="R593" i="76"/>
  <c r="Q593" i="76"/>
  <c r="P593" i="76"/>
  <c r="M593" i="76"/>
  <c r="AM592" i="76"/>
  <c r="AL592" i="76"/>
  <c r="AJ592" i="76"/>
  <c r="AG592" i="76"/>
  <c r="AD592" i="76"/>
  <c r="AE592" i="76"/>
  <c r="AM591" i="76"/>
  <c r="AL591" i="76"/>
  <c r="AJ591" i="76"/>
  <c r="AG591" i="76"/>
  <c r="AD591" i="76"/>
  <c r="AM590" i="76"/>
  <c r="AM589" i="76"/>
  <c r="AM588" i="76"/>
  <c r="AM587" i="76"/>
  <c r="AM586" i="76"/>
  <c r="AM585" i="76"/>
  <c r="R585" i="76"/>
  <c r="Q585" i="76"/>
  <c r="P585" i="76"/>
  <c r="M585" i="76"/>
  <c r="AM584" i="76"/>
  <c r="AL584" i="76"/>
  <c r="AJ584" i="76"/>
  <c r="AG584" i="76"/>
  <c r="AD584" i="76"/>
  <c r="AE584" i="76"/>
  <c r="AM578" i="76"/>
  <c r="AL578" i="76"/>
  <c r="AJ578" i="76"/>
  <c r="AG578" i="76"/>
  <c r="AD578" i="76"/>
  <c r="AM583" i="76"/>
  <c r="AL583" i="76"/>
  <c r="AJ583" i="76"/>
  <c r="AG583" i="76"/>
  <c r="AD583" i="76"/>
  <c r="AM582" i="76"/>
  <c r="AL582" i="76"/>
  <c r="AJ582" i="76"/>
  <c r="AG582" i="76"/>
  <c r="AD582" i="76"/>
  <c r="AM581" i="76"/>
  <c r="AM580" i="76"/>
  <c r="AM579" i="76"/>
  <c r="AM573" i="76"/>
  <c r="AL573" i="76"/>
  <c r="AJ573" i="76"/>
  <c r="AG573" i="76"/>
  <c r="AD573" i="76"/>
  <c r="AM569" i="76"/>
  <c r="AL569" i="76"/>
  <c r="AJ569" i="76"/>
  <c r="AG569" i="76"/>
  <c r="AD569" i="76"/>
  <c r="O569" i="76"/>
  <c r="AE569" i="76"/>
  <c r="AM570" i="76"/>
  <c r="AJ570" i="76"/>
  <c r="AG570" i="76"/>
  <c r="AD570" i="76"/>
  <c r="AM576" i="76"/>
  <c r="AM575" i="76"/>
  <c r="AM562" i="76"/>
  <c r="AM571" i="76"/>
  <c r="AL571" i="76"/>
  <c r="AJ571" i="76"/>
  <c r="AG571" i="76"/>
  <c r="AD571" i="76"/>
  <c r="AM565" i="76"/>
  <c r="AL565" i="76"/>
  <c r="AJ565" i="76"/>
  <c r="AG565" i="76"/>
  <c r="AD565" i="76"/>
  <c r="V566" i="76"/>
  <c r="O565" i="76"/>
  <c r="AE565" i="76"/>
  <c r="AM561" i="76"/>
  <c r="AJ561" i="76"/>
  <c r="AG561" i="76"/>
  <c r="AD561" i="76"/>
  <c r="AM560" i="76"/>
  <c r="AM559" i="76"/>
  <c r="AM558" i="76"/>
  <c r="AM557" i="76"/>
  <c r="AM556" i="76"/>
  <c r="AM555" i="76"/>
  <c r="R555" i="76"/>
  <c r="Q555" i="76"/>
  <c r="P555" i="76"/>
  <c r="M555" i="76"/>
  <c r="AM553" i="76"/>
  <c r="AL553" i="76"/>
  <c r="AJ553" i="76"/>
  <c r="AG553" i="76"/>
  <c r="AD553" i="76"/>
  <c r="AH553" i="76"/>
  <c r="AM554" i="76"/>
  <c r="AL554" i="76"/>
  <c r="AJ554" i="76"/>
  <c r="AG554" i="76"/>
  <c r="AD554" i="76"/>
  <c r="AM551" i="76"/>
  <c r="AL551" i="76"/>
  <c r="AJ551" i="76"/>
  <c r="AG551" i="76"/>
  <c r="AD551" i="76"/>
  <c r="AE551" i="76"/>
  <c r="AM550" i="76"/>
  <c r="AL550" i="76"/>
  <c r="AJ550" i="76"/>
  <c r="AG550" i="76"/>
  <c r="AD550" i="76"/>
  <c r="AM544" i="76"/>
  <c r="AL544" i="76"/>
  <c r="AJ544" i="76"/>
  <c r="AG544" i="76"/>
  <c r="AD544" i="76"/>
  <c r="AH544" i="76"/>
  <c r="AM549" i="76"/>
  <c r="AL549" i="76"/>
  <c r="AJ549" i="76"/>
  <c r="AG549" i="76"/>
  <c r="AD549" i="76"/>
  <c r="AM548" i="76"/>
  <c r="AM547" i="76"/>
  <c r="AM546" i="76"/>
  <c r="AM540" i="76"/>
  <c r="AL540" i="76"/>
  <c r="AJ540" i="76"/>
  <c r="AG540" i="76"/>
  <c r="AD540" i="76"/>
  <c r="O540" i="76"/>
  <c r="AE540" i="76"/>
  <c r="AM535" i="76"/>
  <c r="AL535" i="76"/>
  <c r="AJ535" i="76"/>
  <c r="AG535" i="76"/>
  <c r="AD535" i="76"/>
  <c r="O535" i="76"/>
  <c r="AH535" i="76"/>
  <c r="AM539" i="76"/>
  <c r="AL539" i="76"/>
  <c r="AJ539" i="76"/>
  <c r="AG539" i="76"/>
  <c r="AD539" i="76"/>
  <c r="AM528" i="76"/>
  <c r="AL528" i="76"/>
  <c r="AJ528" i="76"/>
  <c r="AG528" i="76"/>
  <c r="AD528" i="76"/>
  <c r="AM543" i="76"/>
  <c r="AM531" i="76"/>
  <c r="AM530" i="76"/>
  <c r="R530" i="76"/>
  <c r="Q530" i="76"/>
  <c r="P530" i="76"/>
  <c r="M530" i="76"/>
  <c r="AM529" i="76"/>
  <c r="AL529" i="76"/>
  <c r="AJ529" i="76"/>
  <c r="AG529" i="76"/>
  <c r="AD529" i="76"/>
  <c r="AH529" i="76"/>
  <c r="AM533" i="76"/>
  <c r="AL533" i="76"/>
  <c r="AJ533" i="76"/>
  <c r="AG533" i="76"/>
  <c r="AD533" i="76"/>
  <c r="AH533" i="76"/>
  <c r="AM534" i="76"/>
  <c r="AL534" i="76"/>
  <c r="AJ534" i="76"/>
  <c r="AG534" i="76"/>
  <c r="AD534" i="76"/>
  <c r="AE534" i="76"/>
  <c r="AM527" i="76"/>
  <c r="AL527" i="76"/>
  <c r="AJ527" i="76"/>
  <c r="AG527" i="76"/>
  <c r="AD527" i="76"/>
  <c r="AM526" i="76"/>
  <c r="AL526" i="76"/>
  <c r="AJ526" i="76"/>
  <c r="AG526" i="76"/>
  <c r="AD526" i="76"/>
  <c r="AH526" i="76"/>
  <c r="AM525" i="76"/>
  <c r="AM524" i="76"/>
  <c r="AM523" i="76"/>
  <c r="AM522" i="76"/>
  <c r="AM521" i="76"/>
  <c r="AM520" i="76"/>
  <c r="AM519" i="76"/>
  <c r="AL519" i="76"/>
  <c r="AJ519" i="76"/>
  <c r="AG519" i="76"/>
  <c r="AD519" i="76"/>
  <c r="AM518" i="76"/>
  <c r="AL518" i="76"/>
  <c r="AJ518" i="76"/>
  <c r="AG518" i="76"/>
  <c r="AD518" i="76"/>
  <c r="AE518" i="76"/>
  <c r="AM510" i="76"/>
  <c r="AL510" i="76"/>
  <c r="AJ510" i="76"/>
  <c r="AG510" i="76"/>
  <c r="AD510" i="76"/>
  <c r="AH510" i="76"/>
  <c r="AM511" i="76"/>
  <c r="AL511" i="76"/>
  <c r="AJ511" i="76"/>
  <c r="AM517" i="76"/>
  <c r="AL517" i="76"/>
  <c r="AJ517" i="76"/>
  <c r="AG517" i="76"/>
  <c r="AD517" i="76"/>
  <c r="O517" i="76"/>
  <c r="AE517" i="76"/>
  <c r="AM516" i="76"/>
  <c r="AL516" i="76"/>
  <c r="AJ516" i="76"/>
  <c r="AG516" i="76"/>
  <c r="AD516" i="76"/>
  <c r="AE516" i="76"/>
  <c r="AM515" i="76"/>
  <c r="AL515" i="76"/>
  <c r="AJ515" i="76"/>
  <c r="AG515" i="76"/>
  <c r="AD515" i="76"/>
  <c r="AM514" i="76"/>
  <c r="AM513" i="76"/>
  <c r="AM512" i="76"/>
  <c r="AM504" i="76"/>
  <c r="AJ504" i="76"/>
  <c r="AG504" i="76"/>
  <c r="AD504" i="76"/>
  <c r="AH504" i="76"/>
  <c r="AM503" i="76"/>
  <c r="AL503" i="76"/>
  <c r="AJ503" i="76"/>
  <c r="AG503" i="76"/>
  <c r="AD503" i="76"/>
  <c r="AE503" i="76"/>
  <c r="AM509" i="76"/>
  <c r="AM508" i="76"/>
  <c r="AM507" i="76"/>
  <c r="AM505" i="76"/>
  <c r="AL505" i="76"/>
  <c r="AJ505" i="76"/>
  <c r="AG505" i="76"/>
  <c r="AD505" i="76"/>
  <c r="AE505" i="76"/>
  <c r="AM506" i="76"/>
  <c r="AL506" i="76"/>
  <c r="AJ506" i="76"/>
  <c r="AG506" i="76"/>
  <c r="AD506" i="76"/>
  <c r="AM502" i="76"/>
  <c r="AM501" i="76"/>
  <c r="AM500" i="76"/>
  <c r="AM499" i="76"/>
  <c r="AM498" i="76"/>
  <c r="AM497" i="76"/>
  <c r="AM496" i="76"/>
  <c r="AM495" i="76"/>
  <c r="R495" i="76"/>
  <c r="Q495" i="76"/>
  <c r="P495" i="76"/>
  <c r="M495" i="76"/>
  <c r="AM482" i="76"/>
  <c r="AJ482" i="76"/>
  <c r="AG482" i="76"/>
  <c r="AD482" i="76"/>
  <c r="AM494" i="76"/>
  <c r="AJ494" i="76"/>
  <c r="AG494" i="76"/>
  <c r="AD494" i="76"/>
  <c r="AM493" i="76"/>
  <c r="AJ493" i="76"/>
  <c r="AG493" i="76"/>
  <c r="AD493" i="76"/>
  <c r="AM484" i="76"/>
  <c r="AJ484" i="76"/>
  <c r="AG484" i="76"/>
  <c r="AH484" i="76"/>
  <c r="AM491" i="76"/>
  <c r="AL491" i="76"/>
  <c r="AJ491" i="76"/>
  <c r="AG491" i="76"/>
  <c r="AD491" i="76"/>
  <c r="AM492" i="76"/>
  <c r="AJ492" i="76"/>
  <c r="AG492" i="76"/>
  <c r="AD492" i="76"/>
  <c r="AM490" i="76"/>
  <c r="AL490" i="76"/>
  <c r="AJ490" i="76"/>
  <c r="AG490" i="76"/>
  <c r="AD490" i="76"/>
  <c r="AH490" i="76"/>
  <c r="AM489" i="76"/>
  <c r="AM488" i="76"/>
  <c r="AM487" i="76"/>
  <c r="R487" i="76"/>
  <c r="Q487" i="76"/>
  <c r="P487" i="76"/>
  <c r="M487" i="76"/>
  <c r="AM485" i="76"/>
  <c r="AL485" i="76"/>
  <c r="AJ485" i="76"/>
  <c r="AG485" i="76"/>
  <c r="AD485" i="76"/>
  <c r="AE485" i="76"/>
  <c r="AM481" i="76"/>
  <c r="AL481" i="76"/>
  <c r="AJ481" i="76"/>
  <c r="AG481" i="76"/>
  <c r="AD481" i="76"/>
  <c r="O481" i="76"/>
  <c r="AM480" i="76"/>
  <c r="AL480" i="76"/>
  <c r="AJ480" i="76"/>
  <c r="AG480" i="76"/>
  <c r="AD480" i="76"/>
  <c r="AM486" i="76"/>
  <c r="AL486" i="76"/>
  <c r="AJ486" i="76"/>
  <c r="AG486" i="76"/>
  <c r="AD486" i="76"/>
  <c r="AM483" i="76"/>
  <c r="AL483" i="76"/>
  <c r="AJ483" i="76"/>
  <c r="AG483" i="76"/>
  <c r="AD483" i="76"/>
  <c r="AM479" i="76"/>
  <c r="AM478" i="76"/>
  <c r="AM477" i="76"/>
  <c r="AM476" i="76"/>
  <c r="AM475" i="76"/>
  <c r="AM474" i="76"/>
  <c r="AM467" i="76"/>
  <c r="AL467" i="76"/>
  <c r="AJ467" i="76"/>
  <c r="AG467" i="76"/>
  <c r="AD467" i="76"/>
  <c r="AM471" i="76"/>
  <c r="AL471" i="76"/>
  <c r="AJ471" i="76"/>
  <c r="AG471" i="76"/>
  <c r="AD471" i="76"/>
  <c r="AM470" i="76"/>
  <c r="AL470" i="76"/>
  <c r="AJ470" i="76"/>
  <c r="AG470" i="76"/>
  <c r="AD470" i="76"/>
  <c r="AM469" i="76"/>
  <c r="AL469" i="76"/>
  <c r="AJ469" i="76"/>
  <c r="AG469" i="76"/>
  <c r="AD469" i="76"/>
  <c r="AE469" i="76"/>
  <c r="AM468" i="76"/>
  <c r="AL468" i="76"/>
  <c r="AJ468" i="76"/>
  <c r="AG468" i="76"/>
  <c r="AD468" i="76"/>
  <c r="AM466" i="76"/>
  <c r="AL466" i="76"/>
  <c r="AJ466" i="76"/>
  <c r="AG466" i="76"/>
  <c r="AD466" i="76"/>
  <c r="AM473" i="76"/>
  <c r="AL473" i="76"/>
  <c r="AJ473" i="76"/>
  <c r="AG473" i="76"/>
  <c r="AD473" i="76"/>
  <c r="AE473" i="76"/>
  <c r="AM461" i="76"/>
  <c r="AL461" i="76"/>
  <c r="AJ461" i="76"/>
  <c r="AG461" i="76"/>
  <c r="AD461" i="76"/>
  <c r="AE461" i="76"/>
  <c r="AM472" i="76"/>
  <c r="AL472" i="76"/>
  <c r="AJ472" i="76"/>
  <c r="AG472" i="76"/>
  <c r="AD472" i="76"/>
  <c r="AE472" i="76"/>
  <c r="AM460" i="76"/>
  <c r="AL460" i="76"/>
  <c r="AJ460" i="76"/>
  <c r="AG460" i="76"/>
  <c r="AD460" i="76"/>
  <c r="AE460" i="76"/>
  <c r="AM464" i="76"/>
  <c r="AM463" i="76"/>
  <c r="AM462" i="76"/>
  <c r="AM465" i="76"/>
  <c r="AL465" i="76"/>
  <c r="AJ465" i="76"/>
  <c r="AG465" i="76"/>
  <c r="AD465" i="76"/>
  <c r="AH465" i="76"/>
  <c r="AM455" i="76"/>
  <c r="AL455" i="76"/>
  <c r="AJ455" i="76"/>
  <c r="AG455" i="76"/>
  <c r="AD455" i="76"/>
  <c r="AE455" i="76"/>
  <c r="AM459" i="76"/>
  <c r="AL459" i="76"/>
  <c r="AJ459" i="76"/>
  <c r="AG459" i="76"/>
  <c r="AD459" i="76"/>
  <c r="AE459" i="76"/>
  <c r="AM458" i="76"/>
  <c r="AM449" i="76"/>
  <c r="AM448" i="76"/>
  <c r="AM447" i="76"/>
  <c r="AL447" i="76"/>
  <c r="AJ447" i="76"/>
  <c r="AG447" i="76"/>
  <c r="AD447" i="76"/>
  <c r="AH447" i="76"/>
  <c r="AM445" i="76"/>
  <c r="AL445" i="76"/>
  <c r="AJ445" i="76"/>
  <c r="AG445" i="76"/>
  <c r="AD445" i="76"/>
  <c r="AM451" i="76"/>
  <c r="AL451" i="76"/>
  <c r="AJ451" i="76"/>
  <c r="AG451" i="76"/>
  <c r="AD451" i="76"/>
  <c r="X452" i="76"/>
  <c r="W452" i="76"/>
  <c r="AE451" i="76"/>
  <c r="AM444" i="76"/>
  <c r="AL444" i="76"/>
  <c r="AJ444" i="76"/>
  <c r="AG444" i="76"/>
  <c r="AD444" i="76"/>
  <c r="AE444" i="76"/>
  <c r="AM443" i="76"/>
  <c r="AL443" i="76"/>
  <c r="AJ443" i="76"/>
  <c r="AG443" i="76"/>
  <c r="AD443" i="76"/>
  <c r="O443" i="76"/>
  <c r="AH443" i="76"/>
  <c r="AM442" i="76"/>
  <c r="AM441" i="76"/>
  <c r="AM440" i="76"/>
  <c r="AM439" i="76"/>
  <c r="AM438" i="76"/>
  <c r="AM437" i="76"/>
  <c r="AM436" i="76"/>
  <c r="AL436" i="76"/>
  <c r="AJ436" i="76"/>
  <c r="AG436" i="76"/>
  <c r="AD436" i="76"/>
  <c r="O436" i="76"/>
  <c r="AH436" i="76"/>
  <c r="AM424" i="76"/>
  <c r="AL424" i="76"/>
  <c r="AJ424" i="76"/>
  <c r="AG424" i="76"/>
  <c r="AD424" i="76"/>
  <c r="AH424" i="76"/>
  <c r="AM435" i="76"/>
  <c r="AL435" i="76"/>
  <c r="AJ435" i="76"/>
  <c r="AG435" i="76"/>
  <c r="AD435" i="76"/>
  <c r="AE435" i="76"/>
  <c r="AM422" i="76"/>
  <c r="AL422" i="76"/>
  <c r="AJ422" i="76"/>
  <c r="AG422" i="76"/>
  <c r="AD422" i="76"/>
  <c r="AH422" i="76"/>
  <c r="AM433" i="76"/>
  <c r="AM427" i="76"/>
  <c r="AM434" i="76"/>
  <c r="AL434" i="76"/>
  <c r="AJ434" i="76"/>
  <c r="AG434" i="76"/>
  <c r="AD434" i="76"/>
  <c r="AE434" i="76"/>
  <c r="AM426" i="76"/>
  <c r="AL426" i="76"/>
  <c r="AJ426" i="76"/>
  <c r="AG426" i="76"/>
  <c r="AD426" i="76"/>
  <c r="AE426" i="76"/>
  <c r="AM430" i="76"/>
  <c r="AL430" i="76"/>
  <c r="AJ430" i="76"/>
  <c r="AG430" i="76"/>
  <c r="AD430" i="76"/>
  <c r="V431" i="76"/>
  <c r="O430" i="76"/>
  <c r="AH430" i="76"/>
  <c r="AM421" i="76"/>
  <c r="AM415" i="76"/>
  <c r="AM414" i="76"/>
  <c r="AM413" i="76"/>
  <c r="AM412" i="76"/>
  <c r="AM411" i="76"/>
  <c r="AM410" i="76"/>
  <c r="AM399" i="76"/>
  <c r="AL399" i="76"/>
  <c r="AJ399" i="76"/>
  <c r="AG399" i="76"/>
  <c r="AD399" i="76"/>
  <c r="AE399" i="76"/>
  <c r="AM398" i="76"/>
  <c r="AL398" i="76"/>
  <c r="AJ398" i="76"/>
  <c r="AG398" i="76"/>
  <c r="AD398" i="76"/>
  <c r="AH398" i="76"/>
  <c r="AM409" i="76"/>
  <c r="AL409" i="76"/>
  <c r="AJ409" i="76"/>
  <c r="AG409" i="76"/>
  <c r="AD409" i="76"/>
  <c r="AE409" i="76"/>
  <c r="AM408" i="76"/>
  <c r="AL408" i="76"/>
  <c r="AJ408" i="76"/>
  <c r="AG408" i="76"/>
  <c r="AD408" i="76"/>
  <c r="AH408" i="76"/>
  <c r="AM394" i="76"/>
  <c r="AL394" i="76"/>
  <c r="AJ394" i="76"/>
  <c r="AG394" i="76"/>
  <c r="AD394" i="76"/>
  <c r="AE394" i="76"/>
  <c r="AM407" i="76"/>
  <c r="AM406" i="76"/>
  <c r="AM405" i="76"/>
  <c r="AM404" i="76"/>
  <c r="AL404" i="76"/>
  <c r="AJ404" i="76"/>
  <c r="AG404" i="76"/>
  <c r="AD404" i="76"/>
  <c r="AH404" i="76"/>
  <c r="AM418" i="76"/>
  <c r="AL418" i="76"/>
  <c r="AJ418" i="76"/>
  <c r="AG418" i="76"/>
  <c r="AD418" i="76"/>
  <c r="O418" i="76"/>
  <c r="AH418" i="76"/>
  <c r="AM389" i="76"/>
  <c r="AL389" i="76"/>
  <c r="AJ389" i="76"/>
  <c r="AG389" i="76"/>
  <c r="AD389" i="76"/>
  <c r="AE389" i="76"/>
  <c r="AM401" i="76"/>
  <c r="AL401" i="76"/>
  <c r="AJ401" i="76"/>
  <c r="AG401" i="76"/>
  <c r="AD401" i="76"/>
  <c r="O401" i="76"/>
  <c r="AH401" i="76"/>
  <c r="AM397" i="76"/>
  <c r="AM392" i="76"/>
  <c r="AM391" i="76"/>
  <c r="M391" i="76"/>
  <c r="AM390" i="76"/>
  <c r="AL390" i="76"/>
  <c r="AJ390" i="76"/>
  <c r="AG390" i="76"/>
  <c r="AD390" i="76"/>
  <c r="AE390" i="76"/>
  <c r="AM388" i="76"/>
  <c r="AL388" i="76"/>
  <c r="AJ388" i="76"/>
  <c r="AG388" i="76"/>
  <c r="AD388" i="76"/>
  <c r="AE388" i="76"/>
  <c r="AM372" i="76"/>
  <c r="AM371" i="76"/>
  <c r="R371" i="76"/>
  <c r="Q371" i="76"/>
  <c r="P371" i="76"/>
  <c r="M371" i="76"/>
  <c r="AM370" i="76"/>
  <c r="AL370" i="76"/>
  <c r="AJ370" i="76"/>
  <c r="AG370" i="76"/>
  <c r="AD370" i="76"/>
  <c r="AH370" i="76"/>
  <c r="AM369" i="76"/>
  <c r="AM368" i="76"/>
  <c r="AM367" i="76"/>
  <c r="AM366" i="76"/>
  <c r="AM365" i="76"/>
  <c r="AM364" i="76"/>
  <c r="R364" i="76"/>
  <c r="Q364" i="76"/>
  <c r="P364" i="76"/>
  <c r="M364" i="76"/>
  <c r="AM363" i="76"/>
  <c r="AL363" i="76"/>
  <c r="AJ363" i="76"/>
  <c r="AG363" i="76"/>
  <c r="AD363" i="76"/>
  <c r="AH363" i="76"/>
  <c r="AM357" i="76"/>
  <c r="AL357" i="76"/>
  <c r="AJ357" i="76"/>
  <c r="AG357" i="76"/>
  <c r="AD357" i="76"/>
  <c r="AH357" i="76"/>
  <c r="AM362" i="76"/>
  <c r="AL362" i="76"/>
  <c r="AJ362" i="76"/>
  <c r="AG362" i="76"/>
  <c r="AD362" i="76"/>
  <c r="AH362" i="76"/>
  <c r="AM361" i="76"/>
  <c r="AL361" i="76"/>
  <c r="AJ361" i="76"/>
  <c r="AG361" i="76"/>
  <c r="AD361" i="76"/>
  <c r="AE361" i="76"/>
  <c r="AM360" i="76"/>
  <c r="AM359" i="76"/>
  <c r="AM358" i="76"/>
  <c r="AM340" i="76"/>
  <c r="AL340" i="76"/>
  <c r="AJ340" i="76"/>
  <c r="AG340" i="76"/>
  <c r="AD340" i="76"/>
  <c r="AH340" i="76"/>
  <c r="AM356" i="76"/>
  <c r="AL356" i="76"/>
  <c r="AJ356" i="76"/>
  <c r="AG356" i="76"/>
  <c r="AD356" i="76"/>
  <c r="O356" i="76"/>
  <c r="AH356" i="76"/>
  <c r="AM339" i="76"/>
  <c r="AL339" i="76"/>
  <c r="AJ339" i="76"/>
  <c r="AG339" i="76"/>
  <c r="AD339" i="76"/>
  <c r="AE339" i="76"/>
  <c r="AM352" i="76"/>
  <c r="AL352" i="76"/>
  <c r="AJ352" i="76"/>
  <c r="AG352" i="76"/>
  <c r="AD352" i="76"/>
  <c r="X353" i="76"/>
  <c r="V353" i="76"/>
  <c r="AH352" i="76"/>
  <c r="AM355" i="76"/>
  <c r="AM344" i="76"/>
  <c r="AM343" i="76"/>
  <c r="AM348" i="76"/>
  <c r="AL348" i="76"/>
  <c r="AJ348" i="76"/>
  <c r="AG348" i="76"/>
  <c r="AD348" i="76"/>
  <c r="O348" i="76"/>
  <c r="AE348" i="76"/>
  <c r="AM347" i="76"/>
  <c r="AL347" i="76"/>
  <c r="AJ347" i="76"/>
  <c r="AG347" i="76"/>
  <c r="AD347" i="76"/>
  <c r="AE347" i="76"/>
  <c r="AM342" i="76"/>
  <c r="AL342" i="76"/>
  <c r="AJ342" i="76"/>
  <c r="AG342" i="76"/>
  <c r="AD342" i="76"/>
  <c r="AM341" i="76"/>
  <c r="AL341" i="76"/>
  <c r="AJ341" i="76"/>
  <c r="AG341" i="76"/>
  <c r="AD341" i="76"/>
  <c r="O341" i="76"/>
  <c r="AH341" i="76"/>
  <c r="AM338" i="76"/>
  <c r="AL338" i="76"/>
  <c r="AJ338" i="76"/>
  <c r="AG338" i="76"/>
  <c r="AD338" i="76"/>
  <c r="M338" i="76"/>
  <c r="X338" i="76" s="1"/>
  <c r="AE338" i="76"/>
  <c r="AM346" i="76"/>
  <c r="AL346" i="76"/>
  <c r="AJ346" i="76"/>
  <c r="AG346" i="76"/>
  <c r="AD346" i="76"/>
  <c r="AM337" i="76"/>
  <c r="AL337" i="76"/>
  <c r="AJ337" i="76"/>
  <c r="AG337" i="76"/>
  <c r="AD337" i="76"/>
  <c r="AH337" i="76"/>
  <c r="AM336" i="76"/>
  <c r="AM335" i="76"/>
  <c r="AM334" i="76"/>
  <c r="AM333" i="76"/>
  <c r="AM332" i="76"/>
  <c r="AM331" i="76"/>
  <c r="M331" i="76"/>
  <c r="AM330" i="76"/>
  <c r="AL330" i="76"/>
  <c r="AJ330" i="76"/>
  <c r="AG330" i="76"/>
  <c r="AD330" i="76"/>
  <c r="AM329" i="76"/>
  <c r="AL329" i="76"/>
  <c r="AJ329" i="76"/>
  <c r="AG329" i="76"/>
  <c r="AD329" i="76"/>
  <c r="AH329" i="76"/>
  <c r="AM328" i="76"/>
  <c r="AL328" i="76"/>
  <c r="AJ328" i="76"/>
  <c r="AG328" i="76"/>
  <c r="AD328" i="76"/>
  <c r="AH328" i="76"/>
  <c r="AM327" i="76"/>
  <c r="AL327" i="76"/>
  <c r="AJ327" i="76"/>
  <c r="AG327" i="76"/>
  <c r="AD327" i="76"/>
  <c r="AH327" i="76"/>
  <c r="AM326" i="76"/>
  <c r="AL326" i="76"/>
  <c r="AJ326" i="76"/>
  <c r="AG326" i="76"/>
  <c r="AD326" i="76"/>
  <c r="AE326" i="76"/>
  <c r="AM325" i="76"/>
  <c r="AM324" i="76"/>
  <c r="AM323" i="76"/>
  <c r="AM311" i="76"/>
  <c r="AL311" i="76"/>
  <c r="AJ311" i="76"/>
  <c r="AG311" i="76"/>
  <c r="AD311" i="76"/>
  <c r="AE311" i="76"/>
  <c r="AM321" i="76"/>
  <c r="AL321" i="76"/>
  <c r="AJ321" i="76"/>
  <c r="AG321" i="76"/>
  <c r="AD321" i="76"/>
  <c r="AE321" i="76"/>
  <c r="AM312" i="76"/>
  <c r="AJ312" i="76"/>
  <c r="AG312" i="76"/>
  <c r="AD312" i="76"/>
  <c r="AE312" i="76"/>
  <c r="AM310" i="76"/>
  <c r="AL310" i="76"/>
  <c r="AJ310" i="76"/>
  <c r="AG310" i="76"/>
  <c r="AD310" i="76"/>
  <c r="AM320" i="76"/>
  <c r="AM315" i="76"/>
  <c r="AM314" i="76"/>
  <c r="M314" i="76"/>
  <c r="AM313" i="76"/>
  <c r="AL313" i="76"/>
  <c r="AJ313" i="76"/>
  <c r="AG313" i="76"/>
  <c r="AD313" i="76"/>
  <c r="AH313" i="76"/>
  <c r="AM309" i="76"/>
  <c r="AL309" i="76"/>
  <c r="AJ309" i="76"/>
  <c r="AG309" i="76"/>
  <c r="AD309" i="76"/>
  <c r="AH309" i="76"/>
  <c r="AM308" i="76"/>
  <c r="AL308" i="76"/>
  <c r="AJ308" i="76"/>
  <c r="AG308" i="76"/>
  <c r="AD308" i="76"/>
  <c r="AH308" i="76"/>
  <c r="AM322" i="76"/>
  <c r="AL322" i="76"/>
  <c r="AJ322" i="76"/>
  <c r="AG322" i="76"/>
  <c r="AD322" i="76"/>
  <c r="AM307" i="76"/>
  <c r="AM306" i="76"/>
  <c r="AM305" i="76"/>
  <c r="AM304" i="76"/>
  <c r="AM296" i="76"/>
  <c r="AM300" i="76"/>
  <c r="AL300" i="76"/>
  <c r="AJ300" i="76"/>
  <c r="AG300" i="76"/>
  <c r="AD300" i="76"/>
  <c r="AE300" i="76"/>
  <c r="AM299" i="76"/>
  <c r="AL299" i="76"/>
  <c r="AJ299" i="76"/>
  <c r="AG299" i="76"/>
  <c r="AD299" i="76"/>
  <c r="AM293" i="76"/>
  <c r="AL293" i="76"/>
  <c r="AJ293" i="76"/>
  <c r="AG293" i="76"/>
  <c r="AD293" i="76"/>
  <c r="AH293" i="76"/>
  <c r="AM301" i="76"/>
  <c r="AL301" i="76"/>
  <c r="AJ301" i="76"/>
  <c r="AG301" i="76"/>
  <c r="AD301" i="76"/>
  <c r="AM298" i="76"/>
  <c r="AL298" i="76"/>
  <c r="AJ298" i="76"/>
  <c r="AG298" i="76"/>
  <c r="AD298" i="76"/>
  <c r="AH298" i="76"/>
  <c r="AM290" i="76"/>
  <c r="AM288" i="76"/>
  <c r="AL288" i="76"/>
  <c r="AJ288" i="76"/>
  <c r="AG288" i="76"/>
  <c r="AD288" i="76"/>
  <c r="AH288" i="76"/>
  <c r="AM292" i="76"/>
  <c r="AL292" i="76"/>
  <c r="AJ292" i="76"/>
  <c r="AG292" i="76"/>
  <c r="AD292" i="76"/>
  <c r="AM289" i="76"/>
  <c r="AM287" i="76"/>
  <c r="AL287" i="76"/>
  <c r="AJ287" i="76"/>
  <c r="AG287" i="76"/>
  <c r="AD287" i="76"/>
  <c r="AE287" i="76"/>
  <c r="AM285" i="76"/>
  <c r="AL285" i="76"/>
  <c r="AJ285" i="76"/>
  <c r="AG285" i="76"/>
  <c r="AD285" i="76"/>
  <c r="AM284" i="76"/>
  <c r="AL284" i="76"/>
  <c r="AJ284" i="76"/>
  <c r="AG284" i="76"/>
  <c r="AD284" i="76"/>
  <c r="AH284" i="76"/>
  <c r="AM283" i="76"/>
  <c r="AL283" i="76"/>
  <c r="AJ283" i="76"/>
  <c r="AG283" i="76"/>
  <c r="AD283" i="76"/>
  <c r="AM282" i="76"/>
  <c r="AM281" i="76"/>
  <c r="AM280" i="76"/>
  <c r="AM279" i="76"/>
  <c r="AM271" i="76"/>
  <c r="AM270" i="76"/>
  <c r="AM273" i="76"/>
  <c r="AL273" i="76"/>
  <c r="AJ273" i="76"/>
  <c r="AG273" i="76"/>
  <c r="AD273" i="76"/>
  <c r="AH273" i="76"/>
  <c r="AM276" i="76"/>
  <c r="AL276" i="76"/>
  <c r="AJ276" i="76"/>
  <c r="AG276" i="76"/>
  <c r="AD276" i="76"/>
  <c r="AM267" i="76"/>
  <c r="AL267" i="76"/>
  <c r="AJ267" i="76"/>
  <c r="AG267" i="76"/>
  <c r="AD267" i="76"/>
  <c r="AH267" i="76"/>
  <c r="AM275" i="76"/>
  <c r="AL275" i="76"/>
  <c r="AJ275" i="76"/>
  <c r="AG275" i="76"/>
  <c r="AD275" i="76"/>
  <c r="AH275" i="76"/>
  <c r="AM274" i="76"/>
  <c r="AL274" i="76"/>
  <c r="AJ274" i="76"/>
  <c r="AG274" i="76"/>
  <c r="AD274" i="76"/>
  <c r="AM268" i="76"/>
  <c r="AL268" i="76"/>
  <c r="AJ268" i="76"/>
  <c r="AG268" i="76"/>
  <c r="AD268" i="76"/>
  <c r="AE268" i="76"/>
  <c r="AM266" i="76"/>
  <c r="AM258" i="76"/>
  <c r="AL258" i="76"/>
  <c r="AJ258" i="76"/>
  <c r="AG258" i="76"/>
  <c r="AD258" i="76"/>
  <c r="AE258" i="76"/>
  <c r="AM261" i="76"/>
  <c r="AM260" i="76"/>
  <c r="AM259" i="76"/>
  <c r="AL259" i="76"/>
  <c r="AJ259" i="76"/>
  <c r="AG259" i="76"/>
  <c r="AD259" i="76"/>
  <c r="AH259" i="76"/>
  <c r="AM263" i="76"/>
  <c r="AL263" i="76"/>
  <c r="AJ263" i="76"/>
  <c r="AI263" i="76"/>
  <c r="AG263" i="76"/>
  <c r="AD263" i="76"/>
  <c r="AH263" i="76"/>
  <c r="AM257" i="76"/>
  <c r="AL257" i="76"/>
  <c r="AJ257" i="76"/>
  <c r="AG257" i="76"/>
  <c r="AD257" i="76"/>
  <c r="AM256" i="76"/>
  <c r="AL256" i="76"/>
  <c r="AJ256" i="76"/>
  <c r="AG256" i="76"/>
  <c r="AD256" i="76"/>
  <c r="AH256" i="76"/>
  <c r="AM255" i="76"/>
  <c r="AM254" i="76"/>
  <c r="AM253" i="76"/>
  <c r="AM252" i="76"/>
  <c r="AM251" i="76"/>
  <c r="AM250" i="76"/>
  <c r="M250" i="76"/>
  <c r="AM249" i="76"/>
  <c r="AL249" i="76"/>
  <c r="AJ249" i="76"/>
  <c r="AG249" i="76"/>
  <c r="AD249" i="76"/>
  <c r="AM248" i="76"/>
  <c r="AL248" i="76"/>
  <c r="AJ248" i="76"/>
  <c r="AG248" i="76"/>
  <c r="AD248" i="76"/>
  <c r="AH248" i="76"/>
  <c r="AM239" i="76"/>
  <c r="AL239" i="76"/>
  <c r="AJ239" i="76"/>
  <c r="AM237" i="76"/>
  <c r="AL237" i="76"/>
  <c r="AJ237" i="76"/>
  <c r="AG237" i="76"/>
  <c r="AD237" i="76"/>
  <c r="AH237" i="76"/>
  <c r="AM247" i="76"/>
  <c r="AL247" i="76"/>
  <c r="AJ247" i="76"/>
  <c r="AG247" i="76"/>
  <c r="AD247" i="76"/>
  <c r="AM246" i="76"/>
  <c r="AL246" i="76"/>
  <c r="AJ246" i="76"/>
  <c r="AG246" i="76"/>
  <c r="AD246" i="76"/>
  <c r="AH246" i="76"/>
  <c r="AM245" i="76"/>
  <c r="AL245" i="76"/>
  <c r="AJ245" i="76"/>
  <c r="AG245" i="76"/>
  <c r="AD245" i="76"/>
  <c r="AM235" i="76"/>
  <c r="AL235" i="76"/>
  <c r="AJ235" i="76"/>
  <c r="AG235" i="76"/>
  <c r="AD235" i="76"/>
  <c r="O235" i="76"/>
  <c r="AH235" i="76"/>
  <c r="AM244" i="76"/>
  <c r="AL244" i="76"/>
  <c r="AJ244" i="76"/>
  <c r="AG244" i="76"/>
  <c r="AD244" i="76"/>
  <c r="AH244" i="76"/>
  <c r="AM243" i="76"/>
  <c r="AM242" i="76"/>
  <c r="AM241" i="76"/>
  <c r="AM238" i="76"/>
  <c r="AJ238" i="76"/>
  <c r="AG238" i="76"/>
  <c r="AD238" i="76"/>
  <c r="AM236" i="76"/>
  <c r="AL236" i="76"/>
  <c r="AJ236" i="76"/>
  <c r="AG236" i="76"/>
  <c r="AD236" i="76"/>
  <c r="O236" i="76"/>
  <c r="AH236" i="76"/>
  <c r="AM230" i="76"/>
  <c r="AL230" i="76"/>
  <c r="AJ230" i="76"/>
  <c r="AG230" i="76"/>
  <c r="AD230" i="76"/>
  <c r="AH230" i="76"/>
  <c r="AM219" i="76"/>
  <c r="AL219" i="76"/>
  <c r="AJ219" i="76"/>
  <c r="AG219" i="76"/>
  <c r="AD219" i="76"/>
  <c r="AM228" i="76"/>
  <c r="AL228" i="76"/>
  <c r="AJ228" i="76"/>
  <c r="AG228" i="76"/>
  <c r="AD228" i="76"/>
  <c r="AE228" i="76"/>
  <c r="AM218" i="76"/>
  <c r="AL218" i="76"/>
  <c r="AJ218" i="76"/>
  <c r="AG218" i="76"/>
  <c r="AD218" i="76"/>
  <c r="O218" i="76"/>
  <c r="AE218" i="76"/>
  <c r="AM214" i="76"/>
  <c r="AL214" i="76"/>
  <c r="AJ214" i="76"/>
  <c r="AG214" i="76"/>
  <c r="AD214" i="76"/>
  <c r="AM231" i="76"/>
  <c r="AL231" i="76"/>
  <c r="AJ231" i="76"/>
  <c r="AG231" i="76"/>
  <c r="AD231" i="76"/>
  <c r="AH231" i="76"/>
  <c r="AM229" i="76"/>
  <c r="AL229" i="76"/>
  <c r="AJ229" i="76"/>
  <c r="AG229" i="76"/>
  <c r="AD229" i="76"/>
  <c r="AE229" i="76"/>
  <c r="AM234" i="76"/>
  <c r="AM221" i="76"/>
  <c r="AM220" i="76"/>
  <c r="AM215" i="76"/>
  <c r="AL215" i="76"/>
  <c r="AJ215" i="76"/>
  <c r="AG215" i="76"/>
  <c r="AD215" i="76"/>
  <c r="AE215" i="76"/>
  <c r="AM216" i="76"/>
  <c r="AL216" i="76"/>
  <c r="AJ216" i="76"/>
  <c r="AG216" i="76"/>
  <c r="AD216" i="76"/>
  <c r="AH216" i="76"/>
  <c r="AM213" i="76"/>
  <c r="AL213" i="76"/>
  <c r="AJ213" i="76"/>
  <c r="AG213" i="76"/>
  <c r="AD213" i="76"/>
  <c r="O213" i="76"/>
  <c r="AM212" i="76"/>
  <c r="AL212" i="76"/>
  <c r="AJ212" i="76"/>
  <c r="AG212" i="76"/>
  <c r="AD212" i="76"/>
  <c r="AM211" i="76"/>
  <c r="AL211" i="76"/>
  <c r="AJ211" i="76"/>
  <c r="AG211" i="76"/>
  <c r="AD211" i="76"/>
  <c r="AM223" i="76"/>
  <c r="AL223" i="76"/>
  <c r="AJ223" i="76"/>
  <c r="AG223" i="76"/>
  <c r="AD223" i="76"/>
  <c r="O223" i="76"/>
  <c r="W223" i="76" s="1"/>
  <c r="M223" i="76"/>
  <c r="AH223" i="76"/>
  <c r="AM210" i="76"/>
  <c r="AL210" i="76"/>
  <c r="AJ210" i="76"/>
  <c r="AG210" i="76"/>
  <c r="AD210" i="76"/>
  <c r="AM209" i="76"/>
  <c r="AL209" i="76"/>
  <c r="AJ209" i="76"/>
  <c r="AG209" i="76"/>
  <c r="AD209" i="76"/>
  <c r="AM208" i="76"/>
  <c r="AL208" i="76"/>
  <c r="AJ208" i="76"/>
  <c r="AG208" i="76"/>
  <c r="AD208" i="76"/>
  <c r="AM207" i="76"/>
  <c r="AL207" i="76"/>
  <c r="AJ207" i="76"/>
  <c r="AG207" i="76"/>
  <c r="AD207" i="76"/>
  <c r="AH207" i="76"/>
  <c r="AM206" i="76"/>
  <c r="AL206" i="76"/>
  <c r="AJ206" i="76"/>
  <c r="AG206" i="76"/>
  <c r="AD206" i="76"/>
  <c r="AM205" i="76"/>
  <c r="AL205" i="76"/>
  <c r="AJ205" i="76"/>
  <c r="AG205" i="76"/>
  <c r="AD205" i="76"/>
  <c r="AM204" i="76"/>
  <c r="AL204" i="76"/>
  <c r="AJ204" i="76"/>
  <c r="AG204" i="76"/>
  <c r="AD204" i="76"/>
  <c r="AM224" i="76"/>
  <c r="AL224" i="76"/>
  <c r="AJ224" i="76"/>
  <c r="AG224" i="76"/>
  <c r="AD224" i="76"/>
  <c r="AH224" i="76"/>
  <c r="AM203" i="76"/>
  <c r="AL203" i="76"/>
  <c r="AJ203" i="76"/>
  <c r="AG203" i="76"/>
  <c r="AD203" i="76"/>
  <c r="O203" i="76"/>
  <c r="AE203" i="76"/>
  <c r="AM202" i="76"/>
  <c r="AM201" i="76"/>
  <c r="AM200" i="76"/>
  <c r="AM199" i="76"/>
  <c r="AM198" i="76"/>
  <c r="AM197" i="76"/>
  <c r="AM196" i="76"/>
  <c r="AM195" i="76"/>
  <c r="AM193" i="76"/>
  <c r="AL193" i="76"/>
  <c r="AJ193" i="76"/>
  <c r="AG193" i="76"/>
  <c r="AD193" i="76"/>
  <c r="AM182" i="76"/>
  <c r="AL182" i="76"/>
  <c r="AJ182" i="76"/>
  <c r="AG182" i="76"/>
  <c r="AD182" i="76"/>
  <c r="AH182" i="76"/>
  <c r="AM191" i="76"/>
  <c r="AL191" i="76"/>
  <c r="AJ191" i="76"/>
  <c r="AG191" i="76"/>
  <c r="AD191" i="76"/>
  <c r="AM190" i="76"/>
  <c r="AM189" i="76"/>
  <c r="AM188" i="76"/>
  <c r="AM170" i="76"/>
  <c r="AJ170" i="76"/>
  <c r="AG170" i="76"/>
  <c r="AD170" i="76"/>
  <c r="AE170" i="76"/>
  <c r="AM187" i="76"/>
  <c r="AJ187" i="76"/>
  <c r="AG187" i="76"/>
  <c r="AD187" i="76"/>
  <c r="AE187" i="76"/>
  <c r="AM186" i="76"/>
  <c r="AJ186" i="76"/>
  <c r="AG186" i="76"/>
  <c r="AD186" i="76"/>
  <c r="AE186" i="76"/>
  <c r="AM185" i="76"/>
  <c r="AJ185" i="76"/>
  <c r="AG185" i="76"/>
  <c r="AD185" i="76"/>
  <c r="AE185" i="76"/>
  <c r="AM192" i="76"/>
  <c r="AL192" i="76"/>
  <c r="AJ192" i="76"/>
  <c r="AG192" i="76"/>
  <c r="AD192" i="76"/>
  <c r="AM183" i="76"/>
  <c r="AL183" i="76"/>
  <c r="AJ183" i="76"/>
  <c r="AG183" i="76"/>
  <c r="AD183" i="76"/>
  <c r="AH183" i="76"/>
  <c r="AM184" i="76"/>
  <c r="AL184" i="76"/>
  <c r="AJ184" i="76"/>
  <c r="AG184" i="76"/>
  <c r="AD184" i="76"/>
  <c r="AM177" i="76"/>
  <c r="AL177" i="76"/>
  <c r="AJ177" i="76"/>
  <c r="AG177" i="76"/>
  <c r="AD177" i="76"/>
  <c r="AE177" i="76"/>
  <c r="AM176" i="76"/>
  <c r="AL176" i="76"/>
  <c r="AJ176" i="76"/>
  <c r="AG176" i="76"/>
  <c r="AD176" i="76"/>
  <c r="O176" i="76"/>
  <c r="AE176" i="76"/>
  <c r="AM194" i="76"/>
  <c r="AL194" i="76"/>
  <c r="AJ194" i="76"/>
  <c r="AG194" i="76"/>
  <c r="AD194" i="76"/>
  <c r="O194" i="76"/>
  <c r="AM181" i="76"/>
  <c r="AL181" i="76"/>
  <c r="AJ181" i="76"/>
  <c r="AG181" i="76"/>
  <c r="AD181" i="76"/>
  <c r="AE181" i="76"/>
  <c r="AM180" i="76"/>
  <c r="AM172" i="76"/>
  <c r="AM171" i="76"/>
  <c r="AM175" i="76"/>
  <c r="AL175" i="76"/>
  <c r="AJ175" i="76"/>
  <c r="AG175" i="76"/>
  <c r="AD175" i="76"/>
  <c r="AE175" i="76"/>
  <c r="AM169" i="76"/>
  <c r="AL169" i="76"/>
  <c r="AJ169" i="76"/>
  <c r="AG169" i="76"/>
  <c r="AD169" i="76"/>
  <c r="AE169" i="76"/>
  <c r="AM174" i="76"/>
  <c r="AL174" i="76"/>
  <c r="AJ174" i="76"/>
  <c r="AG174" i="76"/>
  <c r="AD174" i="76"/>
  <c r="AE174" i="76"/>
  <c r="AM168" i="76"/>
  <c r="AL168" i="76"/>
  <c r="AJ168" i="76"/>
  <c r="AG168" i="76"/>
  <c r="AD168" i="76"/>
  <c r="AM167" i="76"/>
  <c r="AM166" i="76"/>
  <c r="AM165" i="76"/>
  <c r="AM164" i="76"/>
  <c r="AM163" i="76"/>
  <c r="AM162" i="76"/>
  <c r="R162" i="76"/>
  <c r="R164" i="76" s="1"/>
  <c r="Q162" i="76"/>
  <c r="P162" i="76"/>
  <c r="M162" i="76"/>
  <c r="M164" i="76" s="1"/>
  <c r="AM161" i="76"/>
  <c r="AL161" i="76"/>
  <c r="AJ161" i="76"/>
  <c r="AG161" i="76"/>
  <c r="AD161" i="76"/>
  <c r="AE161" i="76"/>
  <c r="AM160" i="76"/>
  <c r="AL160" i="76"/>
  <c r="AJ160" i="76"/>
  <c r="AG160" i="76"/>
  <c r="AD160" i="76"/>
  <c r="AM159" i="76"/>
  <c r="AL159" i="76"/>
  <c r="AJ159" i="76"/>
  <c r="AG159" i="76"/>
  <c r="AD159" i="76"/>
  <c r="AE159" i="76"/>
  <c r="AM158" i="76"/>
  <c r="AL158" i="76"/>
  <c r="AJ158" i="76"/>
  <c r="AG158" i="76"/>
  <c r="AD158" i="76"/>
  <c r="AM157" i="76"/>
  <c r="AM148" i="76"/>
  <c r="AM150" i="76"/>
  <c r="AL150" i="76"/>
  <c r="AJ150" i="76"/>
  <c r="AG150" i="76"/>
  <c r="AD150" i="76"/>
  <c r="V151" i="76"/>
  <c r="AE150" i="76"/>
  <c r="AM147" i="76"/>
  <c r="AM146" i="76"/>
  <c r="AL146" i="76"/>
  <c r="AJ146" i="76"/>
  <c r="AG146" i="76"/>
  <c r="AD146" i="76"/>
  <c r="AE146" i="76"/>
  <c r="AM145" i="76"/>
  <c r="AM144" i="76"/>
  <c r="AM143" i="76"/>
  <c r="AM142" i="76"/>
  <c r="AM134" i="76"/>
  <c r="AM133" i="76"/>
  <c r="AM132" i="76"/>
  <c r="AL132" i="76"/>
  <c r="AJ132" i="76"/>
  <c r="AG132" i="76"/>
  <c r="AD132" i="76"/>
  <c r="AM130" i="76"/>
  <c r="AL130" i="76"/>
  <c r="AJ130" i="76"/>
  <c r="AG130" i="76"/>
  <c r="AD130" i="76"/>
  <c r="AE130" i="76"/>
  <c r="AM139" i="76"/>
  <c r="AL139" i="76"/>
  <c r="AJ139" i="76"/>
  <c r="AG139" i="76"/>
  <c r="AD139" i="76"/>
  <c r="AM121" i="76"/>
  <c r="AL121" i="76"/>
  <c r="AJ121" i="76"/>
  <c r="AG121" i="76"/>
  <c r="AD121" i="76"/>
  <c r="AE121" i="76"/>
  <c r="AM138" i="76"/>
  <c r="AL138" i="76"/>
  <c r="AJ138" i="76"/>
  <c r="AG138" i="76"/>
  <c r="AD138" i="76"/>
  <c r="AE138" i="76"/>
  <c r="AM137" i="76"/>
  <c r="AL137" i="76"/>
  <c r="AJ137" i="76"/>
  <c r="AG137" i="76"/>
  <c r="AD137" i="76"/>
  <c r="AE137" i="76"/>
  <c r="AM131" i="76"/>
  <c r="AL131" i="76"/>
  <c r="AJ131" i="76"/>
  <c r="AG131" i="76"/>
  <c r="AD131" i="76"/>
  <c r="AE131" i="76"/>
  <c r="AM136" i="76"/>
  <c r="AL136" i="76"/>
  <c r="AJ136" i="76"/>
  <c r="AG136" i="76"/>
  <c r="AD136" i="76"/>
  <c r="AE136" i="76"/>
  <c r="AM129" i="76"/>
  <c r="AM118" i="76"/>
  <c r="AM117" i="76"/>
  <c r="AM116" i="76"/>
  <c r="AL116" i="76"/>
  <c r="AJ116" i="76"/>
  <c r="AG116" i="76"/>
  <c r="AD116" i="76"/>
  <c r="AE116" i="76"/>
  <c r="AM125" i="76"/>
  <c r="AL125" i="76"/>
  <c r="AJ125" i="76"/>
  <c r="AG125" i="76"/>
  <c r="AD125" i="76"/>
  <c r="AE125" i="76"/>
  <c r="AM126" i="76"/>
  <c r="AL126" i="76"/>
  <c r="AJ126" i="76"/>
  <c r="AG126" i="76"/>
  <c r="AD126" i="76"/>
  <c r="AH126" i="76"/>
  <c r="AM120" i="76"/>
  <c r="AL120" i="76"/>
  <c r="AJ120" i="76"/>
  <c r="AG120" i="76"/>
  <c r="AD120" i="76"/>
  <c r="AM115" i="76"/>
  <c r="AM114" i="76"/>
  <c r="AM113" i="76"/>
  <c r="AM112" i="76"/>
  <c r="AM111" i="76"/>
  <c r="AM110" i="76"/>
  <c r="R110" i="76"/>
  <c r="Q110" i="76"/>
  <c r="P110" i="76"/>
  <c r="M110" i="76"/>
  <c r="AM109" i="76"/>
  <c r="AL109" i="76"/>
  <c r="AJ109" i="76"/>
  <c r="AG109" i="76"/>
  <c r="AD109" i="76"/>
  <c r="AE109" i="76"/>
  <c r="AM108" i="76"/>
  <c r="AL108" i="76"/>
  <c r="AJ108" i="76"/>
  <c r="AG108" i="76"/>
  <c r="AD108" i="76"/>
  <c r="AE108" i="76"/>
  <c r="AM107" i="76"/>
  <c r="AL107" i="76"/>
  <c r="AJ107" i="76"/>
  <c r="AG107" i="76"/>
  <c r="AD107" i="76"/>
  <c r="AH107" i="76"/>
  <c r="AM106" i="76"/>
  <c r="AM105" i="76"/>
  <c r="AM104" i="76"/>
  <c r="AM102" i="76"/>
  <c r="AL102" i="76"/>
  <c r="AJ102" i="76"/>
  <c r="AG102" i="76"/>
  <c r="AD102" i="76"/>
  <c r="AM103" i="76"/>
  <c r="AL103" i="76"/>
  <c r="AJ103" i="76"/>
  <c r="AG103" i="76"/>
  <c r="AD103" i="76"/>
  <c r="AE103" i="76"/>
  <c r="AM101" i="76"/>
  <c r="AM100" i="76"/>
  <c r="AM99" i="76"/>
  <c r="AM98" i="76"/>
  <c r="AM97" i="76"/>
  <c r="AM96" i="76"/>
  <c r="R96" i="76"/>
  <c r="Q96" i="76"/>
  <c r="P96" i="76"/>
  <c r="M96" i="76"/>
  <c r="AM95" i="76"/>
  <c r="AL95" i="76"/>
  <c r="AJ95" i="76"/>
  <c r="AG95" i="76"/>
  <c r="AD95" i="76"/>
  <c r="AE95" i="76"/>
  <c r="AM94" i="76"/>
  <c r="AL94" i="76"/>
  <c r="AJ94" i="76"/>
  <c r="AG94" i="76"/>
  <c r="AD94" i="76"/>
  <c r="AH94" i="76"/>
  <c r="AM93" i="76"/>
  <c r="AL93" i="76"/>
  <c r="AJ93" i="76"/>
  <c r="AG93" i="76"/>
  <c r="AD93" i="76"/>
  <c r="AE93" i="76"/>
  <c r="AM92" i="76"/>
  <c r="AM91" i="76"/>
  <c r="AM90" i="76"/>
  <c r="R90" i="76"/>
  <c r="Q90" i="76"/>
  <c r="P90" i="76"/>
  <c r="M90" i="76"/>
  <c r="AM89" i="76"/>
  <c r="AL89" i="76"/>
  <c r="AJ89" i="76"/>
  <c r="AG89" i="76"/>
  <c r="AD89" i="76"/>
  <c r="AE89" i="76"/>
  <c r="AM88" i="76"/>
  <c r="AL88" i="76"/>
  <c r="AJ88" i="76"/>
  <c r="AG88" i="76"/>
  <c r="AD88" i="76"/>
  <c r="AH88" i="76"/>
  <c r="AM87" i="76"/>
  <c r="AM86" i="76"/>
  <c r="AM85" i="76"/>
  <c r="AM84" i="76"/>
  <c r="AM83" i="76"/>
  <c r="AM82" i="76"/>
  <c r="R82" i="76"/>
  <c r="Q82" i="76"/>
  <c r="P82" i="76"/>
  <c r="M82" i="76"/>
  <c r="AM57" i="76"/>
  <c r="AL57" i="76"/>
  <c r="AJ57" i="76"/>
  <c r="AG57" i="76"/>
  <c r="AD57" i="76"/>
  <c r="AE57" i="76"/>
  <c r="AM63" i="76"/>
  <c r="AL63" i="76"/>
  <c r="AJ63" i="76"/>
  <c r="AG63" i="76"/>
  <c r="AD63" i="76"/>
  <c r="AH63" i="76"/>
  <c r="AM81" i="76"/>
  <c r="AL81" i="76"/>
  <c r="AJ81" i="76"/>
  <c r="AG81" i="76"/>
  <c r="AD81" i="76"/>
  <c r="AE81" i="76"/>
  <c r="AM80" i="76"/>
  <c r="AL80" i="76"/>
  <c r="AJ80" i="76"/>
  <c r="AG80" i="76"/>
  <c r="AD80" i="76"/>
  <c r="AH80" i="76"/>
  <c r="AM79" i="76"/>
  <c r="AL79" i="76"/>
  <c r="AJ79" i="76"/>
  <c r="AG79" i="76"/>
  <c r="AD79" i="76"/>
  <c r="AE79" i="76"/>
  <c r="AM78" i="76"/>
  <c r="AL78" i="76"/>
  <c r="AJ78" i="76"/>
  <c r="AG78" i="76"/>
  <c r="AD78" i="76"/>
  <c r="AH78" i="76"/>
  <c r="AM77" i="76"/>
  <c r="AM76" i="76"/>
  <c r="AM75" i="76"/>
  <c r="R75" i="76"/>
  <c r="Q75" i="76"/>
  <c r="P75" i="76"/>
  <c r="M75" i="76"/>
  <c r="AM64" i="76"/>
  <c r="AL64" i="76"/>
  <c r="AJ64" i="76"/>
  <c r="AG64" i="76"/>
  <c r="AD64" i="76"/>
  <c r="AH64" i="76"/>
  <c r="AM73" i="76"/>
  <c r="AL73" i="76"/>
  <c r="AJ73" i="76"/>
  <c r="AG73" i="76"/>
  <c r="AD73" i="76"/>
  <c r="AE73" i="76"/>
  <c r="AM72" i="76"/>
  <c r="AL72" i="76"/>
  <c r="AJ72" i="76"/>
  <c r="AG72" i="76"/>
  <c r="AD72" i="76"/>
  <c r="AE72" i="76"/>
  <c r="AM71" i="76"/>
  <c r="AM60" i="76"/>
  <c r="AM59" i="76"/>
  <c r="AM62" i="76"/>
  <c r="AL62" i="76"/>
  <c r="AJ62" i="76"/>
  <c r="AG62" i="76"/>
  <c r="AD62" i="76"/>
  <c r="AH62" i="76"/>
  <c r="AM68" i="76"/>
  <c r="AL68" i="76"/>
  <c r="AJ68" i="76"/>
  <c r="AG68" i="76"/>
  <c r="AD68" i="76"/>
  <c r="M68" i="76"/>
  <c r="X68" i="76" s="1"/>
  <c r="AE68" i="76"/>
  <c r="AM58" i="76"/>
  <c r="AL58" i="76"/>
  <c r="AJ58" i="76"/>
  <c r="AG58" i="76"/>
  <c r="AD58" i="76"/>
  <c r="AH58" i="76"/>
  <c r="AM56" i="76"/>
  <c r="AL56" i="76"/>
  <c r="AJ56" i="76"/>
  <c r="AG56" i="76"/>
  <c r="AD56" i="76"/>
  <c r="AH56" i="76"/>
  <c r="AM74" i="76"/>
  <c r="AL74" i="76"/>
  <c r="AJ74" i="76"/>
  <c r="AG74" i="76"/>
  <c r="AD74" i="76"/>
  <c r="O74" i="76"/>
  <c r="AE74" i="76"/>
  <c r="AM55" i="76"/>
  <c r="AM54" i="76"/>
  <c r="AM53" i="76"/>
  <c r="AM52" i="76"/>
  <c r="AM51" i="76"/>
  <c r="AM50" i="76"/>
  <c r="AM49" i="76"/>
  <c r="AL49" i="76"/>
  <c r="AJ49" i="76"/>
  <c r="AG49" i="76"/>
  <c r="AD49" i="76"/>
  <c r="AE49" i="76"/>
  <c r="AM48" i="76"/>
  <c r="AL48" i="76"/>
  <c r="AJ48" i="76"/>
  <c r="AG48" i="76"/>
  <c r="AD48" i="76"/>
  <c r="AE48" i="76"/>
  <c r="AM41" i="76"/>
  <c r="AL41" i="76"/>
  <c r="AJ41" i="76"/>
  <c r="AG41" i="76"/>
  <c r="AD41" i="76"/>
  <c r="AH41" i="76"/>
  <c r="AM47" i="76"/>
  <c r="AL47" i="76"/>
  <c r="AJ47" i="76"/>
  <c r="AG47" i="76"/>
  <c r="AD47" i="76"/>
  <c r="AH47" i="76"/>
  <c r="AM46" i="76"/>
  <c r="AL46" i="76"/>
  <c r="AJ46" i="76"/>
  <c r="AG46" i="76"/>
  <c r="AD46" i="76"/>
  <c r="AE46" i="76"/>
  <c r="AM44" i="76"/>
  <c r="AM37" i="76"/>
  <c r="AL37" i="76"/>
  <c r="AJ37" i="76"/>
  <c r="AG37" i="76"/>
  <c r="AD37" i="76"/>
  <c r="AH37" i="76"/>
  <c r="AM39" i="76"/>
  <c r="AM38" i="76"/>
  <c r="AM45" i="76"/>
  <c r="AJ45" i="76"/>
  <c r="AG45" i="76"/>
  <c r="AD45" i="76"/>
  <c r="AH45" i="76"/>
  <c r="AM36" i="76"/>
  <c r="AM35" i="76"/>
  <c r="AM34" i="76"/>
  <c r="AM33" i="76"/>
  <c r="AM32" i="76"/>
  <c r="AM31" i="76"/>
  <c r="AM29" i="76"/>
  <c r="AL29" i="76"/>
  <c r="AJ29" i="76"/>
  <c r="AG29" i="76"/>
  <c r="AD29" i="76"/>
  <c r="AH29" i="76"/>
  <c r="AM28" i="76"/>
  <c r="AL28" i="76"/>
  <c r="AJ28" i="76"/>
  <c r="AG28" i="76"/>
  <c r="AD28" i="76"/>
  <c r="AE28" i="76"/>
  <c r="AM27" i="76"/>
  <c r="AL27" i="76"/>
  <c r="AJ27" i="76"/>
  <c r="AG27" i="76"/>
  <c r="AD27" i="76"/>
  <c r="AE27" i="76"/>
  <c r="AM26" i="76"/>
  <c r="AL26" i="76"/>
  <c r="AJ26" i="76"/>
  <c r="AG26" i="76"/>
  <c r="AD26" i="76"/>
  <c r="AH26" i="76"/>
  <c r="AM25" i="76"/>
  <c r="AL25" i="76"/>
  <c r="AJ25" i="76"/>
  <c r="AG25" i="76"/>
  <c r="AD25" i="76"/>
  <c r="AH25" i="76"/>
  <c r="AM19" i="76"/>
  <c r="AL19" i="76"/>
  <c r="AJ19" i="76"/>
  <c r="AG19" i="76"/>
  <c r="AD19" i="76"/>
  <c r="AE19" i="76"/>
  <c r="AM23" i="76"/>
  <c r="AL23" i="76"/>
  <c r="AJ23" i="76"/>
  <c r="AG23" i="76"/>
  <c r="AD23" i="76"/>
  <c r="AE23" i="76"/>
  <c r="AM30" i="76"/>
  <c r="AL30" i="76"/>
  <c r="AJ30" i="76"/>
  <c r="AG30" i="76"/>
  <c r="AD30" i="76"/>
  <c r="AH30" i="76"/>
  <c r="AM24" i="76"/>
  <c r="AL24" i="76"/>
  <c r="AJ24" i="76"/>
  <c r="AG24" i="76"/>
  <c r="AD24" i="76"/>
  <c r="AH24" i="76"/>
  <c r="AM22" i="76"/>
  <c r="AM17" i="76"/>
  <c r="AM16" i="76"/>
  <c r="AM15" i="76"/>
  <c r="AL15" i="76"/>
  <c r="AJ15" i="76"/>
  <c r="AG15" i="76"/>
  <c r="AD15" i="76"/>
  <c r="AE15" i="76"/>
  <c r="AM14" i="76"/>
  <c r="AL14" i="76"/>
  <c r="AJ14" i="76"/>
  <c r="AG14" i="76"/>
  <c r="AD14" i="76"/>
  <c r="AE14" i="76"/>
  <c r="AM8" i="76"/>
  <c r="AL8" i="76"/>
  <c r="AJ8" i="76"/>
  <c r="AG8" i="76"/>
  <c r="AD8" i="76"/>
  <c r="AH8" i="76"/>
  <c r="AM7" i="76"/>
  <c r="AL7" i="76"/>
  <c r="AJ7" i="76"/>
  <c r="AG7" i="76"/>
  <c r="AD7" i="76"/>
  <c r="AH7" i="76"/>
  <c r="AM9" i="76"/>
  <c r="AL9" i="76"/>
  <c r="AJ9" i="76"/>
  <c r="AG9" i="76"/>
  <c r="AD9" i="76"/>
  <c r="AE9" i="76"/>
  <c r="AM6" i="76"/>
  <c r="AL6" i="76"/>
  <c r="AJ6" i="76"/>
  <c r="AG6" i="76"/>
  <c r="AD6" i="76"/>
  <c r="AE6" i="76"/>
  <c r="AM13" i="76"/>
  <c r="AM12" i="76"/>
  <c r="AM11" i="76"/>
  <c r="AM10" i="76"/>
  <c r="AL10" i="76"/>
  <c r="AJ10" i="76"/>
  <c r="AG10" i="76"/>
  <c r="AD10" i="76"/>
  <c r="AH10" i="76"/>
  <c r="AM5" i="76"/>
  <c r="AL5" i="76"/>
  <c r="AJ5" i="76"/>
  <c r="AG5" i="76"/>
  <c r="AD5" i="76"/>
  <c r="AE5" i="76"/>
  <c r="AM4" i="76"/>
  <c r="AL4" i="76"/>
  <c r="AJ4" i="76"/>
  <c r="AG4" i="76"/>
  <c r="AD4" i="76"/>
  <c r="X4" i="76"/>
  <c r="W4" i="76"/>
  <c r="K4" i="76"/>
  <c r="I4" i="76"/>
  <c r="AH4" i="76" s="1"/>
  <c r="O75" i="76" l="1"/>
  <c r="O84" i="76" s="1"/>
  <c r="X74" i="76"/>
  <c r="W74" i="76"/>
  <c r="W75" i="76" s="1"/>
  <c r="O195" i="76"/>
  <c r="X194" i="76"/>
  <c r="X195" i="76" s="1"/>
  <c r="W194" i="76"/>
  <c r="W195" i="76" s="1"/>
  <c r="X223" i="76"/>
  <c r="X225" i="76" s="1"/>
  <c r="X218" i="76"/>
  <c r="W218" i="76"/>
  <c r="X236" i="76"/>
  <c r="W236" i="76"/>
  <c r="X235" i="76"/>
  <c r="W235" i="76"/>
  <c r="O405" i="76"/>
  <c r="O412" i="76" s="1"/>
  <c r="X401" i="76"/>
  <c r="X405" i="76" s="1"/>
  <c r="W401" i="76"/>
  <c r="O520" i="76"/>
  <c r="O522" i="76" s="1"/>
  <c r="X517" i="76"/>
  <c r="X520" i="76" s="1"/>
  <c r="W517" i="76"/>
  <c r="W520" i="76" s="1"/>
  <c r="O642" i="76"/>
  <c r="X641" i="76"/>
  <c r="W641" i="76"/>
  <c r="O648" i="76"/>
  <c r="X646" i="76"/>
  <c r="X648" i="76" s="1"/>
  <c r="W646" i="76"/>
  <c r="O419" i="76"/>
  <c r="X418" i="76"/>
  <c r="X419" i="76" s="1"/>
  <c r="W418" i="76"/>
  <c r="W419" i="76" s="1"/>
  <c r="O638" i="76"/>
  <c r="X637" i="76"/>
  <c r="W637" i="76"/>
  <c r="W638" i="76" s="1"/>
  <c r="X980" i="76"/>
  <c r="W980" i="76"/>
  <c r="O431" i="76"/>
  <c r="X430" i="76"/>
  <c r="X431" i="76" s="1"/>
  <c r="W430" i="76"/>
  <c r="W431" i="76" s="1"/>
  <c r="O437" i="76"/>
  <c r="X436" i="76"/>
  <c r="W436" i="76"/>
  <c r="W437" i="76" s="1"/>
  <c r="O541" i="76"/>
  <c r="X540" i="76"/>
  <c r="X541" i="76" s="1"/>
  <c r="W540" i="76"/>
  <c r="W541" i="76" s="1"/>
  <c r="O1005" i="76"/>
  <c r="X962" i="76"/>
  <c r="W962" i="76"/>
  <c r="X992" i="76"/>
  <c r="W992" i="76"/>
  <c r="O178" i="76"/>
  <c r="X176" i="76"/>
  <c r="W176" i="76"/>
  <c r="X203" i="76"/>
  <c r="W203" i="76"/>
  <c r="O349" i="76"/>
  <c r="X348" i="76"/>
  <c r="W348" i="76"/>
  <c r="W349" i="76" s="1"/>
  <c r="O358" i="76"/>
  <c r="X356" i="76"/>
  <c r="W356" i="76"/>
  <c r="W358" i="76" s="1"/>
  <c r="O448" i="76"/>
  <c r="O476" i="76" s="1"/>
  <c r="X443" i="76"/>
  <c r="W443" i="76"/>
  <c r="O536" i="76"/>
  <c r="X535" i="76"/>
  <c r="W535" i="76"/>
  <c r="O566" i="76"/>
  <c r="X565" i="76"/>
  <c r="W565" i="76"/>
  <c r="O574" i="76"/>
  <c r="X569" i="76"/>
  <c r="W569" i="76"/>
  <c r="W574" i="76" s="1"/>
  <c r="O1033" i="76"/>
  <c r="O1035" i="76" s="1"/>
  <c r="X1017" i="76"/>
  <c r="X1033" i="76" s="1"/>
  <c r="W1017" i="76"/>
  <c r="W1033" i="76" s="1"/>
  <c r="O220" i="76"/>
  <c r="X213" i="76"/>
  <c r="W213" i="76"/>
  <c r="O343" i="76"/>
  <c r="X341" i="76"/>
  <c r="W341" i="76"/>
  <c r="O487" i="76"/>
  <c r="O497" i="76" s="1"/>
  <c r="X481" i="76"/>
  <c r="W481" i="76"/>
  <c r="O888" i="76"/>
  <c r="O890" i="76" s="1"/>
  <c r="O927" i="76" s="1"/>
  <c r="X884" i="76"/>
  <c r="X888" i="76" s="1"/>
  <c r="W884" i="76"/>
  <c r="W888" i="76" s="1"/>
  <c r="O241" i="76"/>
  <c r="W225" i="76"/>
  <c r="O225" i="76"/>
  <c r="W448" i="76"/>
  <c r="W642" i="76"/>
  <c r="W405" i="76"/>
  <c r="M333" i="76"/>
  <c r="R476" i="76"/>
  <c r="Q476" i="76"/>
  <c r="M476" i="76"/>
  <c r="P476" i="76"/>
  <c r="M225" i="76"/>
  <c r="M412" i="76"/>
  <c r="M279" i="76"/>
  <c r="Q164" i="76"/>
  <c r="M890" i="76"/>
  <c r="P890" i="76"/>
  <c r="R890" i="76"/>
  <c r="Q890" i="76"/>
  <c r="P838" i="76"/>
  <c r="R412" i="76"/>
  <c r="Q412" i="76"/>
  <c r="P412" i="76"/>
  <c r="P164" i="76"/>
  <c r="AH387" i="76"/>
  <c r="W932" i="76"/>
  <c r="W289" i="76"/>
  <c r="X495" i="76"/>
  <c r="W162" i="76"/>
  <c r="X349" i="76"/>
  <c r="X744" i="76"/>
  <c r="X780" i="76"/>
  <c r="W780" i="76"/>
  <c r="X536" i="76"/>
  <c r="X923" i="76"/>
  <c r="W923" i="76"/>
  <c r="W487" i="76"/>
  <c r="M650" i="76"/>
  <c r="M870" i="76"/>
  <c r="M220" i="76"/>
  <c r="M904" i="76"/>
  <c r="M1005" i="76"/>
  <c r="M1035" i="76" s="1"/>
  <c r="X16" i="76"/>
  <c r="X264" i="76"/>
  <c r="X375" i="76"/>
  <c r="X151" i="76"/>
  <c r="X936" i="76"/>
  <c r="X155" i="76"/>
  <c r="X579" i="76"/>
  <c r="X133" i="76"/>
  <c r="X260" i="76"/>
  <c r="W302" i="76"/>
  <c r="X507" i="76"/>
  <c r="W579" i="76"/>
  <c r="W323" i="76"/>
  <c r="W270" i="76"/>
  <c r="X59" i="76"/>
  <c r="W260" i="76"/>
  <c r="X302" i="76"/>
  <c r="X323" i="76"/>
  <c r="X270" i="76"/>
  <c r="R838" i="76"/>
  <c r="W31" i="76"/>
  <c r="W133" i="76"/>
  <c r="X31" i="76"/>
  <c r="Q870" i="76"/>
  <c r="R870" i="76"/>
  <c r="Q142" i="76"/>
  <c r="X122" i="76"/>
  <c r="R142" i="76"/>
  <c r="M142" i="76"/>
  <c r="P142" i="76"/>
  <c r="W59" i="76"/>
  <c r="R677" i="76"/>
  <c r="X50" i="76"/>
  <c r="W50" i="76"/>
  <c r="X11" i="76"/>
  <c r="W11" i="76"/>
  <c r="P814" i="76"/>
  <c r="Q814" i="76"/>
  <c r="W796" i="76"/>
  <c r="X796" i="76"/>
  <c r="R814" i="76"/>
  <c r="P677" i="76"/>
  <c r="M677" i="76"/>
  <c r="Q677" i="76"/>
  <c r="R557" i="76"/>
  <c r="P557" i="76"/>
  <c r="Q557" i="76"/>
  <c r="Q439" i="76"/>
  <c r="M439" i="76"/>
  <c r="P439" i="76"/>
  <c r="R439" i="76"/>
  <c r="M343" i="76"/>
  <c r="M349" i="76"/>
  <c r="M838" i="76"/>
  <c r="Q838" i="76"/>
  <c r="P870" i="76"/>
  <c r="W942" i="76"/>
  <c r="X942" i="76"/>
  <c r="V942" i="76"/>
  <c r="V888" i="76"/>
  <c r="X836" i="76"/>
  <c r="W836" i="76"/>
  <c r="V836" i="76"/>
  <c r="AC387" i="76"/>
  <c r="X719" i="76"/>
  <c r="W719" i="76"/>
  <c r="V719" i="76"/>
  <c r="V536" i="76"/>
  <c r="V358" i="76"/>
  <c r="V349" i="76"/>
  <c r="M608" i="76"/>
  <c r="Q608" i="76"/>
  <c r="W331" i="76"/>
  <c r="V598" i="76"/>
  <c r="P608" i="76"/>
  <c r="W155" i="76"/>
  <c r="W598" i="76"/>
  <c r="X598" i="76"/>
  <c r="R608" i="76"/>
  <c r="X127" i="76"/>
  <c r="X830" i="76"/>
  <c r="X849" i="76"/>
  <c r="W861" i="76"/>
  <c r="M908" i="76"/>
  <c r="V849" i="76"/>
  <c r="W844" i="76"/>
  <c r="X844" i="76"/>
  <c r="P252" i="76"/>
  <c r="W820" i="76"/>
  <c r="V844" i="76"/>
  <c r="W830" i="76"/>
  <c r="V655" i="76"/>
  <c r="V452" i="76"/>
  <c r="Q252" i="76"/>
  <c r="R252" i="76"/>
  <c r="W127" i="76"/>
  <c r="V127" i="76"/>
  <c r="V69" i="76"/>
  <c r="M69" i="76"/>
  <c r="X631" i="76"/>
  <c r="W631" i="76"/>
  <c r="X861" i="76"/>
  <c r="V861" i="76"/>
  <c r="V631" i="76"/>
  <c r="V830" i="76"/>
  <c r="V936" i="76"/>
  <c r="X820" i="76"/>
  <c r="X140" i="76"/>
  <c r="W140" i="76"/>
  <c r="V117" i="76"/>
  <c r="X117" i="76"/>
  <c r="V140" i="76"/>
  <c r="V820" i="76"/>
  <c r="M697" i="76"/>
  <c r="Q697" i="76"/>
  <c r="R697" i="76"/>
  <c r="P697" i="76"/>
  <c r="V686" i="76"/>
  <c r="Q633" i="76"/>
  <c r="M633" i="76"/>
  <c r="P633" i="76"/>
  <c r="R633" i="76"/>
  <c r="V623" i="76"/>
  <c r="V474" i="76"/>
  <c r="W462" i="76"/>
  <c r="X474" i="76"/>
  <c r="V448" i="76"/>
  <c r="X462" i="76"/>
  <c r="V462" i="76"/>
  <c r="X427" i="76"/>
  <c r="V427" i="76"/>
  <c r="V437" i="76"/>
  <c r="M382" i="76"/>
  <c r="Q382" i="76"/>
  <c r="R382" i="76"/>
  <c r="P382" i="76"/>
  <c r="X380" i="76"/>
  <c r="W380" i="76"/>
  <c r="AC378" i="76"/>
  <c r="AH378" i="76"/>
  <c r="V380" i="76"/>
  <c r="AC379" i="76"/>
  <c r="AH379" i="76"/>
  <c r="AH386" i="76"/>
  <c r="AC386" i="76"/>
  <c r="W375" i="76"/>
  <c r="AH374" i="76"/>
  <c r="V375" i="76"/>
  <c r="AE1029" i="76"/>
  <c r="AE1027" i="76"/>
  <c r="V147" i="76"/>
  <c r="X147" i="76"/>
  <c r="V38" i="76"/>
  <c r="V52" i="76" s="1"/>
  <c r="X38" i="76"/>
  <c r="AE47" i="76"/>
  <c r="AE818" i="76"/>
  <c r="AE897" i="76"/>
  <c r="AE903" i="76"/>
  <c r="AE230" i="76"/>
  <c r="AH93" i="76"/>
  <c r="AE64" i="76"/>
  <c r="AE273" i="76"/>
  <c r="AE327" i="76"/>
  <c r="AE422" i="76"/>
  <c r="AE533" i="76"/>
  <c r="AE790" i="76"/>
  <c r="AE183" i="76"/>
  <c r="AE216" i="76"/>
  <c r="AE248" i="76"/>
  <c r="AE267" i="76"/>
  <c r="AE288" i="76"/>
  <c r="AE308" i="76"/>
  <c r="AC605" i="76"/>
  <c r="AC460" i="76"/>
  <c r="AE80" i="76"/>
  <c r="X90" i="76"/>
  <c r="AE465" i="76"/>
  <c r="AH565" i="76"/>
  <c r="AE601" i="76"/>
  <c r="AE617" i="76"/>
  <c r="AE630" i="76"/>
  <c r="AE764" i="76"/>
  <c r="AE803" i="76"/>
  <c r="AE810" i="76"/>
  <c r="AE901" i="76"/>
  <c r="AE916" i="76"/>
  <c r="AH947" i="76"/>
  <c r="AE1019" i="76"/>
  <c r="AE1031" i="76"/>
  <c r="X593" i="76"/>
  <c r="V619" i="76"/>
  <c r="AE1021" i="76"/>
  <c r="AE223" i="76"/>
  <c r="AC347" i="76"/>
  <c r="AC713" i="76"/>
  <c r="AH713" i="76"/>
  <c r="AE78" i="76"/>
  <c r="AH228" i="76"/>
  <c r="X364" i="76"/>
  <c r="AE362" i="76"/>
  <c r="AH434" i="76"/>
  <c r="AE436" i="76"/>
  <c r="AC516" i="76"/>
  <c r="AH516" i="76"/>
  <c r="X606" i="76"/>
  <c r="AE673" i="76"/>
  <c r="AE835" i="76"/>
  <c r="V1035" i="76"/>
  <c r="AE88" i="76"/>
  <c r="P98" i="76"/>
  <c r="AH125" i="76"/>
  <c r="AC176" i="76"/>
  <c r="AC223" i="76"/>
  <c r="AH339" i="76"/>
  <c r="AH389" i="76"/>
  <c r="AH435" i="76"/>
  <c r="AH451" i="76"/>
  <c r="AE490" i="76"/>
  <c r="Q497" i="76"/>
  <c r="AC533" i="76"/>
  <c r="AC601" i="76"/>
  <c r="AE605" i="76"/>
  <c r="AH622" i="76"/>
  <c r="AE742" i="76"/>
  <c r="AE807" i="76"/>
  <c r="AE852" i="76"/>
  <c r="AE865" i="76"/>
  <c r="AC897" i="76"/>
  <c r="AC961" i="76"/>
  <c r="AH138" i="76"/>
  <c r="V371" i="76"/>
  <c r="AC803" i="76"/>
  <c r="AE902" i="76"/>
  <c r="AE900" i="76"/>
  <c r="AE1023" i="76"/>
  <c r="AE62" i="76"/>
  <c r="M112" i="76"/>
  <c r="Q112" i="76"/>
  <c r="AC169" i="76"/>
  <c r="AH181" i="76"/>
  <c r="AC177" i="76"/>
  <c r="AC185" i="76"/>
  <c r="AC187" i="76"/>
  <c r="AE182" i="76"/>
  <c r="AC216" i="76"/>
  <c r="AH215" i="76"/>
  <c r="AE231" i="76"/>
  <c r="AC258" i="76"/>
  <c r="AE275" i="76"/>
  <c r="AC300" i="76"/>
  <c r="AC321" i="76"/>
  <c r="AC327" i="76"/>
  <c r="AC338" i="76"/>
  <c r="AE370" i="76"/>
  <c r="AE408" i="76"/>
  <c r="X555" i="76"/>
  <c r="AC604" i="76"/>
  <c r="AE757" i="76"/>
  <c r="AH757" i="76"/>
  <c r="AC6" i="76"/>
  <c r="AH6" i="76"/>
  <c r="AC14" i="76"/>
  <c r="AH14" i="76"/>
  <c r="AE45" i="76"/>
  <c r="AE63" i="76"/>
  <c r="AE4" i="76"/>
  <c r="AE7" i="76"/>
  <c r="AC74" i="76"/>
  <c r="AE56" i="76"/>
  <c r="AC80" i="76"/>
  <c r="AE107" i="76"/>
  <c r="AC138" i="76"/>
  <c r="V162" i="76"/>
  <c r="AH186" i="76"/>
  <c r="AH170" i="76"/>
  <c r="AC203" i="76"/>
  <c r="AE224" i="76"/>
  <c r="AE207" i="76"/>
  <c r="AC215" i="76"/>
  <c r="AC228" i="76"/>
  <c r="AE236" i="76"/>
  <c r="AE244" i="76"/>
  <c r="AE263" i="76"/>
  <c r="AH268" i="76"/>
  <c r="AC273" i="76"/>
  <c r="AE284" i="76"/>
  <c r="AE309" i="76"/>
  <c r="AH312" i="76"/>
  <c r="AE430" i="76"/>
  <c r="AE443" i="76"/>
  <c r="AE447" i="76"/>
  <c r="AC505" i="76"/>
  <c r="AC518" i="76"/>
  <c r="AH518" i="76"/>
  <c r="AE526" i="76"/>
  <c r="AC534" i="76"/>
  <c r="AE529" i="76"/>
  <c r="AE544" i="76"/>
  <c r="AC551" i="76"/>
  <c r="AH551" i="76"/>
  <c r="AE553" i="76"/>
  <c r="AE694" i="76"/>
  <c r="AH694" i="76"/>
  <c r="AC161" i="76"/>
  <c r="AC186" i="76"/>
  <c r="AC170" i="76"/>
  <c r="AC268" i="76"/>
  <c r="AC370" i="76"/>
  <c r="AC408" i="76"/>
  <c r="V495" i="76"/>
  <c r="W804" i="76"/>
  <c r="AC56" i="76"/>
  <c r="R98" i="76"/>
  <c r="AE126" i="76"/>
  <c r="AH169" i="76"/>
  <c r="AH177" i="76"/>
  <c r="AH185" i="76"/>
  <c r="AH187" i="76"/>
  <c r="AC224" i="76"/>
  <c r="AC207" i="76"/>
  <c r="AC218" i="76"/>
  <c r="AE237" i="76"/>
  <c r="AC263" i="76"/>
  <c r="AH258" i="76"/>
  <c r="AC284" i="76"/>
  <c r="AH300" i="76"/>
  <c r="AH321" i="76"/>
  <c r="AE341" i="76"/>
  <c r="AC339" i="76"/>
  <c r="AE357" i="76"/>
  <c r="AC390" i="76"/>
  <c r="AC434" i="76"/>
  <c r="AC451" i="76"/>
  <c r="AH460" i="76"/>
  <c r="P522" i="76"/>
  <c r="AC526" i="76"/>
  <c r="AC544" i="76"/>
  <c r="AC553" i="76"/>
  <c r="AH604" i="76"/>
  <c r="W619" i="76"/>
  <c r="AC622" i="76"/>
  <c r="AE674" i="76"/>
  <c r="AH674" i="76"/>
  <c r="AC674" i="76"/>
  <c r="AE718" i="76"/>
  <c r="AH718" i="76"/>
  <c r="AC800" i="76"/>
  <c r="AH800" i="76"/>
  <c r="AC829" i="76"/>
  <c r="AH829" i="76"/>
  <c r="AC833" i="76"/>
  <c r="AH833" i="76"/>
  <c r="AC856" i="76"/>
  <c r="AH856" i="76"/>
  <c r="AC867" i="76"/>
  <c r="AH867" i="76"/>
  <c r="AC883" i="76"/>
  <c r="AH883" i="76"/>
  <c r="AC950" i="76"/>
  <c r="AH950" i="76"/>
  <c r="AC947" i="76"/>
  <c r="AH963" i="76"/>
  <c r="AE993" i="76"/>
  <c r="AE997" i="76"/>
  <c r="AE1014" i="76"/>
  <c r="AE1004" i="76"/>
  <c r="AC717" i="76"/>
  <c r="AC764" i="76"/>
  <c r="AC790" i="76"/>
  <c r="AC901" i="76"/>
  <c r="AC902" i="76"/>
  <c r="AC903" i="76"/>
  <c r="AC900" i="76"/>
  <c r="AC916" i="76"/>
  <c r="AE879" i="76"/>
  <c r="AC963" i="76"/>
  <c r="AC966" i="76"/>
  <c r="AC972" i="76"/>
  <c r="AC617" i="76"/>
  <c r="AC630" i="76"/>
  <c r="AE647" i="76"/>
  <c r="V675" i="76"/>
  <c r="AC673" i="76"/>
  <c r="AH701" i="76"/>
  <c r="AH731" i="76"/>
  <c r="AC732" i="76"/>
  <c r="AC742" i="76"/>
  <c r="AC807" i="76"/>
  <c r="AC810" i="76"/>
  <c r="AC818" i="76"/>
  <c r="AC835" i="76"/>
  <c r="AC852" i="76"/>
  <c r="AC865" i="76"/>
  <c r="X876" i="76"/>
  <c r="AE945" i="76"/>
  <c r="AE941" i="76"/>
  <c r="AH962" i="76"/>
  <c r="AE995" i="76"/>
  <c r="AE999" i="76"/>
  <c r="AE1002" i="76"/>
  <c r="AE1032" i="76"/>
  <c r="AC964" i="76"/>
  <c r="AC974" i="76"/>
  <c r="W110" i="76"/>
  <c r="P112" i="76"/>
  <c r="AH132" i="76"/>
  <c r="AC132" i="76"/>
  <c r="AE158" i="76"/>
  <c r="AH158" i="76"/>
  <c r="AC48" i="76"/>
  <c r="AH48" i="76"/>
  <c r="AH68" i="76"/>
  <c r="AC72" i="76"/>
  <c r="AH72" i="76"/>
  <c r="X82" i="76"/>
  <c r="X96" i="76"/>
  <c r="M98" i="76"/>
  <c r="Q98" i="76"/>
  <c r="X110" i="76"/>
  <c r="AC109" i="76"/>
  <c r="AH109" i="76"/>
  <c r="AH131" i="76"/>
  <c r="AH168" i="76"/>
  <c r="AC168" i="76"/>
  <c r="AC7" i="76"/>
  <c r="AC45" i="76"/>
  <c r="AC68" i="76"/>
  <c r="AC62" i="76"/>
  <c r="V75" i="76"/>
  <c r="AC78" i="76"/>
  <c r="AC63" i="76"/>
  <c r="AC107" i="76"/>
  <c r="AC126" i="76"/>
  <c r="AC131" i="76"/>
  <c r="AE139" i="76"/>
  <c r="AH139" i="76"/>
  <c r="AE132" i="76"/>
  <c r="AH205" i="76"/>
  <c r="AC205" i="76"/>
  <c r="AE205" i="76"/>
  <c r="AH209" i="76"/>
  <c r="AC209" i="76"/>
  <c r="AE209" i="76"/>
  <c r="AC4" i="76"/>
  <c r="AC47" i="76"/>
  <c r="AH74" i="76"/>
  <c r="AC64" i="76"/>
  <c r="AC88" i="76"/>
  <c r="R112" i="76"/>
  <c r="W117" i="76"/>
  <c r="AE168" i="76"/>
  <c r="AH212" i="76"/>
  <c r="AC212" i="76"/>
  <c r="AE212" i="76"/>
  <c r="AH176" i="76"/>
  <c r="AH218" i="76"/>
  <c r="AE246" i="76"/>
  <c r="AE256" i="76"/>
  <c r="AE259" i="76"/>
  <c r="AE298" i="76"/>
  <c r="AE329" i="76"/>
  <c r="AE337" i="76"/>
  <c r="AH347" i="76"/>
  <c r="AH390" i="76"/>
  <c r="AH461" i="76"/>
  <c r="AH469" i="76"/>
  <c r="AE483" i="76"/>
  <c r="AH483" i="76"/>
  <c r="AC483" i="76"/>
  <c r="AC529" i="76"/>
  <c r="AE535" i="76"/>
  <c r="AC535" i="76"/>
  <c r="X530" i="76"/>
  <c r="AC461" i="76"/>
  <c r="AH466" i="76"/>
  <c r="AC466" i="76"/>
  <c r="AC469" i="76"/>
  <c r="AE471" i="76"/>
  <c r="AH471" i="76"/>
  <c r="AC471" i="76"/>
  <c r="AC503" i="76"/>
  <c r="AH503" i="76"/>
  <c r="AC517" i="76"/>
  <c r="AH517" i="76"/>
  <c r="Q522" i="76"/>
  <c r="AH161" i="76"/>
  <c r="AH229" i="76"/>
  <c r="AC246" i="76"/>
  <c r="AC256" i="76"/>
  <c r="AC259" i="76"/>
  <c r="AC298" i="76"/>
  <c r="AC312" i="76"/>
  <c r="AC329" i="76"/>
  <c r="AC337" i="76"/>
  <c r="W371" i="76"/>
  <c r="AC465" i="76"/>
  <c r="AH480" i="76"/>
  <c r="AC480" i="76"/>
  <c r="AE480" i="76"/>
  <c r="AH528" i="76"/>
  <c r="AC528" i="76"/>
  <c r="AE528" i="76"/>
  <c r="AH583" i="76"/>
  <c r="AC583" i="76"/>
  <c r="AE583" i="76"/>
  <c r="X162" i="76"/>
  <c r="AC183" i="76"/>
  <c r="AC182" i="76"/>
  <c r="AH203" i="76"/>
  <c r="AC229" i="76"/>
  <c r="AC231" i="76"/>
  <c r="AC230" i="76"/>
  <c r="AC244" i="76"/>
  <c r="AE235" i="76"/>
  <c r="AC248" i="76"/>
  <c r="AC275" i="76"/>
  <c r="AC288" i="76"/>
  <c r="AC308" i="76"/>
  <c r="AH338" i="76"/>
  <c r="AC362" i="76"/>
  <c r="X371" i="76"/>
  <c r="AC389" i="76"/>
  <c r="AC430" i="76"/>
  <c r="AC422" i="76"/>
  <c r="AC436" i="76"/>
  <c r="AC443" i="76"/>
  <c r="AC447" i="76"/>
  <c r="AE466" i="76"/>
  <c r="P497" i="76"/>
  <c r="M522" i="76"/>
  <c r="R522" i="76"/>
  <c r="AC584" i="76"/>
  <c r="AH584" i="76"/>
  <c r="AC592" i="76"/>
  <c r="AH592" i="76"/>
  <c r="AE613" i="76"/>
  <c r="X619" i="76"/>
  <c r="AH641" i="76"/>
  <c r="AC646" i="76"/>
  <c r="AC647" i="76"/>
  <c r="AC668" i="76"/>
  <c r="AH668" i="76"/>
  <c r="X695" i="76"/>
  <c r="X697" i="76" s="1"/>
  <c r="AC685" i="76"/>
  <c r="AH685" i="76"/>
  <c r="AH692" i="76"/>
  <c r="AH708" i="76"/>
  <c r="AC718" i="76"/>
  <c r="AE733" i="76"/>
  <c r="AH732" i="76"/>
  <c r="AC778" i="76"/>
  <c r="AH778" i="76"/>
  <c r="AC774" i="76"/>
  <c r="AH774" i="76"/>
  <c r="AC768" i="76"/>
  <c r="AH768" i="76"/>
  <c r="AH769" i="76"/>
  <c r="AH788" i="76"/>
  <c r="AC788" i="76"/>
  <c r="AE788" i="76"/>
  <c r="AH823" i="76"/>
  <c r="AC823" i="76"/>
  <c r="AE823" i="76"/>
  <c r="AE857" i="76"/>
  <c r="AH857" i="76"/>
  <c r="AC857" i="76"/>
  <c r="AC641" i="76"/>
  <c r="AC708" i="76"/>
  <c r="AC769" i="76"/>
  <c r="AH854" i="76"/>
  <c r="AC854" i="76"/>
  <c r="AE854" i="76"/>
  <c r="M497" i="76"/>
  <c r="R497" i="76"/>
  <c r="AH505" i="76"/>
  <c r="V530" i="76"/>
  <c r="AH534" i="76"/>
  <c r="AC565" i="76"/>
  <c r="V614" i="76"/>
  <c r="AC613" i="76"/>
  <c r="X675" i="76"/>
  <c r="AH717" i="76"/>
  <c r="X724" i="76"/>
  <c r="AC731" i="76"/>
  <c r="AC733" i="76"/>
  <c r="AH747" i="76"/>
  <c r="AC747" i="76"/>
  <c r="AC757" i="76"/>
  <c r="AH759" i="76"/>
  <c r="AC759" i="76"/>
  <c r="AE795" i="76"/>
  <c r="AH795" i="76"/>
  <c r="AC795" i="76"/>
  <c r="AH894" i="76"/>
  <c r="AC894" i="76"/>
  <c r="AE894" i="76"/>
  <c r="X585" i="76"/>
  <c r="X614" i="76"/>
  <c r="V648" i="76"/>
  <c r="V650" i="76" s="1"/>
  <c r="AH646" i="76"/>
  <c r="W695" i="76"/>
  <c r="W697" i="76" s="1"/>
  <c r="AE801" i="76"/>
  <c r="AH801" i="76"/>
  <c r="AH848" i="76"/>
  <c r="AC848" i="76"/>
  <c r="AE848" i="76"/>
  <c r="AE866" i="76"/>
  <c r="AH866" i="76"/>
  <c r="AC866" i="76"/>
  <c r="AH886" i="76"/>
  <c r="AC886" i="76"/>
  <c r="AE886" i="76"/>
  <c r="AE940" i="76"/>
  <c r="AC945" i="76"/>
  <c r="AE951" i="76"/>
  <c r="AC968" i="76"/>
  <c r="AC976" i="76"/>
  <c r="AE994" i="76"/>
  <c r="AE996" i="76"/>
  <c r="AE998" i="76"/>
  <c r="AE1000" i="76"/>
  <c r="AE1001" i="76"/>
  <c r="AE1003" i="76"/>
  <c r="AE1008" i="76"/>
  <c r="AE1018" i="76"/>
  <c r="AE1020" i="76"/>
  <c r="AE1022" i="76"/>
  <c r="AE1026" i="76"/>
  <c r="AE1028" i="76"/>
  <c r="AE1030" i="76"/>
  <c r="AE1025" i="76"/>
  <c r="V804" i="76"/>
  <c r="AC875" i="76"/>
  <c r="AH875" i="76"/>
  <c r="AC896" i="76"/>
  <c r="AH896" i="76"/>
  <c r="AC898" i="76"/>
  <c r="AH898" i="76"/>
  <c r="AE922" i="76"/>
  <c r="AC939" i="76"/>
  <c r="AH939" i="76"/>
  <c r="AC1012" i="76"/>
  <c r="AH1012" i="76"/>
  <c r="AC940" i="76"/>
  <c r="AC951" i="76"/>
  <c r="AC1008" i="76"/>
  <c r="X804" i="76"/>
  <c r="X868" i="76"/>
  <c r="AC922" i="76"/>
  <c r="AH949" i="76"/>
  <c r="X952" i="76"/>
  <c r="AC962" i="76"/>
  <c r="AC970" i="76"/>
  <c r="AE10" i="76"/>
  <c r="AE30" i="76"/>
  <c r="AC19" i="76"/>
  <c r="AH19" i="76"/>
  <c r="AE26" i="76"/>
  <c r="AC28" i="76"/>
  <c r="AH28" i="76"/>
  <c r="AC10" i="76"/>
  <c r="AC30" i="76"/>
  <c r="AC26" i="76"/>
  <c r="AC5" i="76"/>
  <c r="AH5" i="76"/>
  <c r="AC9" i="76"/>
  <c r="AH9" i="76"/>
  <c r="AE8" i="76"/>
  <c r="AC15" i="76"/>
  <c r="AH15" i="76"/>
  <c r="AE24" i="76"/>
  <c r="AC23" i="76"/>
  <c r="AH23" i="76"/>
  <c r="AE25" i="76"/>
  <c r="AC27" i="76"/>
  <c r="AH27" i="76"/>
  <c r="AE29" i="76"/>
  <c r="AE37" i="76"/>
  <c r="AC46" i="76"/>
  <c r="AH46" i="76"/>
  <c r="AE41" i="76"/>
  <c r="AC49" i="76"/>
  <c r="AH49" i="76"/>
  <c r="AE58" i="76"/>
  <c r="AC73" i="76"/>
  <c r="AH73" i="76"/>
  <c r="AC79" i="76"/>
  <c r="AH79" i="76"/>
  <c r="AH81" i="76"/>
  <c r="W96" i="76"/>
  <c r="AE94" i="76"/>
  <c r="V96" i="76"/>
  <c r="AC103" i="76"/>
  <c r="AH103" i="76"/>
  <c r="AH102" i="76"/>
  <c r="AC102" i="76"/>
  <c r="AH120" i="76"/>
  <c r="AC120" i="76"/>
  <c r="AC125" i="76"/>
  <c r="AC116" i="76"/>
  <c r="AH116" i="76"/>
  <c r="AH136" i="76"/>
  <c r="AH121" i="76"/>
  <c r="AC139" i="76"/>
  <c r="AH146" i="76"/>
  <c r="AC158" i="76"/>
  <c r="AC159" i="76"/>
  <c r="AH159" i="76"/>
  <c r="AH160" i="76"/>
  <c r="AC160" i="76"/>
  <c r="AH206" i="76"/>
  <c r="AC206" i="76"/>
  <c r="AE206" i="76"/>
  <c r="AH210" i="76"/>
  <c r="AC210" i="76"/>
  <c r="AE210" i="76"/>
  <c r="AH249" i="76"/>
  <c r="AC249" i="76"/>
  <c r="AE249" i="76"/>
  <c r="AE283" i="76"/>
  <c r="AH283" i="76"/>
  <c r="AC283" i="76"/>
  <c r="AE322" i="76"/>
  <c r="AH322" i="76"/>
  <c r="AC322" i="76"/>
  <c r="AH310" i="76"/>
  <c r="AC310" i="76"/>
  <c r="AE330" i="76"/>
  <c r="AH330" i="76"/>
  <c r="AC330" i="76"/>
  <c r="W82" i="76"/>
  <c r="AC81" i="76"/>
  <c r="AH57" i="76"/>
  <c r="AC57" i="76"/>
  <c r="W90" i="76"/>
  <c r="AH108" i="76"/>
  <c r="AC108" i="76"/>
  <c r="AC136" i="76"/>
  <c r="AH137" i="76"/>
  <c r="AC137" i="76"/>
  <c r="AC146" i="76"/>
  <c r="AH150" i="76"/>
  <c r="AC150" i="76"/>
  <c r="AE194" i="76"/>
  <c r="AH194" i="76"/>
  <c r="AC194" i="76"/>
  <c r="AE184" i="76"/>
  <c r="AH184" i="76"/>
  <c r="AC184" i="76"/>
  <c r="AH193" i="76"/>
  <c r="AC193" i="76"/>
  <c r="AE193" i="76"/>
  <c r="AE213" i="76"/>
  <c r="AH213" i="76"/>
  <c r="AE214" i="76"/>
  <c r="AH214" i="76"/>
  <c r="AC214" i="76"/>
  <c r="AC235" i="76"/>
  <c r="AH245" i="76"/>
  <c r="AC245" i="76"/>
  <c r="AE245" i="76"/>
  <c r="AH257" i="76"/>
  <c r="AC257" i="76"/>
  <c r="AE257" i="76"/>
  <c r="AH292" i="76"/>
  <c r="AC292" i="76"/>
  <c r="AE292" i="76"/>
  <c r="V90" i="76"/>
  <c r="AC8" i="76"/>
  <c r="AC24" i="76"/>
  <c r="AC25" i="76"/>
  <c r="AC29" i="76"/>
  <c r="AC37" i="76"/>
  <c r="AC41" i="76"/>
  <c r="AC58" i="76"/>
  <c r="AC93" i="76"/>
  <c r="AC94" i="76"/>
  <c r="AH95" i="76"/>
  <c r="AC95" i="76"/>
  <c r="AE102" i="76"/>
  <c r="V110" i="76"/>
  <c r="AE120" i="76"/>
  <c r="AH130" i="76"/>
  <c r="AE160" i="76"/>
  <c r="AH174" i="76"/>
  <c r="AC181" i="76"/>
  <c r="AE204" i="76"/>
  <c r="AH204" i="76"/>
  <c r="AC204" i="76"/>
  <c r="AE208" i="76"/>
  <c r="AH208" i="76"/>
  <c r="AC208" i="76"/>
  <c r="AC236" i="76"/>
  <c r="AE238" i="76"/>
  <c r="AH238" i="76"/>
  <c r="AC238" i="76"/>
  <c r="AH274" i="76"/>
  <c r="AC274" i="76"/>
  <c r="AE274" i="76"/>
  <c r="AH285" i="76"/>
  <c r="AC285" i="76"/>
  <c r="AE285" i="76"/>
  <c r="AE310" i="76"/>
  <c r="AH311" i="76"/>
  <c r="AC311" i="76"/>
  <c r="AE346" i="76"/>
  <c r="AH346" i="76"/>
  <c r="AC346" i="76"/>
  <c r="V82" i="76"/>
  <c r="AH89" i="76"/>
  <c r="AC89" i="76"/>
  <c r="AC174" i="76"/>
  <c r="AH175" i="76"/>
  <c r="AC175" i="76"/>
  <c r="AH192" i="76"/>
  <c r="AC192" i="76"/>
  <c r="AE192" i="76"/>
  <c r="AE191" i="76"/>
  <c r="AH191" i="76"/>
  <c r="AC191" i="76"/>
  <c r="AH211" i="76"/>
  <c r="AC211" i="76"/>
  <c r="AE211" i="76"/>
  <c r="AE219" i="76"/>
  <c r="AH219" i="76"/>
  <c r="AC219" i="76"/>
  <c r="AE247" i="76"/>
  <c r="AH247" i="76"/>
  <c r="AC247" i="76"/>
  <c r="AE276" i="76"/>
  <c r="AH276" i="76"/>
  <c r="AC276" i="76"/>
  <c r="AH301" i="76"/>
  <c r="AC301" i="76"/>
  <c r="AE301" i="76"/>
  <c r="AE299" i="76"/>
  <c r="AH299" i="76"/>
  <c r="AC299" i="76"/>
  <c r="AE342" i="76"/>
  <c r="AH342" i="76"/>
  <c r="AC342" i="76"/>
  <c r="W364" i="76"/>
  <c r="AE356" i="76"/>
  <c r="AE401" i="76"/>
  <c r="AE418" i="76"/>
  <c r="AC444" i="76"/>
  <c r="AH445" i="76"/>
  <c r="AC445" i="76"/>
  <c r="AH470" i="76"/>
  <c r="AC470" i="76"/>
  <c r="AE470" i="76"/>
  <c r="AE486" i="76"/>
  <c r="AH486" i="76"/>
  <c r="AC486" i="76"/>
  <c r="X487" i="76"/>
  <c r="V487" i="76"/>
  <c r="AH493" i="76"/>
  <c r="AC493" i="76"/>
  <c r="AE493" i="76"/>
  <c r="AH494" i="76"/>
  <c r="AC494" i="76"/>
  <c r="AE494" i="76"/>
  <c r="AH482" i="76"/>
  <c r="AC482" i="76"/>
  <c r="AE482" i="76"/>
  <c r="AE504" i="76"/>
  <c r="AH515" i="76"/>
  <c r="AC515" i="76"/>
  <c r="AE515" i="76"/>
  <c r="AE527" i="76"/>
  <c r="AH527" i="76"/>
  <c r="AC527" i="76"/>
  <c r="AC569" i="76"/>
  <c r="AH569" i="76"/>
  <c r="AE573" i="76"/>
  <c r="AH573" i="76"/>
  <c r="AC573" i="76"/>
  <c r="AH582" i="76"/>
  <c r="AC582" i="76"/>
  <c r="AE582" i="76"/>
  <c r="AC287" i="76"/>
  <c r="AH287" i="76"/>
  <c r="AE293" i="76"/>
  <c r="AE313" i="76"/>
  <c r="AC326" i="76"/>
  <c r="AH326" i="76"/>
  <c r="AE328" i="76"/>
  <c r="AC348" i="76"/>
  <c r="AH348" i="76"/>
  <c r="W353" i="76"/>
  <c r="AE352" i="76"/>
  <c r="AE340" i="76"/>
  <c r="AC361" i="76"/>
  <c r="AH361" i="76"/>
  <c r="AE363" i="76"/>
  <c r="AC388" i="76"/>
  <c r="AH388" i="76"/>
  <c r="AE404" i="76"/>
  <c r="AC394" i="76"/>
  <c r="AH394" i="76"/>
  <c r="AE398" i="76"/>
  <c r="AH426" i="76"/>
  <c r="AE424" i="76"/>
  <c r="AC459" i="76"/>
  <c r="AH459" i="76"/>
  <c r="AH455" i="76"/>
  <c r="AC455" i="76"/>
  <c r="W474" i="76"/>
  <c r="AH473" i="76"/>
  <c r="W495" i="76"/>
  <c r="AH549" i="76"/>
  <c r="AC549" i="76"/>
  <c r="AE549" i="76"/>
  <c r="AH554" i="76"/>
  <c r="AC554" i="76"/>
  <c r="AE554" i="76"/>
  <c r="W593" i="76"/>
  <c r="V593" i="76"/>
  <c r="AC356" i="76"/>
  <c r="V364" i="76"/>
  <c r="AC401" i="76"/>
  <c r="AC418" i="76"/>
  <c r="AH409" i="76"/>
  <c r="AC426" i="76"/>
  <c r="AE445" i="76"/>
  <c r="AH472" i="76"/>
  <c r="AC472" i="76"/>
  <c r="AC473" i="76"/>
  <c r="AE468" i="76"/>
  <c r="AH468" i="76"/>
  <c r="AC468" i="76"/>
  <c r="AE467" i="76"/>
  <c r="AH467" i="76"/>
  <c r="AC467" i="76"/>
  <c r="AH481" i="76"/>
  <c r="AE481" i="76"/>
  <c r="AC490" i="76"/>
  <c r="AE492" i="76"/>
  <c r="AH492" i="76"/>
  <c r="AC492" i="76"/>
  <c r="AE491" i="76"/>
  <c r="AH491" i="76"/>
  <c r="AC491" i="76"/>
  <c r="AE506" i="76"/>
  <c r="AH506" i="76"/>
  <c r="AC506" i="76"/>
  <c r="AH561" i="76"/>
  <c r="AC561" i="76"/>
  <c r="AE561" i="76"/>
  <c r="V585" i="76"/>
  <c r="W585" i="76"/>
  <c r="AE578" i="76"/>
  <c r="AH578" i="76"/>
  <c r="AC578" i="76"/>
  <c r="AC313" i="76"/>
  <c r="AC328" i="76"/>
  <c r="AC352" i="76"/>
  <c r="AC340" i="76"/>
  <c r="AC363" i="76"/>
  <c r="AC404" i="76"/>
  <c r="AC409" i="76"/>
  <c r="AC398" i="76"/>
  <c r="AH399" i="76"/>
  <c r="AC399" i="76"/>
  <c r="AC435" i="76"/>
  <c r="AC424" i="76"/>
  <c r="AH444" i="76"/>
  <c r="AE519" i="76"/>
  <c r="AH519" i="76"/>
  <c r="AC519" i="76"/>
  <c r="AE539" i="76"/>
  <c r="AH539" i="76"/>
  <c r="AC539" i="76"/>
  <c r="V555" i="76"/>
  <c r="W555" i="76"/>
  <c r="AE550" i="76"/>
  <c r="AH550" i="76"/>
  <c r="AC550" i="76"/>
  <c r="AE571" i="76"/>
  <c r="AH571" i="76"/>
  <c r="AC571" i="76"/>
  <c r="AH570" i="76"/>
  <c r="AC570" i="76"/>
  <c r="AE570" i="76"/>
  <c r="AE591" i="76"/>
  <c r="AH591" i="76"/>
  <c r="AC591" i="76"/>
  <c r="V606" i="76"/>
  <c r="W606" i="76"/>
  <c r="AH645" i="76"/>
  <c r="AC645" i="76"/>
  <c r="AC681" i="76"/>
  <c r="AH689" i="76"/>
  <c r="AC689" i="76"/>
  <c r="AC690" i="76"/>
  <c r="V695" i="76"/>
  <c r="AH748" i="76"/>
  <c r="AC748" i="76"/>
  <c r="AE748" i="76"/>
  <c r="AC485" i="76"/>
  <c r="AH485" i="76"/>
  <c r="AE510" i="76"/>
  <c r="AC540" i="76"/>
  <c r="AH540" i="76"/>
  <c r="AC602" i="76"/>
  <c r="AH602" i="76"/>
  <c r="AE603" i="76"/>
  <c r="W614" i="76"/>
  <c r="AE612" i="76"/>
  <c r="AE618" i="76"/>
  <c r="AC626" i="76"/>
  <c r="AH626" i="76"/>
  <c r="AE627" i="76"/>
  <c r="AC628" i="76"/>
  <c r="AH628" i="76"/>
  <c r="AC637" i="76"/>
  <c r="AH658" i="76"/>
  <c r="AH654" i="76"/>
  <c r="W675" i="76"/>
  <c r="AH663" i="76"/>
  <c r="AH693" i="76"/>
  <c r="AC691" i="76"/>
  <c r="AH691" i="76"/>
  <c r="AE706" i="76"/>
  <c r="AH712" i="76"/>
  <c r="V724" i="76"/>
  <c r="W724" i="76"/>
  <c r="AC658" i="76"/>
  <c r="AH664" i="76"/>
  <c r="AC664" i="76"/>
  <c r="AC654" i="76"/>
  <c r="AH672" i="76"/>
  <c r="AC672" i="76"/>
  <c r="AC663" i="76"/>
  <c r="V682" i="76"/>
  <c r="AC712" i="76"/>
  <c r="AH702" i="76"/>
  <c r="AC702" i="76"/>
  <c r="AE702" i="76"/>
  <c r="AC603" i="76"/>
  <c r="AC612" i="76"/>
  <c r="AC618" i="76"/>
  <c r="AC627" i="76"/>
  <c r="AE637" i="76"/>
  <c r="AH681" i="76"/>
  <c r="AH690" i="76"/>
  <c r="AC701" i="76"/>
  <c r="AC706" i="76"/>
  <c r="AH707" i="76"/>
  <c r="AC707" i="76"/>
  <c r="AE722" i="76"/>
  <c r="AH722" i="76"/>
  <c r="AC722" i="76"/>
  <c r="AH756" i="76"/>
  <c r="AC756" i="76"/>
  <c r="AE756" i="76"/>
  <c r="AE723" i="76"/>
  <c r="AE743" i="76"/>
  <c r="AH794" i="76"/>
  <c r="AC794" i="76"/>
  <c r="AE794" i="76"/>
  <c r="AH808" i="76"/>
  <c r="AC808" i="76"/>
  <c r="AE808" i="76"/>
  <c r="AE824" i="76"/>
  <c r="AH824" i="76"/>
  <c r="AC824" i="76"/>
  <c r="AH730" i="76"/>
  <c r="AC730" i="76"/>
  <c r="AE730" i="76"/>
  <c r="AE758" i="76"/>
  <c r="AH758" i="76"/>
  <c r="AC758" i="76"/>
  <c r="AH819" i="76"/>
  <c r="AC819" i="76"/>
  <c r="AE819" i="76"/>
  <c r="W849" i="76"/>
  <c r="AH843" i="76"/>
  <c r="AC843" i="76"/>
  <c r="AC723" i="76"/>
  <c r="AC743" i="76"/>
  <c r="AH749" i="76"/>
  <c r="AC749" i="76"/>
  <c r="AE749" i="76"/>
  <c r="AH799" i="76"/>
  <c r="AC799" i="76"/>
  <c r="AE799" i="76"/>
  <c r="AE809" i="76"/>
  <c r="AH809" i="76"/>
  <c r="AC809" i="76"/>
  <c r="AH834" i="76"/>
  <c r="AC834" i="76"/>
  <c r="AE834" i="76"/>
  <c r="V868" i="76"/>
  <c r="W868" i="76"/>
  <c r="AE773" i="76"/>
  <c r="AH773" i="76"/>
  <c r="AC773" i="76"/>
  <c r="AE775" i="76"/>
  <c r="AH775" i="76"/>
  <c r="AC775" i="76"/>
  <c r="AE776" i="76"/>
  <c r="AH776" i="76"/>
  <c r="AC776" i="76"/>
  <c r="AE777" i="76"/>
  <c r="AH777" i="76"/>
  <c r="AC777" i="76"/>
  <c r="AE760" i="76"/>
  <c r="AH760" i="76"/>
  <c r="AC760" i="76"/>
  <c r="AH811" i="76"/>
  <c r="AC811" i="76"/>
  <c r="AE811" i="76"/>
  <c r="AH828" i="76"/>
  <c r="AC828" i="76"/>
  <c r="AE828" i="76"/>
  <c r="AH847" i="76"/>
  <c r="AC847" i="76"/>
  <c r="AE847" i="76"/>
  <c r="AE842" i="76"/>
  <c r="AH842" i="76"/>
  <c r="AC842" i="76"/>
  <c r="AH885" i="76"/>
  <c r="AC885" i="76"/>
  <c r="AE885" i="76"/>
  <c r="AH887" i="76"/>
  <c r="AC887" i="76"/>
  <c r="AE887" i="76"/>
  <c r="AH899" i="76"/>
  <c r="AC899" i="76"/>
  <c r="AE899" i="76"/>
  <c r="AE920" i="76"/>
  <c r="AH920" i="76"/>
  <c r="AC920" i="76"/>
  <c r="AH907" i="76"/>
  <c r="AC907" i="76"/>
  <c r="AE907" i="76"/>
  <c r="AE911" i="76"/>
  <c r="AH911" i="76"/>
  <c r="AC911" i="76"/>
  <c r="AE779" i="76"/>
  <c r="AH858" i="76"/>
  <c r="AH853" i="76"/>
  <c r="V876" i="76"/>
  <c r="W876" i="76"/>
  <c r="AH895" i="76"/>
  <c r="AC895" i="76"/>
  <c r="AE895" i="76"/>
  <c r="AC858" i="76"/>
  <c r="AH864" i="76"/>
  <c r="AC864" i="76"/>
  <c r="AC853" i="76"/>
  <c r="AH860" i="76"/>
  <c r="AC860" i="76"/>
  <c r="AH855" i="76"/>
  <c r="AC855" i="76"/>
  <c r="AE855" i="76"/>
  <c r="AH915" i="76"/>
  <c r="AC915" i="76"/>
  <c r="AE915" i="76"/>
  <c r="W952" i="76"/>
  <c r="AC779" i="76"/>
  <c r="AH874" i="76"/>
  <c r="AC874" i="76"/>
  <c r="AE874" i="76"/>
  <c r="V904" i="76"/>
  <c r="AC884" i="76"/>
  <c r="AH884" i="76"/>
  <c r="AC921" i="76"/>
  <c r="AH921" i="76"/>
  <c r="V932" i="76"/>
  <c r="AE935" i="76"/>
  <c r="V952" i="76"/>
  <c r="AH966" i="76"/>
  <c r="AC967" i="76"/>
  <c r="AH970" i="76"/>
  <c r="AC971" i="76"/>
  <c r="AH974" i="76"/>
  <c r="AC975" i="76"/>
  <c r="AH977" i="76"/>
  <c r="AH979" i="76"/>
  <c r="AH982" i="76"/>
  <c r="AC982" i="76"/>
  <c r="AH984" i="76"/>
  <c r="AC984" i="76"/>
  <c r="AH986" i="76"/>
  <c r="AC986" i="76"/>
  <c r="AH988" i="76"/>
  <c r="AC988" i="76"/>
  <c r="AE988" i="76"/>
  <c r="AH992" i="76"/>
  <c r="AC992" i="76"/>
  <c r="AH958" i="76"/>
  <c r="AC958" i="76"/>
  <c r="AH1013" i="76"/>
  <c r="AC1013" i="76"/>
  <c r="AH965" i="76"/>
  <c r="AH969" i="76"/>
  <c r="AH973" i="76"/>
  <c r="AC977" i="76"/>
  <c r="AC979" i="76"/>
  <c r="AH989" i="76"/>
  <c r="AC989" i="76"/>
  <c r="AE989" i="76"/>
  <c r="AH1015" i="76"/>
  <c r="AC1015" i="76"/>
  <c r="AE1015" i="76"/>
  <c r="AC949" i="76"/>
  <c r="AC935" i="76"/>
  <c r="AH946" i="76"/>
  <c r="AH961" i="76"/>
  <c r="AH964" i="76"/>
  <c r="AC965" i="76"/>
  <c r="AH968" i="76"/>
  <c r="AC969" i="76"/>
  <c r="AH972" i="76"/>
  <c r="AC973" i="76"/>
  <c r="AH976" i="76"/>
  <c r="AH978" i="76"/>
  <c r="AH981" i="76"/>
  <c r="AC981" i="76"/>
  <c r="AH983" i="76"/>
  <c r="AC983" i="76"/>
  <c r="AH985" i="76"/>
  <c r="AC985" i="76"/>
  <c r="AH987" i="76"/>
  <c r="AC987" i="76"/>
  <c r="AH990" i="76"/>
  <c r="AC990" i="76"/>
  <c r="AE990" i="76"/>
  <c r="AH1016" i="76"/>
  <c r="AC1016" i="76"/>
  <c r="AE1016" i="76"/>
  <c r="AH931" i="76"/>
  <c r="AC931" i="76"/>
  <c r="AC946" i="76"/>
  <c r="AH948" i="76"/>
  <c r="AC948" i="76"/>
  <c r="AH959" i="76"/>
  <c r="AC959" i="76"/>
  <c r="AH960" i="76"/>
  <c r="AC960" i="76"/>
  <c r="AH967" i="76"/>
  <c r="AH971" i="76"/>
  <c r="AH975" i="76"/>
  <c r="AC978" i="76"/>
  <c r="AH980" i="76"/>
  <c r="AC980" i="76"/>
  <c r="AH991" i="76"/>
  <c r="AC991" i="76"/>
  <c r="AE991" i="76"/>
  <c r="AH1017" i="76"/>
  <c r="AC1017" i="76"/>
  <c r="AE1024" i="76"/>
  <c r="AC1024" i="76"/>
  <c r="AC993" i="76"/>
  <c r="AC994" i="76"/>
  <c r="AC995" i="76"/>
  <c r="AC996" i="76"/>
  <c r="AC997" i="76"/>
  <c r="AC998" i="76"/>
  <c r="AC999" i="76"/>
  <c r="AC1000" i="76"/>
  <c r="AC1014" i="76"/>
  <c r="AC1001" i="76"/>
  <c r="AC1002" i="76"/>
  <c r="AC1003" i="76"/>
  <c r="AC1004" i="76"/>
  <c r="AC1018" i="76"/>
  <c r="AC1019" i="76"/>
  <c r="AC1020" i="76"/>
  <c r="AC1021" i="76"/>
  <c r="AC1022" i="76"/>
  <c r="AC1023" i="76"/>
  <c r="AC1026" i="76"/>
  <c r="AC1027" i="76"/>
  <c r="AC1028" i="76"/>
  <c r="AC1029" i="76"/>
  <c r="AC1030" i="76"/>
  <c r="AC1031" i="76"/>
  <c r="AC1025" i="76"/>
  <c r="AC1032" i="76"/>
  <c r="O197" i="76" l="1"/>
  <c r="O199" i="76" s="1"/>
  <c r="O439" i="76"/>
  <c r="O650" i="76"/>
  <c r="O557" i="76"/>
  <c r="O366" i="76"/>
  <c r="O587" i="76"/>
  <c r="O252" i="76"/>
  <c r="W304" i="76"/>
  <c r="W33" i="76"/>
  <c r="X33" i="76"/>
  <c r="W343" i="76"/>
  <c r="W476" i="76"/>
  <c r="X1005" i="76"/>
  <c r="X1035" i="76" s="1"/>
  <c r="W1005" i="76"/>
  <c r="W1035" i="76" s="1"/>
  <c r="V476" i="76"/>
  <c r="X52" i="76"/>
  <c r="W744" i="76"/>
  <c r="X279" i="76"/>
  <c r="W279" i="76"/>
  <c r="X241" i="76"/>
  <c r="W220" i="76"/>
  <c r="X220" i="76"/>
  <c r="W241" i="76"/>
  <c r="W178" i="76"/>
  <c r="X178" i="76"/>
  <c r="X164" i="76"/>
  <c r="V890" i="76"/>
  <c r="X890" i="76"/>
  <c r="W890" i="76"/>
  <c r="V164" i="76"/>
  <c r="V412" i="76"/>
  <c r="V557" i="76"/>
  <c r="M252" i="76"/>
  <c r="X437" i="76"/>
  <c r="X752" i="76"/>
  <c r="X448" i="76"/>
  <c r="X476" i="76" s="1"/>
  <c r="X932" i="76"/>
  <c r="V838" i="76"/>
  <c r="X677" i="76"/>
  <c r="V112" i="76"/>
  <c r="X574" i="76"/>
  <c r="X289" i="76"/>
  <c r="X304" i="76" s="1"/>
  <c r="X638" i="76"/>
  <c r="X331" i="76"/>
  <c r="X69" i="76"/>
  <c r="X314" i="76"/>
  <c r="X557" i="76"/>
  <c r="X642" i="76"/>
  <c r="X358" i="76"/>
  <c r="W677" i="76"/>
  <c r="W507" i="76"/>
  <c r="W522" i="76" s="1"/>
  <c r="W314" i="76"/>
  <c r="W333" i="76" s="1"/>
  <c r="V870" i="76"/>
  <c r="X142" i="76"/>
  <c r="W838" i="76"/>
  <c r="X838" i="76"/>
  <c r="W814" i="76"/>
  <c r="V497" i="76"/>
  <c r="V142" i="76"/>
  <c r="W142" i="76"/>
  <c r="X343" i="76"/>
  <c r="V814" i="76"/>
  <c r="X814" i="76"/>
  <c r="V677" i="76"/>
  <c r="V439" i="76"/>
  <c r="W536" i="76"/>
  <c r="V252" i="76"/>
  <c r="X870" i="76"/>
  <c r="X98" i="76"/>
  <c r="W608" i="76"/>
  <c r="W870" i="76"/>
  <c r="V608" i="76"/>
  <c r="X608" i="76"/>
  <c r="V522" i="76"/>
  <c r="W112" i="76"/>
  <c r="X497" i="76"/>
  <c r="W566" i="76"/>
  <c r="X566" i="76"/>
  <c r="W147" i="76"/>
  <c r="W151" i="76"/>
  <c r="W904" i="76"/>
  <c r="X904" i="76"/>
  <c r="V697" i="76"/>
  <c r="X633" i="76"/>
  <c r="W633" i="76"/>
  <c r="V633" i="76"/>
  <c r="W530" i="76"/>
  <c r="W427" i="76"/>
  <c r="W439" i="76" s="1"/>
  <c r="W382" i="76"/>
  <c r="V382" i="76"/>
  <c r="X382" i="76"/>
  <c r="X75" i="76"/>
  <c r="W38" i="76"/>
  <c r="W52" i="76" s="1"/>
  <c r="W648" i="76"/>
  <c r="W650" i="76" s="1"/>
  <c r="X112" i="76"/>
  <c r="W98" i="76"/>
  <c r="V98" i="76"/>
  <c r="W497" i="76"/>
  <c r="O784" i="76" l="1"/>
  <c r="O499" i="76"/>
  <c r="W752" i="76"/>
  <c r="X333" i="76"/>
  <c r="X412" i="76"/>
  <c r="W412" i="76"/>
  <c r="X650" i="76"/>
  <c r="W164" i="76"/>
  <c r="X522" i="76"/>
  <c r="X439" i="76"/>
  <c r="X252" i="76"/>
  <c r="W557" i="76"/>
  <c r="W252" i="76"/>
  <c r="O1037" i="76" l="1"/>
  <c r="I4" i="48"/>
  <c r="I10" i="48" l="1"/>
  <c r="I5" i="48"/>
  <c r="I12" i="48"/>
  <c r="E4" i="48" l="1"/>
  <c r="E5" i="48"/>
  <c r="E6" i="48"/>
  <c r="E7" i="48"/>
  <c r="E8" i="48"/>
  <c r="E9" i="48"/>
  <c r="E10" i="48"/>
  <c r="E11" i="48"/>
  <c r="E12" i="48"/>
  <c r="E13" i="48"/>
  <c r="E14" i="48"/>
  <c r="I4" i="49" l="1"/>
  <c r="I5" i="49"/>
  <c r="I6" i="49"/>
  <c r="I7" i="49"/>
  <c r="I8" i="49"/>
  <c r="I9" i="49"/>
  <c r="I10" i="49"/>
  <c r="I11" i="49"/>
  <c r="I12" i="49"/>
  <c r="I13" i="49"/>
  <c r="I14" i="49"/>
  <c r="I15" i="49"/>
  <c r="D4" i="49"/>
  <c r="E4" i="49"/>
  <c r="F4" i="49"/>
  <c r="G4" i="49"/>
  <c r="D5" i="49"/>
  <c r="E5" i="49"/>
  <c r="F5" i="49"/>
  <c r="G5" i="49"/>
  <c r="D6" i="49"/>
  <c r="E6" i="49"/>
  <c r="F6" i="49"/>
  <c r="G6" i="49"/>
  <c r="D7" i="49"/>
  <c r="E7" i="49"/>
  <c r="F7" i="49"/>
  <c r="G7" i="49"/>
  <c r="D8" i="49"/>
  <c r="E8" i="49"/>
  <c r="F8" i="49"/>
  <c r="G8" i="49"/>
  <c r="D9" i="49"/>
  <c r="E9" i="49"/>
  <c r="F9" i="49"/>
  <c r="G9" i="49"/>
  <c r="D10" i="49"/>
  <c r="E10" i="49"/>
  <c r="F10" i="49"/>
  <c r="G10" i="49"/>
  <c r="D11" i="49"/>
  <c r="E11" i="49"/>
  <c r="F11" i="49"/>
  <c r="G11" i="49"/>
  <c r="D12" i="49"/>
  <c r="E12" i="49"/>
  <c r="F12" i="49"/>
  <c r="G12" i="49"/>
  <c r="D13" i="49"/>
  <c r="E13" i="49"/>
  <c r="F13" i="49"/>
  <c r="G13" i="49"/>
  <c r="D14" i="49"/>
  <c r="E14" i="49"/>
  <c r="F14" i="49"/>
  <c r="G14" i="49"/>
  <c r="D15" i="49"/>
  <c r="E15" i="49"/>
  <c r="F15" i="49"/>
  <c r="G15" i="49"/>
  <c r="A4" i="49"/>
  <c r="B4" i="49"/>
  <c r="A5" i="49"/>
  <c r="B5" i="49"/>
  <c r="A6" i="49"/>
  <c r="B6" i="49"/>
  <c r="A7" i="49"/>
  <c r="B7" i="49"/>
  <c r="A8" i="49"/>
  <c r="B8" i="49"/>
  <c r="A9" i="49"/>
  <c r="B9" i="49"/>
  <c r="A10" i="49"/>
  <c r="B10" i="49"/>
  <c r="A11" i="49"/>
  <c r="B11" i="49"/>
  <c r="A12" i="49"/>
  <c r="B12" i="49"/>
  <c r="A13" i="49"/>
  <c r="B13" i="49"/>
  <c r="A14" i="49"/>
  <c r="B14" i="49"/>
  <c r="A15" i="49"/>
  <c r="B15" i="49"/>
  <c r="K4" i="48"/>
  <c r="K5" i="48"/>
  <c r="K6" i="48"/>
  <c r="K7" i="48"/>
  <c r="K8" i="48"/>
  <c r="K9" i="48"/>
  <c r="K10" i="48"/>
  <c r="K11" i="48"/>
  <c r="K12" i="48"/>
  <c r="K13" i="48"/>
  <c r="K14" i="48"/>
  <c r="G4" i="48"/>
  <c r="G5" i="48"/>
  <c r="G6" i="48"/>
  <c r="J6" i="48" s="1"/>
  <c r="G7" i="48"/>
  <c r="G8" i="48"/>
  <c r="G9" i="48"/>
  <c r="G10" i="48"/>
  <c r="G11" i="48"/>
  <c r="G12" i="48"/>
  <c r="G13" i="48"/>
  <c r="G14" i="48"/>
  <c r="J14" i="48" s="1"/>
  <c r="F4" i="48"/>
  <c r="F5" i="48"/>
  <c r="F6" i="48"/>
  <c r="F7" i="48"/>
  <c r="F8" i="48"/>
  <c r="F9" i="48"/>
  <c r="F10" i="48"/>
  <c r="F11" i="48"/>
  <c r="F12" i="48"/>
  <c r="F13" i="48"/>
  <c r="F14" i="48"/>
  <c r="D4" i="48"/>
  <c r="D5" i="48"/>
  <c r="D6" i="48"/>
  <c r="D7" i="48"/>
  <c r="D8" i="48"/>
  <c r="D9" i="48"/>
  <c r="D10" i="48"/>
  <c r="D11" i="48"/>
  <c r="D12" i="48"/>
  <c r="D13" i="48"/>
  <c r="D14" i="48"/>
  <c r="A4" i="48"/>
  <c r="B4" i="48"/>
  <c r="A5" i="48"/>
  <c r="B5" i="48"/>
  <c r="A6" i="48"/>
  <c r="B6" i="48"/>
  <c r="A7" i="48"/>
  <c r="B7" i="48"/>
  <c r="A8" i="48"/>
  <c r="B8" i="48"/>
  <c r="A9" i="48"/>
  <c r="B9" i="48"/>
  <c r="A10" i="48"/>
  <c r="B10" i="48"/>
  <c r="A11" i="48"/>
  <c r="B11" i="48"/>
  <c r="A12" i="48"/>
  <c r="B12" i="48"/>
  <c r="A13" i="48"/>
  <c r="B13" i="48"/>
  <c r="A14" i="48"/>
  <c r="B14" i="48"/>
  <c r="J4" i="50"/>
  <c r="J5" i="50"/>
  <c r="J6" i="50"/>
  <c r="J7" i="50"/>
  <c r="J8" i="50"/>
  <c r="J9" i="50"/>
  <c r="J10" i="50"/>
  <c r="G4" i="50"/>
  <c r="G5" i="50"/>
  <c r="G6" i="50"/>
  <c r="G7" i="50"/>
  <c r="G8" i="50"/>
  <c r="G9" i="50"/>
  <c r="G10" i="50"/>
  <c r="I10" i="50" s="1"/>
  <c r="F4" i="50"/>
  <c r="F5" i="50"/>
  <c r="F6" i="50"/>
  <c r="F7" i="50"/>
  <c r="F8" i="50"/>
  <c r="F9" i="50"/>
  <c r="F10" i="50"/>
  <c r="D4" i="50"/>
  <c r="E4" i="50"/>
  <c r="D5" i="50"/>
  <c r="E5" i="50"/>
  <c r="D6" i="50"/>
  <c r="E6" i="50"/>
  <c r="D7" i="50"/>
  <c r="E7" i="50"/>
  <c r="D8" i="50"/>
  <c r="E8" i="50"/>
  <c r="D9" i="50"/>
  <c r="E9" i="50"/>
  <c r="H9" i="50" s="1"/>
  <c r="D10" i="50"/>
  <c r="E10" i="50"/>
  <c r="A4" i="50"/>
  <c r="B4" i="50"/>
  <c r="A5" i="50"/>
  <c r="B5" i="50"/>
  <c r="A6" i="50"/>
  <c r="B6" i="50"/>
  <c r="A7" i="50"/>
  <c r="B7" i="50"/>
  <c r="A8" i="50"/>
  <c r="B8" i="50"/>
  <c r="A9" i="50"/>
  <c r="B9" i="50"/>
  <c r="B10" i="50"/>
  <c r="C10" i="50" s="1"/>
  <c r="I9" i="50" l="1"/>
  <c r="I8" i="50"/>
  <c r="C8" i="50"/>
  <c r="C6" i="50"/>
  <c r="C4" i="50"/>
  <c r="I5" i="50"/>
  <c r="I4" i="50"/>
  <c r="I7" i="50"/>
  <c r="C9" i="50"/>
  <c r="C7" i="50"/>
  <c r="C5" i="50"/>
  <c r="I6" i="50"/>
  <c r="G16" i="49"/>
  <c r="H4" i="49" s="1"/>
  <c r="H10" i="50"/>
  <c r="D16" i="49"/>
  <c r="H6" i="50"/>
  <c r="H7" i="50"/>
  <c r="H5" i="50"/>
  <c r="H8" i="50"/>
  <c r="J5" i="48"/>
  <c r="J8" i="48"/>
  <c r="J4" i="48"/>
  <c r="I15" i="48"/>
  <c r="J9" i="48"/>
  <c r="F16" i="49"/>
  <c r="E16" i="49"/>
  <c r="I16" i="49"/>
  <c r="J11" i="48"/>
  <c r="J7" i="48"/>
  <c r="J13" i="48"/>
  <c r="E15" i="48"/>
  <c r="K15" i="48"/>
  <c r="J12" i="48"/>
  <c r="D15" i="48"/>
  <c r="F15" i="48"/>
  <c r="B15" i="48"/>
  <c r="C14" i="48" s="1"/>
  <c r="J10" i="48"/>
  <c r="B16" i="49"/>
  <c r="C4" i="49" s="1"/>
  <c r="H4" i="50"/>
  <c r="G15" i="48"/>
  <c r="H12" i="48" s="1"/>
  <c r="C6" i="71" l="1"/>
  <c r="C5" i="71"/>
  <c r="H10" i="49"/>
  <c r="H5" i="49"/>
  <c r="H7" i="49"/>
  <c r="H8" i="49"/>
  <c r="H13" i="49"/>
  <c r="H15" i="49"/>
  <c r="H9" i="49"/>
  <c r="H6" i="49"/>
  <c r="H12" i="49"/>
  <c r="H14" i="49"/>
  <c r="H11" i="49"/>
  <c r="H7" i="48"/>
  <c r="H11" i="48"/>
  <c r="H5" i="48"/>
  <c r="H9" i="48"/>
  <c r="H13" i="48"/>
  <c r="H6" i="48"/>
  <c r="H10" i="48"/>
  <c r="H14" i="48"/>
  <c r="H8" i="48"/>
  <c r="C9" i="48"/>
  <c r="C10" i="48"/>
  <c r="C11" i="48"/>
  <c r="C8" i="48"/>
  <c r="C12" i="48"/>
  <c r="C5" i="48"/>
  <c r="C13" i="48"/>
  <c r="C7" i="48"/>
  <c r="C6" i="48"/>
  <c r="J15" i="48"/>
  <c r="C4" i="48"/>
  <c r="C13" i="49"/>
  <c r="C9" i="49"/>
  <c r="C5" i="49"/>
  <c r="C16" i="49"/>
  <c r="C14" i="49"/>
  <c r="C6" i="49"/>
  <c r="C11" i="49"/>
  <c r="C12" i="49"/>
  <c r="C10" i="49"/>
  <c r="C15" i="49"/>
  <c r="C7" i="49"/>
  <c r="C8" i="49"/>
  <c r="H4" i="48"/>
  <c r="H16" i="49" l="1"/>
  <c r="C15" i="48"/>
  <c r="H15" i="48"/>
  <c r="D28" i="51" l="1"/>
  <c r="D3" i="71" s="1"/>
  <c r="D29" i="51"/>
  <c r="D4" i="71" s="1"/>
  <c r="D30" i="51" l="1"/>
  <c r="D5" i="71" s="1"/>
  <c r="M954" i="76" l="1"/>
  <c r="W954" i="76"/>
  <c r="R954" i="76"/>
  <c r="P954" i="76"/>
  <c r="X954" i="76"/>
  <c r="V954" i="76"/>
  <c r="Q954" i="76"/>
  <c r="M366" i="76" l="1"/>
  <c r="W366" i="76"/>
  <c r="R366" i="76"/>
  <c r="P366" i="76"/>
  <c r="V366" i="76"/>
  <c r="X366" i="76"/>
  <c r="Q366" i="76"/>
  <c r="M84" i="76" l="1"/>
  <c r="V84" i="76"/>
  <c r="P84" i="76"/>
  <c r="X84" i="76"/>
  <c r="Q84" i="76"/>
  <c r="W84" i="76"/>
  <c r="R84" i="76"/>
  <c r="M925" i="76"/>
  <c r="V925" i="76"/>
  <c r="V927" i="76" s="1"/>
  <c r="X925" i="76"/>
  <c r="X927" i="76" s="1"/>
  <c r="R925" i="76"/>
  <c r="R927" i="76" s="1"/>
  <c r="W925" i="76"/>
  <c r="W927" i="76" s="1"/>
  <c r="Q925" i="76"/>
  <c r="Q927" i="76" s="1"/>
  <c r="P925" i="76"/>
  <c r="P927" i="76" s="1"/>
  <c r="M197" i="76"/>
  <c r="X197" i="76"/>
  <c r="W197" i="76"/>
  <c r="V197" i="76"/>
  <c r="P197" i="76"/>
  <c r="R197" i="76"/>
  <c r="Q197" i="76"/>
  <c r="Q199" i="76" l="1"/>
  <c r="V199" i="76"/>
  <c r="R199" i="76"/>
  <c r="P199" i="76"/>
  <c r="X199" i="76"/>
  <c r="M199" i="76"/>
  <c r="W199" i="76"/>
  <c r="M726" i="76"/>
  <c r="W726" i="76"/>
  <c r="V726" i="76"/>
  <c r="P726" i="76"/>
  <c r="Q726" i="76"/>
  <c r="X726" i="76"/>
  <c r="R726" i="76"/>
  <c r="M814" i="76" l="1"/>
  <c r="M927" i="76" s="1"/>
  <c r="D31" i="51" l="1"/>
  <c r="D6" i="71" s="1"/>
  <c r="M499" i="76" l="1"/>
  <c r="X499" i="76"/>
  <c r="W499" i="76"/>
  <c r="P499" i="76"/>
  <c r="Q499" i="76"/>
  <c r="R499" i="76"/>
  <c r="V499" i="76"/>
  <c r="M782" i="76"/>
  <c r="X782" i="76"/>
  <c r="Q782" i="76"/>
  <c r="R782" i="76"/>
  <c r="P782" i="76"/>
  <c r="W782" i="76"/>
  <c r="V782" i="76"/>
  <c r="M587" i="76"/>
  <c r="R587" i="76"/>
  <c r="V587" i="76"/>
  <c r="P587" i="76"/>
  <c r="Q587" i="76"/>
  <c r="W587" i="76"/>
  <c r="X587" i="76"/>
  <c r="Q784" i="76" l="1"/>
  <c r="Q1037" i="76" s="1"/>
  <c r="D32" i="51"/>
  <c r="R784" i="76"/>
  <c r="R1037" i="76" s="1"/>
  <c r="X784" i="76"/>
  <c r="X1037" i="76" s="1"/>
  <c r="W784" i="76"/>
  <c r="W1037" i="76" s="1"/>
  <c r="V784" i="76"/>
  <c r="V1037" i="76" s="1"/>
  <c r="P784" i="76"/>
  <c r="P1037" i="76" s="1"/>
  <c r="M557" i="76"/>
  <c r="M784" i="76" s="1"/>
  <c r="M1037" i="76" s="1"/>
  <c r="D7" i="71" l="1"/>
</calcChain>
</file>

<file path=xl/comments1.xml><?xml version="1.0" encoding="utf-8"?>
<comments xmlns="http://schemas.openxmlformats.org/spreadsheetml/2006/main">
  <authors>
    <author>Autor</author>
  </authors>
  <commentList>
    <comment ref="I18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contrato ajustado valor original era $46,752,125 se rebajaron $431,375. Queda contrato por $46,320,750</t>
        </r>
      </text>
    </comment>
    <comment ref="I20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MONTO ADJUDICADO 52,917,203 APORTE MUNICIPIO 8,000,000
TOTAL GORE 45,000,000</t>
        </r>
      </text>
    </comment>
  </commentList>
</comments>
</file>

<file path=xl/sharedStrings.xml><?xml version="1.0" encoding="utf-8"?>
<sst xmlns="http://schemas.openxmlformats.org/spreadsheetml/2006/main" count="6566" uniqueCount="1012">
  <si>
    <t>PROVINCIA</t>
  </si>
  <si>
    <t>COMUNA</t>
  </si>
  <si>
    <t>ETAPA</t>
  </si>
  <si>
    <t>BIP</t>
  </si>
  <si>
    <t>NOMBRE DEL PROYECTO</t>
  </si>
  <si>
    <t>A</t>
  </si>
  <si>
    <t>FIE</t>
  </si>
  <si>
    <t>OSORNO</t>
  </si>
  <si>
    <t>RS</t>
  </si>
  <si>
    <t>DISEÑO</t>
  </si>
  <si>
    <t>RS*</t>
  </si>
  <si>
    <t>N</t>
  </si>
  <si>
    <t>RS**</t>
  </si>
  <si>
    <t>RSD</t>
  </si>
  <si>
    <t>SS</t>
  </si>
  <si>
    <t>PIR</t>
  </si>
  <si>
    <t>PURRANQUE</t>
  </si>
  <si>
    <t>PUYEHUE</t>
  </si>
  <si>
    <t>RIO NEGRO</t>
  </si>
  <si>
    <t>SAN PABLO</t>
  </si>
  <si>
    <t>PROV. OSORNO</t>
  </si>
  <si>
    <t>PVP</t>
  </si>
  <si>
    <t>LLANQUIHUE</t>
  </si>
  <si>
    <t>AMPLIACION Y REMODELACION CONSULTORIO ANTONIO VARAS</t>
  </si>
  <si>
    <t>CALBUCO</t>
  </si>
  <si>
    <t>COCHAMO</t>
  </si>
  <si>
    <t>FRESIA</t>
  </si>
  <si>
    <t>FRUTILLAR</t>
  </si>
  <si>
    <t>LOS MUERMOS</t>
  </si>
  <si>
    <t>MAULLIN</t>
  </si>
  <si>
    <t>CHILOE</t>
  </si>
  <si>
    <t>CASTRO</t>
  </si>
  <si>
    <t>REPOSICION FERIA YUMBEL DE CASTRO</t>
  </si>
  <si>
    <t>ANCUD</t>
  </si>
  <si>
    <t>CONSTRUCCION CESFAM CARACOLES</t>
  </si>
  <si>
    <t>CHONCHI</t>
  </si>
  <si>
    <t>DALCAHUE</t>
  </si>
  <si>
    <t>PUQUELDON</t>
  </si>
  <si>
    <t>QUEILEN</t>
  </si>
  <si>
    <t>QUELLON</t>
  </si>
  <si>
    <t>QUEMCHI</t>
  </si>
  <si>
    <t>QUINCHAO</t>
  </si>
  <si>
    <t>PROV. CHILOE</t>
  </si>
  <si>
    <t>PALENA</t>
  </si>
  <si>
    <t>CHAITEN</t>
  </si>
  <si>
    <t>FUTALEUFU</t>
  </si>
  <si>
    <t>HUALAIHUE</t>
  </si>
  <si>
    <t>PROV. PALENA</t>
  </si>
  <si>
    <t>REGIONAL</t>
  </si>
  <si>
    <t>REPOSICION LICEO INTERNADO ANTULAFKEN PUAUCHO</t>
  </si>
  <si>
    <t>SUBSIDIO</t>
  </si>
  <si>
    <t>P.VARAS</t>
  </si>
  <si>
    <t>NORMALIZACION CESFAM PUERTO VARAS</t>
  </si>
  <si>
    <t>CONSTRUCCION CENTRO CULTURAL DE ACHAO</t>
  </si>
  <si>
    <t>P</t>
  </si>
  <si>
    <t>GASTO AÑOS ANTERIORES</t>
  </si>
  <si>
    <t>REPOSICION TEATRO MUNICIPAL DE CHONCHI</t>
  </si>
  <si>
    <t>MEJORAMIENTO INTEGRAL GIMNASIO FISCAL DE DALCAHUE</t>
  </si>
  <si>
    <t>TRANSFERENCIA PROGRAMAS DE INVERSIONES PRODUCTIVAS EN FAMILIAS USUARIAS DE PROGRAMAS DE ASESORIA INDAP</t>
  </si>
  <si>
    <t xml:space="preserve">NORMALIZACION CESFAM ALERCE </t>
  </si>
  <si>
    <t>PROGRAMA FOMENTO Y DESARROLLO PESCA ARTESANAL REGION DE LOS LAGOS 2014-2016</t>
  </si>
  <si>
    <t>REPOSICION LICEO ALFREDO BARRIA OYARZUN</t>
  </si>
  <si>
    <t>CONSTRUCCION REDES DE AGUA POTABLE  Y ALCANTARILLADO DIVERSOS SECTORES</t>
  </si>
  <si>
    <t>CONSTRUCCION SERVICIO APR PINDACO QUITRIPULLI</t>
  </si>
  <si>
    <t>REPOSICION INTERNADOS MASCULINO FEMENINO</t>
  </si>
  <si>
    <t>REPOSICION ESCUELA  LA CAPILLA ISLA CAGUACH</t>
  </si>
  <si>
    <t>CONSERVACION Y EQUIP. EDIFI. CIAS. BOMBEROS 4TA;5TA Y CUARTEL GENERAL (C33)</t>
  </si>
  <si>
    <t>PTO. OCTAY</t>
  </si>
  <si>
    <t>INSTALACION SERVICIO DE ALCANTARILLADO DE CASCADA</t>
  </si>
  <si>
    <t>CONSTRUCCION  RELLENO SANITARIO PROV. DE OSORNO</t>
  </si>
  <si>
    <t>REPOSICION CUARTEL POLICIAL PREFECTURA PROVINCIAL OSORNO</t>
  </si>
  <si>
    <t>P. MONTT</t>
  </si>
  <si>
    <t>FIC</t>
  </si>
  <si>
    <t>FRIL</t>
  </si>
  <si>
    <t>REPOSICION CENTRO COMUNITARIO SALUD MENTAL OSORNO</t>
  </si>
  <si>
    <t>ENERGIZACION</t>
  </si>
  <si>
    <t xml:space="preserve">TRANSFERENCIA DESARROLLO DEL T.I.E. EN TERRITORIO PATAGONIA VERDE </t>
  </si>
  <si>
    <t>PV</t>
  </si>
  <si>
    <t>TRANSFERENCIA PDT PECUARIO BOVINO Y AGROINDUSTRIAL TPV</t>
  </si>
  <si>
    <t>TRANSFERENCIA ASESORIA ESPECIALIZADA CONSOLIDACION TENENCIA TIERRA EN AFC</t>
  </si>
  <si>
    <t>TRANSFERENCIA Y ASESORIA  TECNICA EN TURISMO RURAL II ETAPA</t>
  </si>
  <si>
    <t>TRANSFERENCIA PROGRAMA REGULARIZACION DERECHO APROVECHAMIENTOS DE AGUA</t>
  </si>
  <si>
    <t>TRANSFERENCIA FORTALECIMIENTO MICRO Y PEQUEÑA EMPRESA</t>
  </si>
  <si>
    <t>MEJORAMIENTO Y AMPLIACION HOSPITAL DE CASTRO (INFRA)</t>
  </si>
  <si>
    <t>CONSTRUCCION INFRAESTRUCTURA  AGUA POTABLE Y ALCANTARILLADO</t>
  </si>
  <si>
    <t>EN LICITACION</t>
  </si>
  <si>
    <t>MEJORAMIENTO ACCESO NORTE DE SAN PABLO</t>
  </si>
  <si>
    <t>CONSTRUCCION CENTRO DE REFERENCIA  Y DIAGNOSTICO MEDICO</t>
  </si>
  <si>
    <t>TRANSFERENCIA APOYO A LA COMPETITIVIDAD PRODUCTORES MAPUCHES</t>
  </si>
  <si>
    <t>FAR</t>
  </si>
  <si>
    <t>REPOSICION POSTA SALUD RURAL COLIGUAL, PURRANQUE</t>
  </si>
  <si>
    <t>TRANSFERENCIA PROGRAMA INTEGRAL DE RIEGO REGION DE LOS LAGOS</t>
  </si>
  <si>
    <t>PROGRAMA MEJORAMIENTO GENETICO OVINO/BOVINO TPV</t>
  </si>
  <si>
    <t>CONSTRUCION CAMINO RUTA  W 807 SECTOR PUENTE NEGRO PTE. AQUELLAS</t>
  </si>
  <si>
    <t>MEJORAMIENTO RUTA V 69 SECTOR RALUN COCHAMO</t>
  </si>
  <si>
    <t>AMPLIACION ESCUELA BASICA  FUTALEUFU PARA EDUCACION MEDIA</t>
  </si>
  <si>
    <t>REPOSICION GIMNASIO MUNICIPAL DE FUTALEUFU</t>
  </si>
  <si>
    <t>CONSTRUCCION TERMINAL DE BUSES DE FUTALEUFU</t>
  </si>
  <si>
    <t>TRANSFERENCIA MONITOREO SITUACION SANITARIA EN BOVINOS Y OVINOS DEL TPV</t>
  </si>
  <si>
    <t>TRANSFERENCIA DESARROLLO SUSTENTABLE DESTINO TURISTICO PATAGONIA VERDE</t>
  </si>
  <si>
    <t>TRANSFERENCIA PROGRAMA RECUPERACION SUELO DEGRADADOS EN TPV</t>
  </si>
  <si>
    <t>TRANSFERENCIA TECNOLOGICA PARA EL DESARROLLO Y POTENCIAMIENTO DE LA AFC</t>
  </si>
  <si>
    <t>TRANSFERENCIA PROGRAMA VALORACION SELLO ORIGEN DE PRODUCTOS SILVOAGROPECUARIOS</t>
  </si>
  <si>
    <t>CAPACITACION NUCLEOS GESTORES TERRITORIOS PIRDT</t>
  </si>
  <si>
    <t>REPOSICION INTERNADO MIXTO LICEO POLIVALENTE DE QUEILEN</t>
  </si>
  <si>
    <t>MEJORAMIENTO Y AMPLIACION  APR DE HUILLINCO</t>
  </si>
  <si>
    <t>NORMALIZACION ELECTRICA 11 ISLAS DEL ARCHIPIELAGO DE CHILOE</t>
  </si>
  <si>
    <t>PROGRAMA APOYO INTEGRAL A LAS FERIAS LIBRES</t>
  </si>
  <si>
    <t>REPOSICION Y AMPLIACION BIBLIOTECA MUNICIPAL</t>
  </si>
  <si>
    <t>AMPLIACION CESFAM OVEJERIA OSORNO</t>
  </si>
  <si>
    <t>PROV.LLANQUIHUE</t>
  </si>
  <si>
    <t>20144598-3</t>
  </si>
  <si>
    <t>CONVENIO PUENTES CAMANCHACA, SIN NOMBRE Y LA PERA</t>
  </si>
  <si>
    <t>REPOSICION ESCUELA RURAL DE COINCO</t>
  </si>
  <si>
    <t>CONSTRUCCION ESTADIO MUNICIPAL DE QUEMCHI</t>
  </si>
  <si>
    <t>NORMALIZACION CONSULTORIO RURAL PUQUELDON</t>
  </si>
  <si>
    <t>REPOSICION PARCIAL LICEO LAS AMERICAS ENTRE LAGOS</t>
  </si>
  <si>
    <t>TRANSFERENCIA  TECNOLOGICA PREVENCION PRECOZ DE NEOPLASIAS COLORECTALES</t>
  </si>
  <si>
    <t>SANEAMIENTO DE LA TENENCIA IRREGULAR DE LA PROPIEDAD PATAGONIA VERDE</t>
  </si>
  <si>
    <t>REPOSICION ESCUELA ANDREW JACKSON RIO NEGRO</t>
  </si>
  <si>
    <t>CAPACITACION PERFECCIONAMIENTO ASIGNATURA LENGUA INDIGENA</t>
  </si>
  <si>
    <t>TRANSFERENCIA CAPACITACION MEJORAMIENTO DE LA ACTIVIDAD FISICA</t>
  </si>
  <si>
    <t>MEJORAMIENTO INFRAESTRUCTURA HOSPITAL LLANQUIHUE</t>
  </si>
  <si>
    <t>RE</t>
  </si>
  <si>
    <t>MEJORAMIENTO DE SUELOS  EN TERRITORIOS INDIGENAS</t>
  </si>
  <si>
    <t>PROV. LLANQUIHUE</t>
  </si>
  <si>
    <t xml:space="preserve">CONSTRUCCION SERVICIO APR CHINCHIN GRANDE </t>
  </si>
  <si>
    <t>NORMALIZACION TRES INTERSECCIONES CONFLICTIVAS RUTA 5 CASTRO</t>
  </si>
  <si>
    <t>REPOSICION POSTA SALUD RURAL AULEN</t>
  </si>
  <si>
    <t>REPOSICION ESCUELA RURAL LAGUNITAS PUERTO MONTT</t>
  </si>
  <si>
    <t>MEJORAMIENTO EDUCACION POBLACION ADULTA X REGION</t>
  </si>
  <si>
    <t>CAPACITACION Y FORTALECIMIENTO PERSONAS MAYORES</t>
  </si>
  <si>
    <t>MEJORAMIENTO AVENIDA REPUBLICA</t>
  </si>
  <si>
    <t>MEJORAMIENTO Y CONSTRUCCION NICHOS CEMENTERIO LOS MUERMOS</t>
  </si>
  <si>
    <t>CONSTRUCCION CEMENTERIO MUNICIPAL DE CALBUCO</t>
  </si>
  <si>
    <t>ERRADICACION VISON DE LA REGION DE LOS LAGOS</t>
  </si>
  <si>
    <t>CAPACITACION PARA EL FOMENTO AGROFORESTAL EN PALENA Y COCHAMO</t>
  </si>
  <si>
    <t>CAPACITACION Y VALORIZACION DE PRODUCTOS AGROPECUARIOS</t>
  </si>
  <si>
    <t>SANEAMIENTO ASESORIA LEGAL Y TECNICA  CONSOLIDACION DE LA TENENCIA IMPERFECTA  DE TIERRAS</t>
  </si>
  <si>
    <t>RECUPERACION Y DIVERSIFICACION PRODUCCION ACUICOLA EN PEQUEÑA ESCALA</t>
  </si>
  <si>
    <t>RECUPERACION DE DIVERSIDAD PROD DE LA PESCA ARTESANAL</t>
  </si>
  <si>
    <t xml:space="preserve">TRANSFERENCIA FORTALECIMIENTO Y COMPETITIVIDAD DE LA ARTESANIA </t>
  </si>
  <si>
    <t xml:space="preserve"> COSTO</t>
  </si>
  <si>
    <t>SECTOR</t>
  </si>
  <si>
    <t>EJECUCION</t>
  </si>
  <si>
    <t>PREFACTIBILIDAD</t>
  </si>
  <si>
    <t>ESTADO</t>
  </si>
  <si>
    <t>CAPACITACION DESARROLLO Y FORTALECIMIENTO PERSONAS DISCAPACITADAS</t>
  </si>
  <si>
    <t>FOMENTO</t>
  </si>
  <si>
    <t>TOTAL COMUNA DE  OSORNO</t>
  </si>
  <si>
    <t>TOTAL COMUNA DE  PURRANQUE</t>
  </si>
  <si>
    <t>TOTAL COMUNA DE  PUYEHUE</t>
  </si>
  <si>
    <t>TOTAL COMUNA DE  RIO NEGRO</t>
  </si>
  <si>
    <t>TOTAL COMUNA DE  SAN PABLO</t>
  </si>
  <si>
    <t>TOTAL COMUNA DE  P. MONTT</t>
  </si>
  <si>
    <t>TOTAL COMUNA DE  CALBUCO</t>
  </si>
  <si>
    <t>TOTAL COMUNA DE  COCHAMO</t>
  </si>
  <si>
    <t>TOTAL COMUNA DE  FRESIA</t>
  </si>
  <si>
    <t>TOTAL COMUNA DE  FRUTILLAR</t>
  </si>
  <si>
    <t>TOTAL COMUNA DE  LLANQUIHUE</t>
  </si>
  <si>
    <t>TOTAL COMUNA DE  LOS MUERMOS</t>
  </si>
  <si>
    <t>TOTAL COMUNA DE  MAULLIN</t>
  </si>
  <si>
    <t>TOTAL COMUNA DE  P.VARAS</t>
  </si>
  <si>
    <t>TOTAL COMUNA DE  CASTRO</t>
  </si>
  <si>
    <t>TOTAL COMUNA DE  ANCUD</t>
  </si>
  <si>
    <t>TOTAL COMUNA DE  CHONCHI</t>
  </si>
  <si>
    <t>TOTAL COMUNA DE  C.VELEZ</t>
  </si>
  <si>
    <t>TOTAL COMUNA DE  DALCAHUE</t>
  </si>
  <si>
    <t>TOTAL COMUNA DE  PUQUELDON</t>
  </si>
  <si>
    <t>TOTAL COMUNA DE  QUELLON</t>
  </si>
  <si>
    <t>TOTAL COMUNA DE  QUEILEN</t>
  </si>
  <si>
    <t>TOTAL COMUNA DE  QUEMCHI</t>
  </si>
  <si>
    <t>TOTAL COMUNA DE  QUINCHAO</t>
  </si>
  <si>
    <t>TOTAL COMUNA DE  CHAITEN</t>
  </si>
  <si>
    <t>TOTAL COMUNA DE  FUTALEUFU</t>
  </si>
  <si>
    <t>TOTAL COMUNA DE  HUALAIHUE</t>
  </si>
  <si>
    <t>TOTAL COMUNA DE  PALENA</t>
  </si>
  <si>
    <t>COMUNA DE OSORNO</t>
  </si>
  <si>
    <t>COMUNA DE PURRANQUE</t>
  </si>
  <si>
    <t>COMUNA DE PUYEHUE</t>
  </si>
  <si>
    <t>COMUNA DE RIO NEGRO</t>
  </si>
  <si>
    <t>COMUNA DE SAN JUAN DE LA COSTA</t>
  </si>
  <si>
    <t>TOTAL COMUNA DE  SAN JUAN DE LA COSTA</t>
  </si>
  <si>
    <t>COMUNA DE SAN PABLO</t>
  </si>
  <si>
    <t>PROVINCIALES</t>
  </si>
  <si>
    <t>TOTAL PROVINCIALES</t>
  </si>
  <si>
    <t>TOTAL PROVINCIA DE OSORNO</t>
  </si>
  <si>
    <t>COMUNA DE PUERTO MONTT</t>
  </si>
  <si>
    <t>COMUNA DE CALBUCO</t>
  </si>
  <si>
    <t>COMUNA DE COCHAMO</t>
  </si>
  <si>
    <t>COMUNA DE FRESIA</t>
  </si>
  <si>
    <t>COMUNA DE FRUTILLAR</t>
  </si>
  <si>
    <t>COMUNA DE LLANQUIHUE</t>
  </si>
  <si>
    <t>COMUNA DE LOS MUERMOS</t>
  </si>
  <si>
    <t>COMUNA DE MAULLIN</t>
  </si>
  <si>
    <t>COMUNA DE PUERTO VARAS</t>
  </si>
  <si>
    <t>TOTAL PROVINCIA DE LLANQUIHUE</t>
  </si>
  <si>
    <t>COMUNA DE CASTRO</t>
  </si>
  <si>
    <t>COMUNA DE ANCUD</t>
  </si>
  <si>
    <t>COMUNA DE CHONCHI</t>
  </si>
  <si>
    <t>COMUNA DE DALCAHUE</t>
  </si>
  <si>
    <t>COMUNA DE PUQUELDON</t>
  </si>
  <si>
    <t>COMUNA DE QUELLON</t>
  </si>
  <si>
    <t>COMUNA DE QUEILEN</t>
  </si>
  <si>
    <t>COMUNA DE QUEMCHI</t>
  </si>
  <si>
    <t>COMUNA DE QUINCHAO</t>
  </si>
  <si>
    <t>TOTAL  PROVINCIALES</t>
  </si>
  <si>
    <t>TOTAL PROVINCIA DE CHILOE</t>
  </si>
  <si>
    <t>COMUNA DE CHAITEN</t>
  </si>
  <si>
    <t>COMUNA DE FUTALEUFU</t>
  </si>
  <si>
    <t>COMUNA DE HUALAIHUE</t>
  </si>
  <si>
    <t>COMUNA DE PALENA</t>
  </si>
  <si>
    <t>TOTAL PROVINCIA DE PALENA</t>
  </si>
  <si>
    <t>REGIONALES</t>
  </si>
  <si>
    <t>TOTAL FOMENTO</t>
  </si>
  <si>
    <t>TOTAL REGIONAL</t>
  </si>
  <si>
    <t>TOTAL PRESUPUESTO 2018</t>
  </si>
  <si>
    <t>TOTAL</t>
  </si>
  <si>
    <t>PROVISION</t>
  </si>
  <si>
    <t>SUBT.</t>
  </si>
  <si>
    <t>SITUACION ACTUAL</t>
  </si>
  <si>
    <t>CONSTRUCCION SEDE UNIVERSITARIA PARA LA PROVINCIA DE CHILOE</t>
  </si>
  <si>
    <t>DIAGNOSTICO PARA LA ESTRATEGIA REGIONAL RESIDUOS SOLIDOS</t>
  </si>
  <si>
    <t>S/C</t>
  </si>
  <si>
    <t>RECUPERACION DE ACTIVIDADES PRODUCTIVAS DE LA PESCA ARTESANAL</t>
  </si>
  <si>
    <t>CAPACITACION TRABAJO EN FIBRA ANIMAL Y VEGETAL MUJERES DE CHAITEN</t>
  </si>
  <si>
    <t>HABILITACION EDIFICIO EGAÑA 60 PUERTO MONTT REG. LOS LAGOS</t>
  </si>
  <si>
    <t>REPOSICION RAMPA DE CONECTIVIDAD RILAN CASTRO</t>
  </si>
  <si>
    <t>CONSTRUCCION CONEXION VIAL ISLA TALCAN ARCH. DESERTORES,CHAITEN</t>
  </si>
  <si>
    <t>MEJORAMIENTO RUTA 235-CH SECTOR V. S. LUCIA-P. RAMIREZ, PROV. PALENA</t>
  </si>
  <si>
    <t>MEJORAMIENTO HOSPITAL DE RIO NEGRO</t>
  </si>
  <si>
    <t>NORMALIZACION HOSPITAL DE ANCUD</t>
  </si>
  <si>
    <t>NORMALIZACION HOSPITAL DE QUELLON, PROVINCIA DE CHILOE</t>
  </si>
  <si>
    <t>CAPACITACION Y MEJORAMIENTO OBRAS PARA USO EFICIENTE REC. HIDRICOS A NIVEL PREDIAL EN COM.IND</t>
  </si>
  <si>
    <t>DIFUSION PARA EL FORTALECIMIENTO Y DSLLO DEL SELLO SIPAM CHILOE EN LA AFC</t>
  </si>
  <si>
    <t>CONSTRUCCION CUARTEL 8° COMPAÑIA DE BOMBEROS</t>
  </si>
  <si>
    <t>MEJORAMIENTO Y READECUACION FUNCIONAL HOSPITAL DE PALENA</t>
  </si>
  <si>
    <t>REPOSICION CUARTEL INVESTIGACIONES PUERTO VARAS</t>
  </si>
  <si>
    <t>EDUCACIÓN Y CULTURA</t>
  </si>
  <si>
    <t>EN EJECUCION</t>
  </si>
  <si>
    <t>SALUD</t>
  </si>
  <si>
    <t>TRANSPORTE</t>
  </si>
  <si>
    <t>DEFENSA Y SEGURIDAD</t>
  </si>
  <si>
    <t>CON CONVENIO</t>
  </si>
  <si>
    <t>NORMALIZACION CECOSF COMUNA DE OSORNO (BOX DENTAL)</t>
  </si>
  <si>
    <t>CONSTRUCCION Y REPOSICION ACERAS POBLACION BERNARDO OHIGGINS</t>
  </si>
  <si>
    <t>ARI</t>
  </si>
  <si>
    <t>APROBADO CORE</t>
  </si>
  <si>
    <t>AGUA POTABLE Y ALCANTARILLADO</t>
  </si>
  <si>
    <t>MEJORAMIENTO HOSPITAL DE PTO OCTAY</t>
  </si>
  <si>
    <t>CONSTRUCCION POSTA SALUD EL PONCHO</t>
  </si>
  <si>
    <t>MULTISECTORIAL</t>
  </si>
  <si>
    <t>ENERGÍA</t>
  </si>
  <si>
    <t>DEPORTE</t>
  </si>
  <si>
    <t>SAN JUAN DE LA COSTA</t>
  </si>
  <si>
    <t>ADQUISICION CAMION MULTIPROPOSITO Y ADQUISICION DE 20  CONTENEDORES (C33)</t>
  </si>
  <si>
    <t>RS***</t>
  </si>
  <si>
    <t>CONSERVACION SISTEMA DE AGUAS PREDIALES COMUNIDADES INDIGENAS (C33)</t>
  </si>
  <si>
    <t>REQUERIMIENTO</t>
  </si>
  <si>
    <t>OT</t>
  </si>
  <si>
    <t>MEJORAMIENTO CALLE BARROS ARANA</t>
  </si>
  <si>
    <t>MEJORAMIENTO CALLE PADRE HARTER</t>
  </si>
  <si>
    <t>CONSTRUCCION REDES AGUA POTABLE Y ALCANT VILLA LOS PINOS ALTOS</t>
  </si>
  <si>
    <t>AMPLIACION APR LAS QUEMAS SAN ANTONIO SECTOR CHAQUEIHUA</t>
  </si>
  <si>
    <t>CONSERVACION MULTICANCHA CUBIERTA LICEO MANUEL MONTT (C33)</t>
  </si>
  <si>
    <t>ADQUISICION CAMION CARGA LATERAL Y TRANSBORDO MOVIL PARA RECOLECCION RESIDUOS SOLIDOS DOMICILIARIOS (C33)</t>
  </si>
  <si>
    <t>REPOSICION BUS DE PASAJEROS DE LA COMUNA DE COCHAMO (C33)</t>
  </si>
  <si>
    <t>CONSTRUCCION ESTADIO MUNCIPAL DE COCHAMO</t>
  </si>
  <si>
    <t>MEJORAMIENTO 03 CALLES LOCALIDAD DE PARGA, FRESIA</t>
  </si>
  <si>
    <t>CONSTRUCCION CASETAS SANITARIAS Y CONEXION SECTOR LOS PRADOS, FRESIA</t>
  </si>
  <si>
    <t>FI</t>
  </si>
  <si>
    <t>REPOSICION EDIFICIO CONSISTORIAL, LLANQUIHUE</t>
  </si>
  <si>
    <t>CONSTRUCCION CIERRE EX VERTEDERO MUNICIPAL LOS MUERMOS</t>
  </si>
  <si>
    <t>CONSTRUCCION SERVICIO APR LOS ALAMOS</t>
  </si>
  <si>
    <t>CONSTRUCCION SERVICIO APR SECTOR CUESTA LA VACA, C LOS MUERMOS</t>
  </si>
  <si>
    <t>INDUSTRIA, COMERCIO, FINANZAS Y TURISMO</t>
  </si>
  <si>
    <t>RESTAURACION IGLESIA N. SRA. DE LA CANDELARIA (MN), CARELMAPU</t>
  </si>
  <si>
    <t>CONSERVACION VIAL PUNTOS CONGESTIONADOS (C33)</t>
  </si>
  <si>
    <t>NORMALIZACION  ESCUELA RURAL ANA NELLY OYARZUN</t>
  </si>
  <si>
    <t>CONSERVACION DE ACERAS EN DIVERSAS CALLES DE ANCUD (C33)</t>
  </si>
  <si>
    <t>REPOSICION EDIFICIO PUBLICO DE CHACAO</t>
  </si>
  <si>
    <t>REPOSICION ESCUELA RURAL DE QUITRIPULLI</t>
  </si>
  <si>
    <t>CURACO DE VÉLEZ</t>
  </si>
  <si>
    <t>REPOSICION ESTADIO MUNICIPAL DE CURACO DE VELEZ</t>
  </si>
  <si>
    <t>CONSTRUCCION GIMNASIO TENAUN</t>
  </si>
  <si>
    <t>CONSTRUCCION REDES AGUA POTABLE Y ALC ST VISTA HERMOSA</t>
  </si>
  <si>
    <t>CONSERVACION CAMINOS NO ENROLADOS QUELLON CONTINENTAL (C33)</t>
  </si>
  <si>
    <t>CONSERVACION CAMINOS RURALES SECTOR SUR (C33)</t>
  </si>
  <si>
    <t>CONSERVACION CAMINOS ISLA BUTACHAUQUES (C33)</t>
  </si>
  <si>
    <t xml:space="preserve">REPOSICION ESCUELA BASICA LLIUCO </t>
  </si>
  <si>
    <t>SUBSIDIO A LA OPERACION SISTEMA PRIVADO DE GENERACION ISLA TAC</t>
  </si>
  <si>
    <t>CONSTRUCCION COMPLEJO DEPORTIVO CANCHA RAYADA</t>
  </si>
  <si>
    <t>CONSERVACION CAMINOS VECINALES POR GLOSA , ETAPA I PROVINCIA DE CHILOE (C33)</t>
  </si>
  <si>
    <t>REPOSICION PLAZA DE ARMAS DE CHAITEN</t>
  </si>
  <si>
    <t>CONSERVACION SEDE SOCIAL LOCALIDAD DE CONTAO (C33)</t>
  </si>
  <si>
    <t>CONSERVACION GIMNASIO ESCUELA SEMILLERO DE ROLECHA (C33)</t>
  </si>
  <si>
    <t>CONSTRUCCION GIMNASIO PICHICOLO</t>
  </si>
  <si>
    <t>CONSTRUCCION 2 CASA PARA PROFESIONALES CECOSF HUALAIHUE</t>
  </si>
  <si>
    <t>CONSTRUCCION SISTEMA AGUA POTABLE PUNTILLA PICHICOLO</t>
  </si>
  <si>
    <t>CONSTRUCCION SISTEMA AGUA POTABLE CHOLGO</t>
  </si>
  <si>
    <t>ACTUALIZACION PLAN REGULADOR COMUNA DE PALENA (C33)</t>
  </si>
  <si>
    <t>PESCA</t>
  </si>
  <si>
    <t>SILVOAGROPECUARIO</t>
  </si>
  <si>
    <t>SUBSIDIO A LA OPERACION SISTEMA PRIVADO DE GENERACION ISLAS AYACARA</t>
  </si>
  <si>
    <t>ADQUISICION EQUIPOS GPS BIENES NACIONALES PALENA (C33)</t>
  </si>
  <si>
    <t>DIAGNOSTICO DIVERSOS SECTORES EN ISLAS DESERTORES</t>
  </si>
  <si>
    <t>ACTUALIZACION, MODIFICACION Y REESTRUCTURACION DE LA PROPUESTA PROT (C33)</t>
  </si>
  <si>
    <t>CONSERVACION FACHADAS Y CIRCULACIONES CENTRO ADMINISTRATIVO REGIONAL (C33)</t>
  </si>
  <si>
    <t>REPOSICION COMPLEJOR FRONTERIZO CARDENAL SAMORE</t>
  </si>
  <si>
    <t>SALDO POR INVERTIR</t>
  </si>
  <si>
    <t>CONSERVACION DE VEREDAS FRANCKE, OSORNO (C33)</t>
  </si>
  <si>
    <t>VIVIENDA</t>
  </si>
  <si>
    <t>COMPROMISO 2018</t>
  </si>
  <si>
    <t>CONSTRUCCION INFRAESTRUCTURA SANITARIA LOCALIDAD DE PARGUA</t>
  </si>
  <si>
    <t>REPOSICION HOSPEDERIA HOGAR DE CRISTO, OSORNO</t>
  </si>
  <si>
    <t>CONSTRUCCION CEMENTERIO DE CONTAO, HUALAIHUE</t>
  </si>
  <si>
    <t>CONSTRUCCION SERVICIO APR TERMAS DE RALUN, PUERTO VARAS</t>
  </si>
  <si>
    <t>REPOSICION POSTA DE SALUD DE PALQUI</t>
  </si>
  <si>
    <t>CONSTRUCCION SERVICIO APR SANTA AMANDA</t>
  </si>
  <si>
    <t>CONSTRUCCION SISTEMA APR SECTOR LAS CRUCES, COMUNA DE FRESIA</t>
  </si>
  <si>
    <t>CONSTRUCCION BIBLIOTECA MUNICIPAL, COMUNA DE MAULLIN</t>
  </si>
  <si>
    <t>REPOSICION CUARTEL SEGUNDA COMPAÑIA DE BOMBEROS, PUERTO VARAS</t>
  </si>
  <si>
    <t>REPOSICION TERMINAL PORTUARIO DE CHAITEN</t>
  </si>
  <si>
    <t>CONSTRUCCION PAVIMENTACION CALLES CARLOS CONDELL Y WILLIAM REBOLLEDO</t>
  </si>
  <si>
    <t>CONSTRUCCION ESTADIO MUNICIPAL ANFUR, COMUNA DE FRESIA</t>
  </si>
  <si>
    <t>CONSTRUCCION CENTRO CULTURAL COMUNITARIO, LLANQUIHUE</t>
  </si>
  <si>
    <t>CONSTRUCCION POSTA DE SALUD RURAL PUCATRIHUE</t>
  </si>
  <si>
    <t>REPOSICION POSTA RURAL LA POZA, COMUNA DE SAN PABLO</t>
  </si>
  <si>
    <t>CONSTRUCCION CARPETA SINTETICA CANCHA ROLECHA</t>
  </si>
  <si>
    <t>CONSTRUCCION ESTADIO MUNICIPAL DE QUEILEN, COMUNA DE QUEILEN</t>
  </si>
  <si>
    <t>REPOSICION CASA DE ACOGIDA DE LA DISCAPACIDAD</t>
  </si>
  <si>
    <t>CONSTRUCCION SERVICIO DE APR SECTOR COPIHUE, FRUTILLAR</t>
  </si>
  <si>
    <t>REPOSICION ESCUELA DE LA CULTURA, FRIDOLINA BARRIENTOS, CASTRO</t>
  </si>
  <si>
    <t>REPOSICION POSTA DE SALUD RURAL DE PIO PIO, COMUNA DE QUEILEN</t>
  </si>
  <si>
    <t>PROSPECCION HIDROGEOLICO Y SONDAJE COMUNA DE CASTRO</t>
  </si>
  <si>
    <t>CONSTRUCCION CENTRO COMUNITARIO QUENUIR, COMUNA DE MAULLIN</t>
  </si>
  <si>
    <t>CONSTRUCCION CENTRO COMUNITARIO DEL ADULTO MAYOR - COMUNA PUQUELDON</t>
  </si>
  <si>
    <t>REPOSICION ESCUELA RURAL DE HUILLINCO COMUNA DE CHONCHI</t>
  </si>
  <si>
    <t>RESTAURACION IGLESIA LUTERANA COMUNA DE PUERTO VARAS</t>
  </si>
  <si>
    <t>REPOSICION POSTA DE SALUD RURAL DE ISLA LLINGUA</t>
  </si>
  <si>
    <t>CONSTRUCCION PLANTA DE TRATAMIENTO DE AGUAS SERVIDAS ENTRE LAGOS</t>
  </si>
  <si>
    <t>CONSTRUCCION RED DE ALCANTARILLADO Y PTAS VILLA SANTA LUCIA</t>
  </si>
  <si>
    <t>NORMALIZACION PUENTE DE MAULLIN N°1, COMUNA DE LLANQUIHUE.</t>
  </si>
  <si>
    <t>REPOSICION POSTA DE SALUD RURAL EL TRAIGUEN, FRESIA</t>
  </si>
  <si>
    <t>CONSTRUCCION FERIA POBLACION MOYANO, OSORNO</t>
  </si>
  <si>
    <t>MEJORAMIENTO CAMINOS COMUNALES DE CURACO DE VELEZ</t>
  </si>
  <si>
    <t>REPOSICION CENTRO COMUNITARIO EL COLORADO</t>
  </si>
  <si>
    <t>CONSTRUCCION SISTEMA APR LOCALIDAD RURAL DE AGUAS BUENAS, ANCUD</t>
  </si>
  <si>
    <t>CONSTRUCCION SERVICIO DE APR LOMA DE LA PIEDRA-LA HUACHA, FRUTILLAR</t>
  </si>
  <si>
    <t>CONSTRUCCION CALLE NUEVA NUEVE DE FRUTILLAR</t>
  </si>
  <si>
    <t>HABILITACION SUMINISTRO ENERGIA ELECTRICA CHAITEN VIEJO</t>
  </si>
  <si>
    <t>CONSTRUCCION CUARTEL 2° COMPAÑIA BOMBEROS DE LA COMUNA DE CHONCHI</t>
  </si>
  <si>
    <t>CONSTRUCCION PAVIMENTOS AVENIDA PRESIDENTE IBAÑEZ, CALBUCO</t>
  </si>
  <si>
    <t>REPOSICION ESCUELA RURAL DE COMPU, COMUNA DE QUELLON</t>
  </si>
  <si>
    <t>REPOSICION POSTA DE SALUD RURAL DE LA ISLA CHELIN, CASTRO</t>
  </si>
  <si>
    <t>CONSTRUCCION ESTADIO CORTE-ALTO, PURRANQUE</t>
  </si>
  <si>
    <t>EVALUADO</t>
  </si>
  <si>
    <t>SR</t>
  </si>
  <si>
    <t>EQUIPAMIENTO PARA SISTEMA TERRITORIAL DE VIGILANCIA Y RESGUARDO DE LAS AREAS DE MANEJO DE LA(C33)</t>
  </si>
  <si>
    <t>CONSERVACION GIMNASIO FISCAL DE RIO NEGRO (C33)</t>
  </si>
  <si>
    <t>CONSERVACION EDIFICIO GOBERNACION PROVINCIAL (C33)</t>
  </si>
  <si>
    <t>CONSERVACION DIVERSOS CAMINOS  RURALES COMUNA DE PUQUELDON (C33)</t>
  </si>
  <si>
    <t>CONSERVACION CALLES Y SITIOS FISCALES DE CHAITEN(C33)</t>
  </si>
  <si>
    <t>ADQUISICION DE VEHICULOS PARA LA EJECUCION DE LABORALES MUNICIPALES(C33)</t>
  </si>
  <si>
    <t>ADQUISICION DE CLINICA VETERINARIA MOVIL  P. VARAS(C33)</t>
  </si>
  <si>
    <t>ADQUISICION CEMENTERIO PARQUE   LAS ROSAS(C33)</t>
  </si>
  <si>
    <t>ADQUISICION EQUIPOS Y EQUIPAMIENTOS PARA HOSPITALES PROVINCIA DE PALENA(C33)</t>
  </si>
  <si>
    <t>REPOSICION MOVILES TRASLADOS HOSPITALES PROVINCIA DE PALENA(C33)</t>
  </si>
  <si>
    <t>EQUIPAMIENTO PLANTAS  POTABILIZADORAS DE EMERGENCIA(C33)</t>
  </si>
  <si>
    <t>OBSERVADO</t>
  </si>
  <si>
    <t>ADQUISICION CABINA FOTOTERAPIA PARA HOSPITAL BASE DE OSORNO(C33)</t>
  </si>
  <si>
    <t>FONDO INNOVACION Y COMPETITIVIDAD</t>
  </si>
  <si>
    <t xml:space="preserve">APROBADO  LEY </t>
  </si>
  <si>
    <t>FONDO  REGIONAL DE INICIATIVA LOCAL</t>
  </si>
  <si>
    <t>SUBT 24</t>
  </si>
  <si>
    <t>ACTIVIDADES CULTURALES</t>
  </si>
  <si>
    <t>ACTIVIDADES DEPORTIVAS</t>
  </si>
  <si>
    <t>ACTIVIDADES COMUNIDAD ACTIVA</t>
  </si>
  <si>
    <t>REPOSICION ESCUELA RURAL DE ISLA ALAO</t>
  </si>
  <si>
    <t>CONSTRUCCION CENTRO ADULTO MAYOR COMUNA DE CHONCHI</t>
  </si>
  <si>
    <t>CONSTRUCCION APR CRUCERO NUEVO, COMUNA DE PURRANQUE</t>
  </si>
  <si>
    <t>DIFUSION Y PROMOCION TURISTICA REGION DE LOS LAGOS</t>
  </si>
  <si>
    <t>SOLICITUD</t>
  </si>
  <si>
    <t>SUBSIDIO A LA OPERACION SISTEMA ISLAS DESERTORES</t>
  </si>
  <si>
    <t>SUBSIDIO A LA OPERACION SISTEMA ELECTRICO 11 ISLAS</t>
  </si>
  <si>
    <t>CONSERVACION CASA PAULY PUERTO MONTT (C33)</t>
  </si>
  <si>
    <t>CONSERVACION PERIODICA CAMINOS BASICOS SANTA BARBARA CHANA (C33)</t>
  </si>
  <si>
    <t>CAPACITACION Y FORTALECIMIENTO PESCADORES ARTESANALES DE CUCAO</t>
  </si>
  <si>
    <t>CONSERVACION CAMINOS NO ENROLADOS DE LA COMUNA DE PUYEHUE (C33)</t>
  </si>
  <si>
    <t>CONSERVACION PLAZA DE ARMAS DE SAN PABLO (C33)</t>
  </si>
  <si>
    <t>MEJORAMIENTO INFRAESTRUCTURA PASO CARDENAL SAMORE(PATIO CAMIONES)</t>
  </si>
  <si>
    <t>REPOSICION POSTA DE SALUD PEÑASMO</t>
  </si>
  <si>
    <t>CONSERVACION EDIFICIO DAEM, FRESIA (C33)</t>
  </si>
  <si>
    <t>REPOSICION EQUIPOS DE ILUMINACION ESPACIOS PUBLICOS, LOS MUERMOS(C33)</t>
  </si>
  <si>
    <t>REPOSICION CAMIONETAS MUNICIPALES, COMUNA LOS MUERMOS(C33)</t>
  </si>
  <si>
    <t>REPOSICION LICEO CARMELA CARVAJAL DE PRAT</t>
  </si>
  <si>
    <t>REPOSICION ESCUELA RURAL WALTERIO MEYER RUSCA, AGUA BUENA, OSORNO</t>
  </si>
  <si>
    <t>ADQUISICION PLANTA MOVIL FAENADORA DE GANADO MENOR(C33)</t>
  </si>
  <si>
    <t>CONSTRUCCION MICROCENTRAL HIDROELECTRICA SOTOMO</t>
  </si>
  <si>
    <t>CONSTRUCCION CENTRO CULTURAL, COMUNA DE FRESIA</t>
  </si>
  <si>
    <t>REPOSICION 03 CAMIONES TOLVA Y 01 RETROEXCAVADORA, FRESIA(C33)</t>
  </si>
  <si>
    <t>CONSTRUCCION PUENTE EL SARGAZO DE PTO MONTT</t>
  </si>
  <si>
    <t>CONSERVACION DE 20,2 KM. DE CAMINOS VECINALES C. DE LOS MUERMOS(C33)</t>
  </si>
  <si>
    <t>ADQUISICION DOS MINIBUSES PARA CCR LOS MUERMOS(C33)</t>
  </si>
  <si>
    <t>ADQUISICION EQUIPAMIENTO ESTABLECIMIENTOS EDUCACIONALES, PTO VARAS(C33)</t>
  </si>
  <si>
    <t>REPOSICION LUMINARIAS LED ALUMBRADO PUBLICO, PUERTO VARAS(C33)</t>
  </si>
  <si>
    <t>CONSERVACION PLAZA DE ARMAS Y SU ENTORNO, PUERTO VARAS(C33)</t>
  </si>
  <si>
    <t>CONSERVACION ACERAS SECTOR CENTRO DE PUERTO VARAS(C33)</t>
  </si>
  <si>
    <t>REPOSICION POSTA DE SALUD HUYAR ALTO</t>
  </si>
  <si>
    <t>REPOSICION DE EQUIPAMIENTO PARA LA RECOLECCION DE RSD DALCAHUE(C33)</t>
  </si>
  <si>
    <t>REPOSICION POSTA DE SALUD ISLA TAC</t>
  </si>
  <si>
    <t>ADQUISICION MAQUINARIA VIAL COMUNA DE QUEMCHI(C33)</t>
  </si>
  <si>
    <t>ADQUISICION CAMION MULIPROPOSITO MUNICIPALIDAD DE PUQUELDON(C33)</t>
  </si>
  <si>
    <t>CONSERVACION ESTADIO MUNICIPAL DE PUQUELDON(C33)</t>
  </si>
  <si>
    <t>CONSTRUCCION CENTRO INTEGRAL DE TRATAMIENTOS DE RSD</t>
  </si>
  <si>
    <t>CONSERVACION COMPLEJO DEPORTIVO COMUNA DE QUEILEN(C33)</t>
  </si>
  <si>
    <t>CONSTRUCCION SISTEMA AGUA POTABLE EL MANZANO</t>
  </si>
  <si>
    <t>CONSTRUCCION SISTEMA DE AGUA POTABLE Y ALCANTARILLADO SECTOR PUERTO</t>
  </si>
  <si>
    <t>TRAMITE CONVENIO</t>
  </si>
  <si>
    <t>CONCURSO</t>
  </si>
  <si>
    <t>RECOMENDADO</t>
  </si>
  <si>
    <t>SR*</t>
  </si>
  <si>
    <t>ADQUISICION MINIBUS ESCUELA DIFERENCIAL SAN CARLOS DE ANCUD(C33)</t>
  </si>
  <si>
    <t>CONSTRUCCION CONECTIVIDAD INTERTERRAZAS PUERTO MONTT</t>
  </si>
  <si>
    <t>NORMALIZACION DE SEMAFOROS CIUDAD DE PUERTO VARAS</t>
  </si>
  <si>
    <t>SOLICITUD TRANSPORTE</t>
  </si>
  <si>
    <t>MEJORAMIENTO CALLE EL TENIENTE, BARRIO INDUSTRIAL</t>
  </si>
  <si>
    <t>MEJORAMIENTO ACCESIBILIDAD SECTOR FRANCKE-CENTRO OSORNO</t>
  </si>
  <si>
    <t>MEJORAMIENTO INTERCONEXION VIAL CENTRO-PONIENTE</t>
  </si>
  <si>
    <t>CAPACITACION ESCUELA DE OFICIOS TURISMO REGION DE LOS LAGOS</t>
  </si>
  <si>
    <t>ASISTENCIA TECNICA PESCADORES ARTESANALES SUBTERRITORIO 2 PMDT PATAGONIA VERDE</t>
  </si>
  <si>
    <t>SOLICITUD DIPLAN</t>
  </si>
  <si>
    <t>AMPLIACION Y MEJORAMIENTO INSTITUTO TELETON</t>
  </si>
  <si>
    <t>CONSTRUCCION EDIFICIO INSTITUCIONAL ONEMI LOS LAGOS</t>
  </si>
  <si>
    <t>SOLICITUD ONEMI</t>
  </si>
  <si>
    <t>REQUERIMIENTO SSCH</t>
  </si>
  <si>
    <t>REPOSICION ESCUELA MAILLEN ESTERO</t>
  </si>
  <si>
    <t>REPOSICION POSTA DEL SECTOR RURAL DE CHAICAS</t>
  </si>
  <si>
    <t>CONSTRUCCION ESTABLECIMIENTO EDUCACIONAL SEC. ALERCE I ETAPA P MONTT</t>
  </si>
  <si>
    <t xml:space="preserve">REPOSICION ESTADIO ANTONIO VARAS COMUNA PUERTO MONTT </t>
  </si>
  <si>
    <t>CONSTRUCCION EDIFICIO CONSISTORIAL FRUTILLAR</t>
  </si>
  <si>
    <t>CONSTRUCCION RED DE AGUA POTABLE SECTOR LOS BAJOS, FRUTILLAR</t>
  </si>
  <si>
    <t>REPOSICION CENTRO DE SALUD DE ATENCION PRIMARIA FRUTILLAR</t>
  </si>
  <si>
    <t>CONSTRUCCION CENTRO CIVICO DE DALCAHUE</t>
  </si>
  <si>
    <t>CONSTRUCCION CENTRO DE DESPACHO Y BASE SAMU PROVINCIA DE OSORNO</t>
  </si>
  <si>
    <t>REPOSICION CENTRO DE SALUD FAMILIAR CON SAR RAHUE ALTO</t>
  </si>
  <si>
    <t>REPOSICION CENTRO DE SALUD BAHIA MANSA</t>
  </si>
  <si>
    <t>CONSTRUCCION COSAM RAHUE</t>
  </si>
  <si>
    <t>CONSTRUCCION CENTRO DIURNO DE REHABILITACION DE SALUD MENTAL</t>
  </si>
  <si>
    <t>REPOSICION POSTA RURAL COLONIA PONCE, PURRANQUE</t>
  </si>
  <si>
    <t>REPOSICION POSTA DE SALUD RURAL HUEYUSCA, PURRANQUE</t>
  </si>
  <si>
    <t>CONSTRUCCION INFRAESTRUCTURA SANITARIA ALCANTARILLADO PILMAIQUEN</t>
  </si>
  <si>
    <t>MEJORAMIENTO CALLES QUEMCHI Y ELEUTERIO RAMIREZ</t>
  </si>
  <si>
    <t>CONSTRUCCION CIERRE VERTEDERO MUNICIPAL COMUNA DE PUERTO MONTT</t>
  </si>
  <si>
    <t>CONSTRUCCION ESTACION DE TRANSFERENCIA LA CAMPANA CALBUCO</t>
  </si>
  <si>
    <t>REPOSICION P.T.A.S. Y REDES AP Y ALCANT, CAÑITAS, LOS MUERMOS</t>
  </si>
  <si>
    <t>REPOSICION ESCUELA EPSON ENSENADA</t>
  </si>
  <si>
    <t>LIBRE</t>
  </si>
  <si>
    <t>TRANSFERENCIA PROGRAMA  FOMENTO PRODUCTIVO ASOCIATIVO 2 REGION DE LOS LAGOS</t>
  </si>
  <si>
    <t>TRANSFERENCIA Y ADOPCION DESARROLLO CAPITAL HUMANO PARA LA AGRICULTURA FAMILIAR CAMPESINA</t>
  </si>
  <si>
    <t>TERMINADO</t>
  </si>
  <si>
    <t>CONSTRUCCION BODEGA Y GALPON MUNICIPAL</t>
  </si>
  <si>
    <t>MEJORAMIENTO Y REPOSICION ESCUELA ANTUPIREN</t>
  </si>
  <si>
    <t>CONSTRUCCION CENTRO TRATAMIENTO INTEGRAL RESIDUOS SOLIDOS FUTALEUFU</t>
  </si>
  <si>
    <t xml:space="preserve"> </t>
  </si>
  <si>
    <t>COMUNA DE CURACO DE VELEZ</t>
  </si>
  <si>
    <t>REPOSICION ESTADIO MUNICIPAL DE FRUTILLAR</t>
  </si>
  <si>
    <t>CONSTRUCCION ESCUELA ESPECIAL SAN AGUSTIN</t>
  </si>
  <si>
    <t>CONSTRUCCION SERVICIO APR SECTOR RURAL EL MAÑIO</t>
  </si>
  <si>
    <t>CONSTRUCCION APR SECTOR RURAL LA VEGA</t>
  </si>
  <si>
    <t>REPOSICION RETEN CARABINEROS DE COCHAMO</t>
  </si>
  <si>
    <t>CONSTRUCCION CANCHA SINTETICA Y ESTADIO MUNICIPAL DE PUAUCHO SAN JUAN DE LA COSTA</t>
  </si>
  <si>
    <t>CONSTRUCCION POSTA SALUD RURAL LA PIEDRA</t>
  </si>
  <si>
    <t>REPOSICION PLAZA DE ARMAS CIUDAD DE PURRANQUE</t>
  </si>
  <si>
    <t>COMUNA DE PUERTO OCTAY</t>
  </si>
  <si>
    <t>SALDO</t>
  </si>
  <si>
    <t>SALDO A 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</si>
  <si>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</si>
  <si>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</si>
  <si>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</si>
  <si>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</si>
  <si>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</si>
  <si>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</si>
  <si>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</si>
  <si>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</si>
  <si>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</si>
  <si>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</si>
  <si>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</si>
  <si>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HABILITACION BANCO DE LECHE MATERNA DONADA</t>
  </si>
  <si>
    <t>SOLICITUD SSR</t>
  </si>
  <si>
    <t>CONSTRUCCION CENTRO DE SALUD COCHAMO</t>
  </si>
  <si>
    <t>CONSTRUCCION CENTRO POLIFUNCIONAL INTERCULTURAL DE COÑIMO</t>
  </si>
  <si>
    <t>REPOSICION DE CAMIONETAS MUNICIPALES (C33)</t>
  </si>
  <si>
    <t>ADQUISICION EQUIPOS Y EQUIPAMIENTO CENTRO ONCOLOGICO AMBULATORIO (C33)</t>
  </si>
  <si>
    <t>HABILITACION DE BOX Y CAMARA HIPERBARICA(C33)</t>
  </si>
  <si>
    <t>ADQUISICION EQUIPOS Y EQUIPAMIENTO PARA HABILITACION PABELLON CMA (C33)</t>
  </si>
  <si>
    <t>CONSERVACION VEREDAS DE LA POBLACION CARRASCO (C33)</t>
  </si>
  <si>
    <t>CONSTRUCCION POSTA DE MANQUEMAPU</t>
  </si>
  <si>
    <t xml:space="preserve">CAPACITACION CENTRO EMPRENDIMIENTO PATAGONIA VERDE </t>
  </si>
  <si>
    <t>CONSTRUCCION POSTA SALUD RURAL CHAN CHAN</t>
  </si>
  <si>
    <t>ORD 1896, OF 2992</t>
  </si>
  <si>
    <t>CONSTRUCCION CANCHA SINTETICA ACHAO, COMUNA DE QUINCHAO</t>
  </si>
  <si>
    <t>CONSTRUCCION CANCHA SINTETICA DE FUTBOL SECTOR MOCOPULLI</t>
  </si>
  <si>
    <t>ACTUALIZACION PLAN DE DESARROLLO COMUNAL DE ANCUD</t>
  </si>
  <si>
    <t>CONSTRUCCION MATADERO MUNICiPAL CASTRO</t>
  </si>
  <si>
    <t>CONSTRUCCION CENTRO DE DIALIZADOS Y TRANSPLANTADOS RENALES</t>
  </si>
  <si>
    <t>REPOSICION BODEGA Y OFICIANS MUNICPALES COMUNA DE FUTALEFU</t>
  </si>
  <si>
    <t>HABILITACION DE UNIDADES CRITICAS, HOSPITAL DE CHAITEN</t>
  </si>
  <si>
    <t>TOTAL COMUNA DE  PUERTO OCTAY</t>
  </si>
  <si>
    <t>DISEÑO MEJORAMIENTO PLANTA DE TRATARAMIENTO DE AGUAS SERVIDAS</t>
  </si>
  <si>
    <t>DISEÑO ALCANTARILLADO DE CASCADAS</t>
  </si>
  <si>
    <t>DISEÑO CONSTRUCCION CEMENTERIO DE PUERTO OCTAY</t>
  </si>
  <si>
    <t>REPOSICION DE MAQUINAS Y EQUIPOS MEJORAMIENTO DE CAMINOS(C33)</t>
  </si>
  <si>
    <t>CONSTRUCCION OFICINA REGISTRO CIVIL E IDENTIF. ALERCE, PUERTO MONTT</t>
  </si>
  <si>
    <t>POTENCIAMIENTO Y DIVERSIFICACION DE LOS ACUICULTORES DE PEQUEÑA ESCALA Y AMERB</t>
  </si>
  <si>
    <t>TRANSFERENCIA DE LA TECNOLOGIA DE PRODUCCION DE JUVENILES DEL PULPO ROJO PATAGONICO</t>
  </si>
  <si>
    <t>CAPACITACION PARA EL DES. Y FORTAL. RUTA DE LOS PARQUES REG. LOS LAGOS</t>
  </si>
  <si>
    <t>CONSTRUCCION CASA DE ACOGIDA DEL ADULTO MAYOR</t>
  </si>
  <si>
    <t>CAPACITACION PARA FORTALECIEMIENTO TECNOLOGOCO PARA LA IMPLEMETACION DEL PLAN INDUSTRIAL PARA EL CONSUMO HUMANO</t>
  </si>
  <si>
    <t>CAPACITACION TECNICA PARA LA IMPLEMENTACION DEL PLAN DE DESARROLLO DE LA INDUSTRIA MITULICULTURA</t>
  </si>
  <si>
    <t>CAPACITACION PARA DESARROLLO Y FORTALECIMIENTO PRODUCTIVO DE ZONAS ESTRATEGICAS</t>
  </si>
  <si>
    <t>CAPACITACION DINAMINACION DEST. TURISTICO PMONTT,CALBUCO,MAULLIN PATRIMONIAL</t>
  </si>
  <si>
    <t xml:space="preserve">   COMPROMISO 2018</t>
  </si>
  <si>
    <t>CONSTRUCCION RECINTO MULTIUSO ESCUELA DIF.SAN CARLOS DE ANCUD</t>
  </si>
  <si>
    <t>REPOSICION ESCUELA TEHUACO-QUETALCO COOMUNA DALCAHUE</t>
  </si>
  <si>
    <t>DICIEMBRE</t>
  </si>
  <si>
    <t>TRANSFERENCIA FORTALECER PESCA ARTESANAL CHAITEN, HUALAIHUE Y COCHAMO</t>
  </si>
  <si>
    <t>CONSTRUCCION DEFENSAS FLUVIALES RIO BLANCO CHAITEN SUR</t>
  </si>
  <si>
    <t>MEJORAMIENTO DIVERSAS CALLES PROVINCIA DE PALENA</t>
  </si>
  <si>
    <t>MEJORAMIENTO PLAZA VILLA SANTA LUCIA</t>
  </si>
  <si>
    <t>RESTAURACION FACHADAS ZONAS TIPICAS P. VARAS</t>
  </si>
  <si>
    <t>CONSTRUCCION CANCHA SINTETICA ESTADIO CHILE DEPORTES</t>
  </si>
  <si>
    <t>MEJORAMIENTO ESTADIO PUDETO, ANCUD</t>
  </si>
  <si>
    <t>DIAGNOSTICO DEL SISTEMA DE FORTIFICACIONES DE ANCUD (C33)</t>
  </si>
  <si>
    <t>REPOSICION ESTADIO VIEJOS CRACK CHINQUIHUE</t>
  </si>
  <si>
    <t>CONSTRUCCION HOSPEDERIA HOGAR DE CRISTO</t>
  </si>
  <si>
    <t>CONSTRUCCION ALCANTARILLADO  Y PLANTA DE TRATAMIENTO CRUCERO</t>
  </si>
  <si>
    <t>CONSTRUCCION POSTA SALUD RURAL CHAMILCO</t>
  </si>
  <si>
    <t>Total general</t>
  </si>
  <si>
    <t>REPOSICION DE SALUD RURAL LA PASADA</t>
  </si>
  <si>
    <t>COSTO TOTAL</t>
  </si>
  <si>
    <t>PROVISIÓN</t>
  </si>
  <si>
    <t>%</t>
  </si>
  <si>
    <t xml:space="preserve"> TOTAL GASTO AÑOS ANTERIORES</t>
  </si>
  <si>
    <t xml:space="preserve"> COMPROMISO </t>
  </si>
  <si>
    <t>DISTRIBUCIÓN DEL COMPROMISO</t>
  </si>
  <si>
    <t xml:space="preserve">MARCO DECRETADO </t>
  </si>
  <si>
    <t>DEFICIT</t>
  </si>
  <si>
    <t xml:space="preserve">FIC: Fondo de Innovación para la Competitividad </t>
  </si>
  <si>
    <t xml:space="preserve">FIE: Fondo de Infraestructura Educacional </t>
  </si>
  <si>
    <t>LIBRE: Fondo de Libre Disponibilidad</t>
  </si>
  <si>
    <t>PVP: Puesta en Valor del Patrimionio</t>
  </si>
  <si>
    <t>RSD: Residuos Sólidos Domiciliarios</t>
  </si>
  <si>
    <t>SS: Saneamiento Sanitario</t>
  </si>
  <si>
    <t>TRS:Transantiago</t>
  </si>
  <si>
    <t>PIR: Programa de Infraestructura Rural</t>
  </si>
  <si>
    <t>PV: Patogonia Verde</t>
  </si>
  <si>
    <t xml:space="preserve">  </t>
  </si>
  <si>
    <t>EFICIENCIA GASTO INTERNO</t>
  </si>
  <si>
    <t xml:space="preserve">EFICIENCIA DEL GASTO INTERNO </t>
  </si>
  <si>
    <t>DECRETADO</t>
  </si>
  <si>
    <t>EFICIENCIA REGIONAL</t>
  </si>
  <si>
    <t xml:space="preserve">PAGADO </t>
  </si>
  <si>
    <t xml:space="preserve">ACUMULADO </t>
  </si>
  <si>
    <t xml:space="preserve">    COSTO</t>
  </si>
  <si>
    <t xml:space="preserve">   GASTO AÑOS ANTERIORES</t>
  </si>
  <si>
    <t xml:space="preserve">   SALDO A DICIEMBRE</t>
  </si>
  <si>
    <t xml:space="preserve">   SALDO POR INVERTIR</t>
  </si>
  <si>
    <t>FNDR 2018</t>
  </si>
  <si>
    <t xml:space="preserve"> TOTAL PAGADO  2018</t>
  </si>
  <si>
    <t xml:space="preserve"> TOTAL PAGADO 2018</t>
  </si>
  <si>
    <t>CONSTRUCCION COMUNIDAD TERAPEUTICA DROGODEPENDIENTES PROVINCIA DE LLANQUIHUE</t>
  </si>
  <si>
    <t>REPOSICION ESTADIO EWALDO KLEIN DE PUERTO VARAS</t>
  </si>
  <si>
    <t>TOTAL PAGADO</t>
  </si>
  <si>
    <t xml:space="preserve"> TOTAL PAGADO</t>
  </si>
  <si>
    <t>RATE</t>
  </si>
  <si>
    <t>ENERGIA</t>
  </si>
  <si>
    <t>CONSTRUCCION ESCENARIO PARQUE MUNICIPAL TEGUEL</t>
  </si>
  <si>
    <t>MEJORAMIENTO INSTALACIONES PARQUE MUNICIPAL DE NOTUCO</t>
  </si>
  <si>
    <t>PUERTO VARAS</t>
  </si>
  <si>
    <t>PUERTO OCTAY</t>
  </si>
  <si>
    <t>PUERTO MONTT</t>
  </si>
  <si>
    <t>MEJORAMIENTO FERIA GASTRONÓMICA Y CULTURAL COMUNA DE QUEILEN</t>
  </si>
  <si>
    <t>HABILITACION ALUMBRADO PUBLICO URON Y HORNOPIREN</t>
  </si>
  <si>
    <t>MEJORAMIENTO CASA DEL DEPORTE Y LA CULTURA</t>
  </si>
  <si>
    <t>REPOSICION PARCIAL ESCUELA DE PARVULOS RAYITO DE SOL</t>
  </si>
  <si>
    <t>CONSTRUCCION MULTICANCHA VISTA HERMOSA DALCAHUE</t>
  </si>
  <si>
    <t>MEJORAMIENTO ACCESO LOS MUERMOS Y SEÑALETICA TURISTICA</t>
  </si>
  <si>
    <t>CONSTRUCCION CENTRO COMUNITARIO JUNTA VECINOS CHULCHUY</t>
  </si>
  <si>
    <t>CONSTRUCCION TECHUMBRE Y ACCESO PARA ACTIVIDADES CULTURALES, QUEMCHI</t>
  </si>
  <si>
    <t>CONSTRUCCION MULTICANCHA VILLA PARQUE NACIONAL</t>
  </si>
  <si>
    <t>CONSTRUCCION PUEBLITO ARTESANAL DE CHAITEN</t>
  </si>
  <si>
    <t>MEJORAMIENTO PLAZA CULTURA DE LAS TRADICIONES DE NUEVA BRAUNAU</t>
  </si>
  <si>
    <t>CONSTRUCCION CUBIERTA MULTICANCHA ESCUELA ALBERTO HURTADO</t>
  </si>
  <si>
    <t>MEJORAMIENTO MULTICANCHA DE RIACHUELO</t>
  </si>
  <si>
    <t>CONSTRUCCION ESPACIO MULTIPROPOSITO CARLOS FOLLERT</t>
  </si>
  <si>
    <t>FACTIBILIDAD</t>
  </si>
  <si>
    <t>CONSTRUCCION CENTRO COMUNITARIO C.D. CHILOE - APAHUEN</t>
  </si>
  <si>
    <t>REPOSICION CENTRO COMUNITARIO PILMAIQUEN</t>
  </si>
  <si>
    <t>TRANSFERENCIA OBRAS MENORES DE RIEGO Y SUMINISTRO DE AGUA AFC</t>
  </si>
  <si>
    <t>REPOSICION Y CONSERVACIÓN LUMINARIAS CALLE MANUEL RODRÍGUEZ</t>
  </si>
  <si>
    <t>MEJORAMIENTO CEMENTERIO MUNICIPAL VILLA SAN PABLO</t>
  </si>
  <si>
    <t>MEJORAMIENTO PARQUE MUNICIPAL CAICAEN</t>
  </si>
  <si>
    <t>REPOSICION LUMINARIAS DIVERSOS SECTORES DE LA COMUNA</t>
  </si>
  <si>
    <t>MEJORAMIENTO INFRAESTRUCTURA MERCADO MUNICIPAL DE CHONCHI</t>
  </si>
  <si>
    <t>AMPLIACION Y MEJORAMIENTO CENTRO COMUNITARIO SAN FLORENTINO</t>
  </si>
  <si>
    <t>REPARACION POZO PROFUNDO SECTOR PINDACO QUITRIPULLI</t>
  </si>
  <si>
    <t>MEJORAMIENTO SIETE CALLES LOCALIDAD DE QUENUIR, COMUNA DE MAULLIN</t>
  </si>
  <si>
    <t>CONSTRUCCION CENTRO POLIFUNCIONAL PUERTO RAMIREZ</t>
  </si>
  <si>
    <t>MEJORAMIENTO IMAGENOLOGIA COMPLEJA HOSPITAL BASE SAN JOSE DE OSORNO</t>
  </si>
  <si>
    <t>MEJORAMIENTO CEMENTERIO MUNICIPAL DE ACHAO</t>
  </si>
  <si>
    <t>CONSTRUCCION PLAZA LOCALIDAD DE CRUCERO, COMUNA DE PURRANQUE</t>
  </si>
  <si>
    <t>REPOSICION Y AMPLIACION CUARTEL 1° COMPAÑIA DE BOMBEROS DE PALENA</t>
  </si>
  <si>
    <t>MEJORAMIENTO MULTICANCHA PATINODROMO</t>
  </si>
  <si>
    <t>ERRADICACION DE LA BRUCELOSIS BOVINA</t>
  </si>
  <si>
    <t>AMPLIACION Y MEJORAMIENTO CENTRO COMUNITARIO LAGOS DE CHILE</t>
  </si>
  <si>
    <t>MEJORAMIENTO MULTICANCHA LOS CANELOS</t>
  </si>
  <si>
    <t>CONSTRUCCION CANCHA SINTETICA PORVENIR</t>
  </si>
  <si>
    <t>CONSTRUCCION CENTRO COMUNITARIO LLAHUALCO</t>
  </si>
  <si>
    <t>CONSTRUCCION CANCHA DE FUTBOL SECTOR DE CONTUY, COMUNA DE QUEILEN</t>
  </si>
  <si>
    <t>CONSTRUCCION REFUGIOS PEATONALES DIVERSOS SECTORES DE LA COMUNA</t>
  </si>
  <si>
    <t>CONSTRUCCION SALA ACONDICIONAMIENTO ESTADIO MUNICIPAL CALBUCO</t>
  </si>
  <si>
    <t>CONSTRUCCION MURO DE GAVIONES SECTOR LA CAPILLA ISLA TENGLO</t>
  </si>
  <si>
    <t>MEJORAMIENTO CANCHA DE FUTBOL SECTOR RAUCO</t>
  </si>
  <si>
    <t>CONSTRUCCION PARADEROS URBANOS, CIUDAD DE DALCAHUE</t>
  </si>
  <si>
    <t>RATE 2018</t>
  </si>
  <si>
    <t>REPOSICION SUBCOMISARIA ALERCE</t>
  </si>
  <si>
    <t>REPOSICION INTERNADO LICEO INDUSTRIAL CHILENO ALEMAN FRUTILLAR</t>
  </si>
  <si>
    <t>MEJORAMIENTO INFRAESTRUCTURA HOSPITAL DE FRESIA</t>
  </si>
  <si>
    <t>TERRITORIO</t>
  </si>
  <si>
    <t>SECTORIALISTA</t>
  </si>
  <si>
    <t>REPOSICION EDEFICIO MUNICIPAL DE CHAITEN</t>
  </si>
  <si>
    <t>MEJORAMIENTO INTEGRAL ESTADIO MUNICIPAL DE QUEILEN</t>
  </si>
  <si>
    <t>REPOSICION VEHICULOS MUNICIPALES, SAN JUAN DE LA COSTA (C33)</t>
  </si>
  <si>
    <t>REPOSICION VEHICULOS PDI, PROVINCIA DE OSORNO (C33)</t>
  </si>
  <si>
    <t>REPOSICION Y DESTINACION VEHICULOS TRASLADO PACIENTES DIALISIS HOSPITAL DE CALBUCO (C33)</t>
  </si>
  <si>
    <t>REPOSICION DE VEHICULOS DESAM COMUNA DE LLANQUIHUE (C33)</t>
  </si>
  <si>
    <t>REPOSICION VEHICULOS PDI PROVINCIA DE LLANQUIHUE (C33)</t>
  </si>
  <si>
    <t>ADQUISICION Y REPOSICION DE EQUIPOS PARA LITIASIS Y ENUCLIACION U DE UROLOGIA HOSPITAL DE CASTRO (C33)</t>
  </si>
  <si>
    <t>REPOSICION CAMION TOLVA(C33)</t>
  </si>
  <si>
    <t>ADQUISICION DOS CAMIONETAS Y UN FURGON Y UNA CAMIONETA DE CARGA(C33)</t>
  </si>
  <si>
    <t>EQUIPAMIENTO DE RESCATE Y REPOSICION VEHICULOS PARA GOPE(C33)</t>
  </si>
  <si>
    <t>CONSERVACION SISTEMAS DE APRS COMUNA PUERTO OCTAY (C33)</t>
  </si>
  <si>
    <t>CONSERVACION ESPACIO PUBLICO BODEGON (C33)</t>
  </si>
  <si>
    <t>CONSERVACION VIAS URBANAS PUERTO MONTT (C33)</t>
  </si>
  <si>
    <t>CONSERVACION GIMNASIO MUNICIPAL DE HORNOPIREN(C33)</t>
  </si>
  <si>
    <t>SOLICITUD CAMBIO</t>
  </si>
  <si>
    <t>IDI</t>
  </si>
  <si>
    <t>CONSTRUCCION RED APR SECTOR COLONIA SAN MARTIN(C33)</t>
  </si>
  <si>
    <t>EN ADJUDICACION</t>
  </si>
  <si>
    <t>EN LIQUIDACION</t>
  </si>
  <si>
    <t>DISTRITO</t>
  </si>
  <si>
    <t>CHAITÉN</t>
  </si>
  <si>
    <t>FUTALEUFÚ</t>
  </si>
  <si>
    <t>HUALAIHUÉ</t>
  </si>
  <si>
    <t>TRANSFERENCIA CAPITAL SEMILLA PARA POTENCIAR LOS SEIS EJES PRODUCTIVOS A DE LA PROVINCIA DE PALENA</t>
  </si>
  <si>
    <t>ENERO-MARZO</t>
  </si>
  <si>
    <t>RATES</t>
  </si>
  <si>
    <t>EN TRAMITE</t>
  </si>
  <si>
    <t>RÍO NEGRO</t>
  </si>
  <si>
    <t>ACTUALIZACION PLAN REGULADOR COMUNA DE CHONCHI (C33)</t>
  </si>
  <si>
    <t>PUQUELDÓN</t>
  </si>
  <si>
    <t>REPOSICION CENTRO DE SALUD DE QUEMCHI</t>
  </si>
  <si>
    <t>EDUCACION</t>
  </si>
  <si>
    <t>TOTAL COMUNA DE PALENA</t>
  </si>
  <si>
    <t>TRANSFERENCIA PROGRAMA RENOVACION FLOTA LOCOMOCION COLECTIVA</t>
  </si>
  <si>
    <t>TRANSFERENCIA INVERSION EN LA MIPE DEL MEJILLON CHILENO</t>
  </si>
  <si>
    <t>CAPACITACION ASESORIA TECNICA EN TURISMO RURAL PARA PEQUEÑOS AGRICULTORES</t>
  </si>
  <si>
    <t>PROGRAMA IMPLEMENTACION DE BUENAS PRACTICAS AMBIENTALES</t>
  </si>
  <si>
    <t xml:space="preserve">TRANSFERENCIA GESTION DEL TERRITORIO TURISTICO, REGION DE LOS LAGOS </t>
  </si>
  <si>
    <t>TRANSFERENCIA EMERGENCIA PRODUCTIVA FERIANTES Y COCINERIAS DEL MAR</t>
  </si>
  <si>
    <t>TRANSFERENCIA MEJORAMIENTO DE LA PRODUCTIVIDAD EN AREAS DE MANEJO II</t>
  </si>
  <si>
    <t>PROTECCION APLICACION MODELO USO SUST. EN PAISAJE CONSERV. CHILOE</t>
  </si>
  <si>
    <t>ADQUISICION MAQUINARIA PARA TRABAJOS MUNICIPALES</t>
  </si>
  <si>
    <t>CONSTRUCCION CIERRE MULTICANCHA ESCUELA OQUELDAN, QUELLON</t>
  </si>
  <si>
    <t>EN REEVALUACION</t>
  </si>
  <si>
    <t>BLANCO</t>
  </si>
  <si>
    <t xml:space="preserve">AMPLIACION SERVICIO APR LAGUNITAS, VALLE CARDONAL </t>
  </si>
  <si>
    <t>*</t>
  </si>
  <si>
    <t>MEJORAMIENTO RUTA 7 SECTOR PTO. CARDENAS-SANTA LUCIA</t>
  </si>
  <si>
    <t>REPOSICION ESCUELA RURAL ISLA LLINGUA</t>
  </si>
  <si>
    <t>ACTUALIZACION Y DIAGNOSTICO PLAN REGULADOR COMUNA QUELLON</t>
  </si>
  <si>
    <t>AMPLIACION COMPLEJO DEPORTIVO ESTERO LOBOS</t>
  </si>
  <si>
    <t>CONSERVACION RED VIAL DE VARIOS CAMINOS PAVIMENTADOS AÑO 2013 (C33)</t>
  </si>
  <si>
    <t>OK</t>
  </si>
  <si>
    <t>VER</t>
  </si>
  <si>
    <t>EN TRAMITE CONVENIO</t>
  </si>
  <si>
    <t>OBSERVACIONES</t>
  </si>
  <si>
    <t>CONVENIO</t>
  </si>
  <si>
    <t>PROGRAMADO</t>
  </si>
  <si>
    <t>REPOSICION CENTRO SALUD FAMILIAR ANGELMO</t>
  </si>
  <si>
    <t>TOTAL DE INICIATIVAS EN EJECUCION</t>
  </si>
  <si>
    <t>TOTAL DE INICIATIVAS EN LICITACION/ADJUDICACION</t>
  </si>
  <si>
    <t>TOTAL DE INICIATIVAS SIN MOVIMIENTO</t>
  </si>
  <si>
    <t>TOTAL DE INICIATIVAS TERMINADAS</t>
  </si>
  <si>
    <t>INICIATIVAS EN EJECUCION</t>
  </si>
  <si>
    <t>INICIATIVAS SIN MOVIMIENTO</t>
  </si>
  <si>
    <t>INICIATIVAS TERMINADAS</t>
  </si>
  <si>
    <t>INICIATIVAS EN LICITACION/ADJUDICACION</t>
  </si>
  <si>
    <t>CONSTRUCCION Y HABILITACION CENTRO DE DIALISIS HOSPITAL DE CALBUCO</t>
  </si>
  <si>
    <t>HABILITACION SUMINISTRO DE ENERGIA ELECTRICA SECTOR LA QUEMADA</t>
  </si>
  <si>
    <t>INICIATIVAS EN CONVENIO Y TRAMITE</t>
  </si>
  <si>
    <t>TOTAL DE INICIATIVAS EN CONVENIO Y TRAMITE</t>
  </si>
  <si>
    <t>DISEÑO TERMINADO</t>
  </si>
  <si>
    <t>CONSTRUCCION CONSULTORIO RURAL DE CONTAO</t>
  </si>
  <si>
    <t>tipo convenio</t>
  </si>
  <si>
    <t>30470902-FNDR</t>
  </si>
  <si>
    <t>30126279-FNDR</t>
  </si>
  <si>
    <t>30481028-FNDR</t>
  </si>
  <si>
    <t>30412923-FNDR</t>
  </si>
  <si>
    <t>30171924-FNDR</t>
  </si>
  <si>
    <t>30068433-FNDR</t>
  </si>
  <si>
    <t>30171923-FNDR</t>
  </si>
  <si>
    <t>30171875-FNDR</t>
  </si>
  <si>
    <t>30280673-FNDR</t>
  </si>
  <si>
    <t>30135939-FNDR</t>
  </si>
  <si>
    <t>30071876-FNDR</t>
  </si>
  <si>
    <t>30291073-FNDR</t>
  </si>
  <si>
    <t>30071878-FNDR</t>
  </si>
  <si>
    <t>30405773-FNDR</t>
  </si>
  <si>
    <t>30158072-FNDR</t>
  </si>
  <si>
    <t>30136310-FNDR</t>
  </si>
  <si>
    <t>30126943-FNDR</t>
  </si>
  <si>
    <t>30324573-FNDR</t>
  </si>
  <si>
    <t>30080729-FNDR</t>
  </si>
  <si>
    <t>30219228-FNDR</t>
  </si>
  <si>
    <t>30134380-FNDR</t>
  </si>
  <si>
    <t>20140221-FNDR</t>
  </si>
  <si>
    <t>30112093-FNDR</t>
  </si>
  <si>
    <t>30135738-FNDR</t>
  </si>
  <si>
    <t>30135739-FNDR</t>
  </si>
  <si>
    <t>30042613-FNDR</t>
  </si>
  <si>
    <t>30078798-FNDR</t>
  </si>
  <si>
    <t>30071585-FNDR</t>
  </si>
  <si>
    <t>30103375-FNDR</t>
  </si>
  <si>
    <t>30098600-SECT</t>
  </si>
  <si>
    <t>30083300-SECT</t>
  </si>
  <si>
    <t>30083335-SECT</t>
  </si>
  <si>
    <t>30311722-FNDR</t>
  </si>
  <si>
    <t>30311772-FNDR</t>
  </si>
  <si>
    <t>30428989-FNDR</t>
  </si>
  <si>
    <t>30458546-FNDR</t>
  </si>
  <si>
    <t>rates 05-05-2018</t>
  </si>
  <si>
    <t>abrilpagado</t>
  </si>
  <si>
    <t>CONVENIO 2018</t>
  </si>
  <si>
    <t>CONVENIO 2017</t>
  </si>
  <si>
    <t>REPOSICION PARCIAL LICEO POLITECNICO DE CALBUCO</t>
  </si>
  <si>
    <t>CONVENIO 2016</t>
  </si>
  <si>
    <t>CONSTRUCCION SISTEMA APR GUAPILACUY</t>
  </si>
  <si>
    <t>MEJORAMIENTO CINCO CALLES LOCALIDAD DE CARELMAPU</t>
  </si>
  <si>
    <t>CONVENIO 2015</t>
  </si>
  <si>
    <t>ADQUISICION Y REPOSICION DE CAMIONETAS PARA EL TRANSPORTE MUNICIPAL (C33)</t>
  </si>
  <si>
    <t>PROGRAMA RECAMBIO CALEFACTORES CIUDAD OSORNO</t>
  </si>
  <si>
    <t>TRANSFERENCIA DE HERRAMIENTAS DE VIDA PARA EL APRENDIZAJE</t>
  </si>
  <si>
    <t>AMPLIACION AERODROMO CAÑAL BAJO</t>
  </si>
  <si>
    <t>CONSERVACION CAMINOS VECINALES POR GLOSA 7, ETAPA 1, PROVINCIA OSORNO(C33)</t>
  </si>
  <si>
    <t>ADQUISICION CAMION MULTIPROPOSITO, COMUNA CALBUCO(C33)</t>
  </si>
  <si>
    <t>CONSERVACION VARIOS CAMINOS VECINALES GLOSA 7 COMUNA DE FRESIA(C33)</t>
  </si>
  <si>
    <t>MEJORAMIENTO INTERCONEXION VIAL, FRUTILLAR ALTO Y BAJO</t>
  </si>
  <si>
    <t>MEJORAMIENTO Y AMPLIACION GIMNASIO MUNICIPAL, COMUNA LOS MUERMOS</t>
  </si>
  <si>
    <t>EQUIPAMIENTO TECNOLOGICO PARA EDUCACION PREBASICA MAULLIN(C33)</t>
  </si>
  <si>
    <t>CONSTRUCCION CENTRO REHABILITACION COMUNA DE ANCUD</t>
  </si>
  <si>
    <t>ADQUISICION MAQUINARIA CAMION MULTIPROPOSITO DE EMERGENCIA MUNICIPAL(C33)</t>
  </si>
  <si>
    <t>CONSTRUCCION GIMNASIO ESCUELA ORIENTE</t>
  </si>
  <si>
    <t>CONSTRUCCION MULTICANCHA CERRADA FRANCISCO COLOANE COMUNA DE QUELLON</t>
  </si>
  <si>
    <t>REPOSICION MAQUINARIA PARA CONSERVACION DE CAMINOS RURALES(C33)</t>
  </si>
  <si>
    <t>ADQUISICION CAMION RECOLECTOR DE BASURA COMUNA DE QUINCHAO(C33)</t>
  </si>
  <si>
    <t>REPOSICION EDIFICIO GOBERNACION Y SERVICIOS PUBLICOS EN CHAITEN</t>
  </si>
  <si>
    <t>CONSTRUCCION CONEXION VIAL SECTOR PALENA-LAGO PALENA</t>
  </si>
  <si>
    <t>DIFUSION PROG. DE APLICACION DE ESTRATEGIAS DE PROMOCION</t>
  </si>
  <si>
    <t>CAPACITACION ORDENAMIENTO PREDIAL Y FOMENTO A LA PRODUCCION LIMPIA</t>
  </si>
  <si>
    <t>CONSERVACION PERIODICA, CAMINO BASICO ROL W-813 Y ROL W-815 (C33)</t>
  </si>
  <si>
    <t>MEJORAMIENTO AREA DE MOVIMIENTO PEQUEÑO AERODROMO AYACARA</t>
  </si>
  <si>
    <t>AMPLIACION AREA DE MOVIMIENTO PEQUEÑO AERODROMO ALTO PALENA</t>
  </si>
  <si>
    <t>ADQUISICION LANCHA POLICIAL TENENCIA HORNOPIREN, COMUNA HUALAIHUE(C33)</t>
  </si>
  <si>
    <t>REPOSICION EDIFICIO CONSISTORIAL RIO NEGRO</t>
  </si>
  <si>
    <t>CONSERVACION CALLE GRANITICO DE PUERTO MONTT (C33)</t>
  </si>
  <si>
    <t>REPOSICION REPOSICION CUARTEL 2° CIA. BOMBEROS CALBUCO</t>
  </si>
  <si>
    <t>REPOSICION CUARTEL SEXTA COMPAÑIA DE BOMBEROS PUERTO VARAS</t>
  </si>
  <si>
    <t>ADQUISICION SISTEMA DE ILUMINACION PAD. RIO NEGRO HORNOPIREN(C33)</t>
  </si>
  <si>
    <t>CAPACITACION FORTALECIMIENTO DE LA AUTONOMIA ECONOMICA DE MUJERES EMPRENDEDORAS DEL SERNAMEG</t>
  </si>
  <si>
    <t>MEJORAMIENTO IGLESIA SAGRADO CORAZON DE JESUS, PUERTO VARAS</t>
  </si>
  <si>
    <t>ANALISIS ESTUDIO PLAN REGULADOR COMUNAL DE FUTALEUFU</t>
  </si>
  <si>
    <t>MEJORAMIENTO Y PAVIMENTACION CALLE LAUTARO SUR - FUTALEUFU</t>
  </si>
  <si>
    <t>CONSTRUCCION PLANTA DE TRATAMIENTO PARGA</t>
  </si>
  <si>
    <t>HABILITACION SUMINISTRO ENERGIA ELECTRICA, SECTOR COLLIHUINCO</t>
  </si>
  <si>
    <t>HABILITACION SUMINISTRO ENERGIA ELECTRICA, SECTOR LA POZA</t>
  </si>
  <si>
    <t>HABILITACION SUMINISTRO ENERGIA ELECTRICA, SECTOR POPOEM</t>
  </si>
  <si>
    <t>HABILITACION SUMINISTRO ENERGIA ELECTRICA, SECTOR PUNINQUE COMP</t>
  </si>
  <si>
    <t>HABILITACION SUMINISTRO ENERGIA ELECTRICA, QUILLOIMO SAN JUAN DE LA COSTA</t>
  </si>
  <si>
    <t>HABILITACION SUMINISTRO ENERGIA ELECTRICA, PICHILAFQUENMAPU SN JUAN DE LA COSTA</t>
  </si>
  <si>
    <t>HABILITACION SUMINISTRO ENERGIA ELECTRICA,  ALEUCAPI SAN JUAN DE LA COSTA</t>
  </si>
  <si>
    <t>HABILITACION SUMINISTRO ENERGIA ELECTRICA,  SECTOR COSTA SAN PABLO</t>
  </si>
  <si>
    <t>HABILITACION SUMINISTRO ENERGIA ELECTRICA, SECTOR LLANO CENTRAL</t>
  </si>
  <si>
    <t>HABILITACION SUMINISTRO ENERGIA ELECTRICA, QUEULLIN</t>
  </si>
  <si>
    <t>HABILITACION SUMINISTRO ENERGIA ELECTRICA, SECTOR LA PIEDRA FRUTILLAR</t>
  </si>
  <si>
    <t>HABILITACION SUMINISTRO ENERGIA ELECTRICA RURAL, LA PALOMA</t>
  </si>
  <si>
    <t>HABILITACION SUMINISTRO ENERGIA ELECTRICA, TRES CUMBRES</t>
  </si>
  <si>
    <t>HABILITACION SUMINISTRO ENERGIA ELECTRICA, SECTOR LOS RISCOS</t>
  </si>
  <si>
    <t>HABILITACION SUMINISTRO ENERGIA ELECTRICA, SECTOR PILLUCO</t>
  </si>
  <si>
    <t>HABILITACION SUMINISTRO ENERGIA ELECTRICA, SECTOR CURANUE SUR, QUELLON</t>
  </si>
  <si>
    <t>HABILITACION SUMINISTRO ENERGIA ELECTRICA, SECTOR COLO COLO</t>
  </si>
  <si>
    <t>HABILITACION SUMINISTRO ENERGIA ELECTRICA, CAMINO EL ROBLE DE DETICO</t>
  </si>
  <si>
    <t>HABILITACION SUMINISTRO ENERGIA ELECTRICA, AGONI ALTO, QUEILEN</t>
  </si>
  <si>
    <t>HABILITACION Y MEJORAMIENTO SUMINISTRO ENERGIA ELECTRICA, TUBILDAD MONTAÑA</t>
  </si>
  <si>
    <t>HABILITACION Y MEJORAMIENTO SUMINISTRO ELECTRICO, SECTOR AUCHO ALTO TUBILDAD</t>
  </si>
  <si>
    <t>HABILITACION SUMINISTRO ENERGIA ELECTRICA, SECTOR NOROESTE, FUTALEUFU</t>
  </si>
  <si>
    <t>CONSERVACION CAMINOS BASICOS RUTA  W609 ETAPA I (C33)</t>
  </si>
  <si>
    <t>CONSERVACION CAMINOS VECINALES GLOSA 7,COMUNA HUALAIHUE, PROV. PALENA(C33)</t>
  </si>
  <si>
    <t>CONSERVACION CAMINOS NO ENROLADOS(C33)</t>
  </si>
  <si>
    <t>REPOSICION VEHICULO DIRECCION DE ASEO Y ORNATO (C33)</t>
  </si>
  <si>
    <t>ADQUISICION CAMION MULTIPROPOSITO MUNICIPAL (C33)</t>
  </si>
  <si>
    <t>ADQUISICION MAQUINARIA PESADA, COMUNA DE LOS MUERMOS (C33)</t>
  </si>
  <si>
    <t>ADQUISICION 7 CAMIONETAS PARA LA MUNICIPALIDAD DE MAULLIN (C33)</t>
  </si>
  <si>
    <t>EQUIPAMIENTO TECNOLOGICO PARA ESTABLECIMIENTO DE EDUCACION MEDIA (C33)</t>
  </si>
  <si>
    <t>REPOSICION REEMPLAZO DE LUMINARIAS PARQUE URBANO (C33)</t>
  </si>
  <si>
    <t>REPOSICION Y ADQUISICION CAMIONETAS PARA TRANSPORTE MUNICIPAL (C33)</t>
  </si>
  <si>
    <t>ADQUISICION EQUIPAMIENTO ESCUELA SAN JAVIER (C33)</t>
  </si>
  <si>
    <t>ADQUISICION EQUIPAMIENTO ESCUELA HUYAR ALTO (C33)</t>
  </si>
  <si>
    <t>REPOSICION Y ADQUISICION DE EQUIPOS Y EQUPA. RED SALUD CHILOE (C33)</t>
  </si>
  <si>
    <t>ADQUISICION CAMION MULTIPROPOSITO (C33)</t>
  </si>
  <si>
    <t>REPOSICION MAQUINARIA MUNICIPAL COMUNA DE CHONCHI (C33)</t>
  </si>
  <si>
    <t>CONSTRUCCION SERVICIO APR COLONIA PONCE, PURRANQUE</t>
  </si>
  <si>
    <t>CONSTRUCCION SISTEMA APR ALTO PUELO, COCHAMO</t>
  </si>
  <si>
    <t>CONSTRUCCION RED DE APR SECTOR VILLA ALEGRE</t>
  </si>
  <si>
    <t>CONSTRUCCION SISTEMA APR QUILIPULLI-ROMAZAL</t>
  </si>
  <si>
    <t>CONSTRUCCION SISTEMA APR DE TARAHUIN, CHONCHI</t>
  </si>
  <si>
    <t>HABILITACION INSTALACION SERVICIO DE APR DE TOLQUIEN</t>
  </si>
  <si>
    <t>CONSTRUCCION RED APR SECTOR CENTINELA LA HUACHA</t>
  </si>
  <si>
    <t>AMPLIACION SERVICIO APR BAHIA LINAO HACIA HUAPILINAO Y R.NEGRO,ANCUD</t>
  </si>
  <si>
    <t>CONSTRUCCION SISTEMA APR EL QUECHE</t>
  </si>
  <si>
    <t>CONSTRUCCION SISTEMA APR DE YATES COCHAMO</t>
  </si>
  <si>
    <t>SUBSIDIO A LA OPERACION SISTEMA DE AUTOGENERACION ISLA QUENU Y TABON</t>
  </si>
  <si>
    <t>SUBSIDIO A LA OPERACION SISTEMA DE AUTOGENERACION ISLAS DE CASTRO</t>
  </si>
  <si>
    <t>SUBSIDIO A LA OPERACION SISTEMA DE AUTOGENERACION ISLA DE QUEMCHI</t>
  </si>
  <si>
    <t>CONSTRUCCION REDES DE AGUA POTABLE Y ALCANT. DIVERSOS SECTORES CIUDAD DALCAHUE</t>
  </si>
  <si>
    <t>CAPACITACION Y FOMENTO AGROECOLOGIA  Y PRODUCCION AGRICULTURA</t>
  </si>
  <si>
    <t>PAGOS</t>
  </si>
  <si>
    <t>CONSERVACION VARIOS CAMINOS VECINALES GLOSA 7, COMUNA DE COCHAMO (C33)</t>
  </si>
  <si>
    <t>pagos 2</t>
  </si>
  <si>
    <t>R. CARCAMO</t>
  </si>
  <si>
    <t>A. MACIAS</t>
  </si>
  <si>
    <t>F. CARRA</t>
  </si>
  <si>
    <t>P. HUIDOBRO</t>
  </si>
  <si>
    <t>I. ALEGRIA</t>
  </si>
  <si>
    <t>N. SOLIS</t>
  </si>
  <si>
    <t>K. BARRIENTOS</t>
  </si>
  <si>
    <t>E. OLEA</t>
  </si>
  <si>
    <t>I. ORTIZ</t>
  </si>
  <si>
    <t>O. WISTUBA</t>
  </si>
  <si>
    <t>total pagar</t>
  </si>
  <si>
    <t>pagado real</t>
  </si>
  <si>
    <t>REPOSICION ESCUELA RURAL DE LINAO, ANCUD.</t>
  </si>
  <si>
    <t>PAGADO</t>
  </si>
  <si>
    <t>G.QUEZADA</t>
  </si>
  <si>
    <t>total a pagar 2018</t>
  </si>
  <si>
    <t>CONVENIOS AL 2018</t>
  </si>
  <si>
    <t>HABILITACION SUMINISTRO DE ENERGIA ELECTRICA SECTOR PUTRAUTRAO</t>
  </si>
  <si>
    <t>HABILITACION SUMINISTRO ELECTRICO SECTOR QUICHITUE</t>
  </si>
  <si>
    <t>MEJORAMIENTO CALZADAS SECTOR BELLAVISTA</t>
  </si>
  <si>
    <t>REPOSICION SEDE MULTIFUNCIONAL SECTOR PUMILLAHUE</t>
  </si>
  <si>
    <t>CONSTRUCCION ALUMBRADO PÚBLICO DIVERSOS SECTORES RURALES</t>
  </si>
  <si>
    <t>MEJORAMIENTO ESPACIOS PUBLICOS EN DIVERSOS SECTORES DE LA COMUNA</t>
  </si>
  <si>
    <t>MEJORAMIENTO CALZADAS Y SOLUCION DE AGUAS LLUVIAS DIVERSOS SECTORES DE ANCUD</t>
  </si>
  <si>
    <t>MEJORAMIENTO VEREDAS Y CALZADAS CALLE LAS CANTERAS</t>
  </si>
  <si>
    <t>MEJORAMIENTO VEREDAS Y CALZADAS SECTOR BONILLA Y ALREDEDORES</t>
  </si>
  <si>
    <t xml:space="preserve">CONSTRUCCION SEÑALETICA TURISTICA Y MIRADOR </t>
  </si>
  <si>
    <t>TURISMO</t>
  </si>
  <si>
    <t xml:space="preserve">REPOSICION SEDE SOCIAL SECTOR RURAL CAULIN ALTO     </t>
  </si>
  <si>
    <t>REPOSICION VEREDAS SECTORES URBANOS CASTRO</t>
  </si>
  <si>
    <t>CONSTRUCCION CENTRO COMUNITARIO POLIFUNCIONAL ISLA DE QUEHUI, CASTRO</t>
  </si>
  <si>
    <t>AMPLIACION Y NORMALIZACIÓN EDIFICIO MUNICIPAL</t>
  </si>
  <si>
    <t>CONSTRUCCION TALLER ARTESANAL Y CENTRO POLIFUNCIONAL SINDICATO PESCADORES PEDRO MONTT</t>
  </si>
  <si>
    <t>MEJORAMIENTO DE ILUMINACION DE ACCESO A CASTRO</t>
  </si>
  <si>
    <t>MEJORAMIENTO GIMNASIO ESCUELA RURAL DE CUCAO</t>
  </si>
  <si>
    <t>CONSTRUCCION MULTICANCHA POBLACION SAN CARLOS, CHONCHI</t>
  </si>
  <si>
    <t>CONSTRUCCION CANCHA DE FUTBOL SECTOR NALHUITAD, CHONCHI</t>
  </si>
  <si>
    <t>REPOSICION Y MEJORAMIENTO SEÑALETICA TURISTICA Y PORTALES DE ACCESO</t>
  </si>
  <si>
    <t>HABILITACION EXTENSION REDES ABASTECIMIENTO APR SECTOR KM. 8</t>
  </si>
  <si>
    <t xml:space="preserve">CURACO DE VÉLEZ </t>
  </si>
  <si>
    <t>CONSTRUCCION ACCESO VIAL POSTA QUETALCO TEHUALCO</t>
  </si>
  <si>
    <t>CONSTRUCCION RED DE AGUA POTABLE Y ALCANTARILLADO ROSA HURTADO</t>
  </si>
  <si>
    <t>REPOSICION DE LUMINARIAS SECTOR TENAUN</t>
  </si>
  <si>
    <t>CONSTRUCCION SEÑALETICAS COMUNA DE DALCAHUE</t>
  </si>
  <si>
    <t>CONSTRUCCION ESTRUCTURA CUBIERTA PARA MUSICA Y DANZAS FLOLCLORICAS</t>
  </si>
  <si>
    <t>CONSTRUCCION CENTRO DE ACONDICIONAMIENTO FISICO COMUINA PULQUELDON</t>
  </si>
  <si>
    <t>CONSTRUCCION CENTRO COMUNITARIO SECTOR DE PAILDAD, QUEILEN</t>
  </si>
  <si>
    <t>CONSTRUCCION CANCHA DE FUTBOL AGONI</t>
  </si>
  <si>
    <t>CONSTRUCCION MODULOS DE VENTA SECTOR DE LELBUN</t>
  </si>
  <si>
    <t>QUELLÓN</t>
  </si>
  <si>
    <t>CONSTRUCCION POZO PROFUNDO SECTOR LAS ANTENAS</t>
  </si>
  <si>
    <t>CONSTRUCCION CUARTEL 2ª CIA. DE BOMBEROS QUELLON</t>
  </si>
  <si>
    <t xml:space="preserve">MEJORAMIENTO EDIFICIO DEPARTAMENTO DESARROLLO ECONOMICO LOCAL </t>
  </si>
  <si>
    <t>CONSTRUCCION MEDIALUNA, COMUNA DE QUELLON</t>
  </si>
  <si>
    <t>CONSTRUCCION SKATE PARK, COMUNA DE QUELLON</t>
  </si>
  <si>
    <t>CONSTRUCCION CAMARINES ESTADIO DE CURANUÉ, COMUNA DE QUELLÓN</t>
  </si>
  <si>
    <t xml:space="preserve">CONSTRUCCION PLAZA Y CASETA INFORMACION TURISTICA, COMUNA DE QUELLON  </t>
  </si>
  <si>
    <t>CONSTRUCCION POLIFUNCIONAL SECTOR AUCHAC</t>
  </si>
  <si>
    <t>CONSTRUCCION PLAZA POBLACION ILUSION Y ESPERANZA DE QUEMCHI</t>
  </si>
  <si>
    <t>REPOSICION MULTICANCHA Y JUEGOS INFANTILES ESTERO SANGRA, QUEMCHI</t>
  </si>
  <si>
    <t>MEJORAMIENTO PLAZA DE MECHUQUE, COMUNA DE QUEMCHI</t>
  </si>
  <si>
    <t>CONSTRUCCION EMBARCADERO FLOTANTE ISLA CAGUACH</t>
  </si>
  <si>
    <t>CONSTRUCCION CASETA INFORMACIÓN TURÍSTICA DE ACHAO</t>
  </si>
  <si>
    <t>CONSTRUCCION EXPLANADA COSTANERA SUR</t>
  </si>
  <si>
    <t>CONSTRUCCION FERIA COMERCIAL FEDERICO ERRAZURIZ</t>
  </si>
  <si>
    <t xml:space="preserve">CONSTRUCCION BAHIAS DE ESTACIONAMIENTO SECTOR SAN RAFAEL </t>
  </si>
  <si>
    <t>CONSERVACION DE ESPACIOS Y EDIFICIOS PUBLICOS VARIOS SECTORES DE CALBUCO</t>
  </si>
  <si>
    <t>MEJORAMIENTO MULTICANCHA Y SEDE POBLACION SAN ANDRES</t>
  </si>
  <si>
    <t>MEJORAMIENTO ÁREAS USO PÚBLICOS CALLE MAGISTERIO Y SANTIAGO BUERAS</t>
  </si>
  <si>
    <t>CONSTRUCCIÓN OFICINA COORDINACIÓN POCOIHUEN</t>
  </si>
  <si>
    <t>CONSTRUCCION SEDE COMUNITARIA SECTOR EL BOSQUE</t>
  </si>
  <si>
    <t>AMPLIACIÓN GIMNASIO MUNICIPAL DE COCHAMÓ</t>
  </si>
  <si>
    <t>AMPLIACION DE OFICINAS MUNICIPALES</t>
  </si>
  <si>
    <t>CONSTRUCCION CASA DEL TURISTA RIO PUELO</t>
  </si>
  <si>
    <t>MEJORAMIENTO MULTICANCHA VILLA LOS RIOS</t>
  </si>
  <si>
    <t>MEJORAMIENTO ACCESO HOSPITAL Y VEREDAS EN CALLE DE FRESIA URBANO</t>
  </si>
  <si>
    <t>MEJORAMIENTO MONUMENTO BATALLA EL TORO</t>
  </si>
  <si>
    <t>CONSTRUCCION CENTRO COMUNITARIO DE REHABILITACIÓN FRUTILLAR</t>
  </si>
  <si>
    <t xml:space="preserve">REPOSICION AREA PERIMETRAL Y SEDE SAN PEDRO </t>
  </si>
  <si>
    <t>HABILITACION SEÑALETICA TURISTICA DE FRUTILLAR</t>
  </si>
  <si>
    <t>CONSTRUCCION SEDE SOCIAL LOS BAJOS FRUTILLAR</t>
  </si>
  <si>
    <t>REPOSICION Y MEJORAMIENTO ACERAS PASEO AV. PEREZ ROSALES</t>
  </si>
  <si>
    <t>REPOSICION Y MEJORAMIENTO ACERAS PASEO AV. MATTA</t>
  </si>
  <si>
    <t>CONSTRUCCION SKATE PARK COMUNA DE LLANQUIHUE</t>
  </si>
  <si>
    <t>CONSTRUCCION Y EQUIPAMIENTO PARQUE HUMEDAL BAQUEDANO</t>
  </si>
  <si>
    <t>CONSTRUCCION E INSTALACION CANCHA DE PASTO SINTETICO</t>
  </si>
  <si>
    <t>REPOSICION SEDE CLUB DEPORTIVO,SOCIAL Y CULTURAL GENERAL BAQUEDANO</t>
  </si>
  <si>
    <t xml:space="preserve">CONSTRUCCION ADOCRETOS EN CALLE ARTURO PRAT DE QUENUIR </t>
  </si>
  <si>
    <t xml:space="preserve">CONSTRUCCION CENTRO MULTIPROPOSITO DE QUENUIR </t>
  </si>
  <si>
    <t xml:space="preserve">CONSTRUCCION MULTICANCHA SECTOR COYAM </t>
  </si>
  <si>
    <t xml:space="preserve"> CONSTRUCCION PASEO PEATONAL TECHADO CON CASETA DE INFORMACIÓN TURÍSTICA, MAULLÍN</t>
  </si>
  <si>
    <t>CONSTRUCCION MURO DE GAVIONES SECTOR CAMINO LA FABRICA CARELMAPU</t>
  </si>
  <si>
    <t>CONSTRUCCION MURO DE GAVIONES SECTOR MIRADOR CORHABIT CARELMAPU</t>
  </si>
  <si>
    <t>MEJORAMIENTO AREAS VERDES Y PLAZA ACTIVA LOS LIRQUENES-ALERCE NORTE</t>
  </si>
  <si>
    <t>CONSTRUCCION FERIA TECHADA ALERCE SUR ENTRE TRANSVERSAL 4 Y 2 ORIENTE</t>
  </si>
  <si>
    <t>CONSTRUCCION DE GAVIONES ISLA TENGLO FRENTE SECTOR ANAHUAC</t>
  </si>
  <si>
    <t>MEJORAMIENTO AREAS VERDES JUEGOS INFANTILES CALLE ALDACHILDO</t>
  </si>
  <si>
    <t>CONSTRUCCION VEREDAS SECTOR LA VARA</t>
  </si>
  <si>
    <t>CONSTRUCCION VEREDAS POBLACION LA PALOMA</t>
  </si>
  <si>
    <t>MEJORAMIENTO AREAS VERDES PARQUE SAMUEL ROMAN ALERCE NORTE</t>
  </si>
  <si>
    <t>AMPLIACION CUARTEL DE BOMBEROS TERCERA COMPAÑÍA DE PUERTO VARAS</t>
  </si>
  <si>
    <t>MEJORAMIENTO PLAZA LOS AVELLANOS LOMAS VI, PUERTO VARAS</t>
  </si>
  <si>
    <t xml:space="preserve">CONSTRUCCION CAMARINES ESTADIO NUEVA BRAUNAU </t>
  </si>
  <si>
    <t xml:space="preserve">CONSTRUCCION CUARTEL PRIMERA COMPAÑIA DE BOMBEROS </t>
  </si>
  <si>
    <t>REPOSICION Y CONSTRUCCION DE VEREDAS DIVERSOS SECTORES</t>
  </si>
  <si>
    <t>MEJORAMIENTO MIRADOR PLAYA RAQUEL</t>
  </si>
  <si>
    <t>HABILITACION PLAZUELA Y AREAS VERDES EN SECTOR PAZ BELEN</t>
  </si>
  <si>
    <t>CONSTRUCCION ACERAS SECTOR PAZ BELEN</t>
  </si>
  <si>
    <t>CONSTRUCCION MIRADORES CALLE VICENTE PEREZ ROSALES Y POBLACION BERNARDO O'HIGGINS</t>
  </si>
  <si>
    <t>HABILITACION CANCHA VOLEY PLAYA EN LAS CASCADAS</t>
  </si>
  <si>
    <t>CONSTRUCCION PISCINAS PUBLICAS PURRANQUE</t>
  </si>
  <si>
    <t xml:space="preserve">REPOSICION CABINAS PARADEROS TAXIS </t>
  </si>
  <si>
    <t>REPOSICION Y MANTENIMIENTO GARITAS CAMINERAS COMUNA DE PURRANQUE</t>
  </si>
  <si>
    <t>REPOSICION INFRAESTRUCTURA ACTIVIDADES TRADICIONALES COMUNA DE PURRANQUE</t>
  </si>
  <si>
    <t>CONSTRUCCION CENTRO COMUNITARIO EL ENCANTO</t>
  </si>
  <si>
    <t xml:space="preserve">MEJORAMIENTO ESCUELA ENTRE LAGOS </t>
  </si>
  <si>
    <t>AMPLIACION Y MEJORAMIENTO ESCUELA RURAL EL ENCANTO</t>
  </si>
  <si>
    <t>CONSTRUCCION BAÑOS, CAMARINES Y LOCALES TURISTICOS COSTANERA</t>
  </si>
  <si>
    <t>MEJORAMIENTO CENTRO CIVICO DE RIACHUELO</t>
  </si>
  <si>
    <t>MEJORAMIENTO ASOCIACIÓN DE RAYUELA RÍO NEGRO</t>
  </si>
  <si>
    <t>CONSTRUCCION PASEO PEATONAL CALLE SIMPSON</t>
  </si>
  <si>
    <t>MEJORAMIENTO PASEO PEATONAL PLAZA MAICOLPUE</t>
  </si>
  <si>
    <t>CONSTRUCCION ESCALERA Y ACCESO UNIVERSAL PLAZA MAICOLPUE</t>
  </si>
  <si>
    <t>CONSTRUCCION CENTRO COMUNITARIO Y ATENCION DE SALUD RUCAPIHUEN</t>
  </si>
  <si>
    <t>CONSTRUCCION PLAZA SOR TERESA DE LOS ANDES SAN PABLO</t>
  </si>
  <si>
    <t>CONSTRUCCION CENTRO COMUNITARIO TALLERES LABORALES SAN PABLO</t>
  </si>
  <si>
    <t>CONSTRUCCION COLECTORES, SEDIMENTADORA Y CAMARA DE REJAS CHAITEN SUR</t>
  </si>
  <si>
    <t>MEJORAMIENTO REDES ELECTRICAS DE DISTRIBUCION CHAITEN SUR</t>
  </si>
  <si>
    <t>CONSTRUCCION SEDE POLIFUNCIONAL DE RELDEHUE</t>
  </si>
  <si>
    <t>CONSTRUCCION OFICINA DE TURISMO Y REFUGIO DE VISITANTES DE CHAITEN</t>
  </si>
  <si>
    <t>CONSTRUCCION GARITAS SECTOR EL ESPOLON</t>
  </si>
  <si>
    <t>REPOSICION PLAZA VILLA EL BOSQUE</t>
  </si>
  <si>
    <t>MEJORAMIENTO PASARELA TURISTICA SECTOR LAS ESCALAS</t>
  </si>
  <si>
    <t xml:space="preserve">REPOSICION TECHUMBRE Y DEPENDENCIAS DE LA ESCUELA BASICA SECTOR EL LIMITE </t>
  </si>
  <si>
    <t>CONSTRUCCION PLAZA MIRADOR RECREATIVA PUNTILLA PICHICOLO</t>
  </si>
  <si>
    <t xml:space="preserve">HABILITACION DE ALUMBRADO PUBLICO VILLA PATAGONIA </t>
  </si>
  <si>
    <t>REPOSICION SENDERO TURISTICO LAGO CABRERA</t>
  </si>
  <si>
    <t xml:space="preserve">CONSTRUCCION ACERAS Y SOLERAS PICHICOLO </t>
  </si>
  <si>
    <t>CONSTRUCCION REFUGIOS PEATONALES HUALAIHUE</t>
  </si>
  <si>
    <t>MEJORAMIENTO INFRAESTRUCTURA PUBLICA DE PALENA</t>
  </si>
  <si>
    <t>CONSTRUCCION PLAZA VILLA LAS ROSAS</t>
  </si>
  <si>
    <t>CONSERVACION CAMINO NO ENROLADO EL TRANQUILO -EL TIGRE</t>
  </si>
  <si>
    <t>CONSTRUCCION CIRCUITO PEATONAL Y MIRADORES CERRO LA CRUZ</t>
  </si>
  <si>
    <t>MEJORAMIENTO PARADEROS Y PORTICOS TURISTICOS DE PALENA</t>
  </si>
  <si>
    <t>AGUA POTABLE</t>
  </si>
  <si>
    <t>SEGURIDAD</t>
  </si>
  <si>
    <t xml:space="preserve"> ENERO</t>
  </si>
  <si>
    <t xml:space="preserve"> FEBRERO</t>
  </si>
  <si>
    <t xml:space="preserve"> MARZO</t>
  </si>
  <si>
    <t>TOTAL COMUNA DE  RÍO NEGRO</t>
  </si>
  <si>
    <t>TOTAL COMUNA DE  PUERTO MONTT</t>
  </si>
  <si>
    <t>TOTAL COMUNA DE  PUERTO VARAS</t>
  </si>
  <si>
    <t>TOTAL COMUNA DE  CURACO DE VÉLEZ</t>
  </si>
  <si>
    <t>TOTAL COMUNA DE  PUQUELDÓN</t>
  </si>
  <si>
    <t>TOTAL COMUNA DE  QUELLÓN</t>
  </si>
  <si>
    <t>TOTAL COMUNA DE  CHAITÉN</t>
  </si>
  <si>
    <t>TOTAL COMUNA DE  FUTALEUFÚ</t>
  </si>
  <si>
    <t>TOTAL COMUNA DE  HUALAIHUÉ</t>
  </si>
  <si>
    <t>TOTAL FONDO REGIONAL DE INICIATIVAS LOCAL</t>
  </si>
  <si>
    <t>TRANSFERENCIA PARA ADQUISICIÓN MATERIAL MAYOR Y MENOR BOMBEROS REGION DE LOS LAG</t>
  </si>
  <si>
    <t>REPOSICION DE VEHICULOS MUNICPALES</t>
  </si>
  <si>
    <t>TRANSFERENCIA SUBSIDIO OPER. SISTEMA AUTOGENERACION SECTOR SOTOMO</t>
  </si>
  <si>
    <t>REPOSICON MAQUINARIA PARA LA COMUNA DE CHAITEN</t>
  </si>
  <si>
    <t>REPOSICION DE DOS CAMINOES TOLVA PARA LA I.MUNICIPALIDAD DE ANCUD</t>
  </si>
  <si>
    <t>ADQUISICION CAMION MULTIPROPOSITO EMERGIA PARA MUNICIPALIDAD DE DALCAHUE</t>
  </si>
  <si>
    <t>CONSERVACION CAMINOS RURALES INDIGENA PUYEHUE, RIO NEGRO, PURRANQUE(C33)</t>
  </si>
  <si>
    <t>HABILITACION SUMINISTRO DE ENERGIA ELECTRICA SECTOR AYACARA PENINSULA DE COMAU, COMUNA DE CHAITEN</t>
  </si>
  <si>
    <t>TRANSFERENCIA SUBSIDIO A LA OPERACION SIST. GENERACION AISLADO ISLA LIN LIN.</t>
  </si>
  <si>
    <t xml:space="preserve"> TRANSFERENCIA SUNSIDIO OP. SIST. DE GENERACION AISLADO I.TEUQUELIN.</t>
  </si>
  <si>
    <t>TRANSFERENCIA SUBSIDIO OPER. SIST. AUTOGENERACION ISLA CHAULLIN QUELLON</t>
  </si>
  <si>
    <t>EN EJECUCION CONS.</t>
  </si>
  <si>
    <t xml:space="preserve">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</si>
</sst>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_-* #,##0.00\ _€_-;\-* #,##0.00\ _€_-;_-* &quot;-&quot;??\ _€_-;_-@_-"/>
    <numFmt numFmtId="166" formatCode="[$$-340A]\ #,##0"/>
    <numFmt numFmtId="167" formatCode="_-* #,##0.00\ &quot;€&quot;_-;\-* #,##0.00\ &quot;€&quot;_-;_-* &quot;-&quot;??\ &quot;€&quot;_-;_-@_-"/>
    <numFmt numFmtId="168" formatCode="_-* #,##0.000_-;\-* #,##0.000_-;_-* &quot;-&quot;??_-;_-@_-"/>
    <numFmt numFmtId="171" formatCode="#,##0;[Red]#,##0"/>
    <numFmt numFmtId="172" formatCode="_-* #,##0_-;\-* #,##0_-;_-* &quot;-&quot;??_-;_-@_-"/>
  </numFmts>
  <fonts count="60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7.5"/>
      <color indexed="12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0"/>
      <name val="Arial Narrow"/>
      <family val="2"/>
    </font>
    <font>
      <b/>
      <sz val="20"/>
      <color theme="0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474747"/>
      <name val="Gobclregula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Swis721 Lt BT"/>
      <family val="2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</font>
    <font>
      <sz val="1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4B4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39">
    <xf numFmtId="0" fontId="0" fillId="0" borderId="0"/>
    <xf numFmtId="0" fontId="1" fillId="0" borderId="0" applyNumberFormat="0" applyFont="0" applyBorder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11" fillId="23" borderId="9" applyNumberFormat="0" applyAlignment="0" applyProtection="0"/>
    <xf numFmtId="0" fontId="12" fillId="24" borderId="10" applyNumberFormat="0" applyAlignment="0" applyProtection="0"/>
    <xf numFmtId="164" fontId="3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2" fillId="10" borderId="9" applyNumberFormat="0" applyAlignment="0" applyProtection="0"/>
    <xf numFmtId="0" fontId="23" fillId="0" borderId="14" applyNumberFormat="0" applyFill="0" applyAlignment="0" applyProtection="0"/>
    <xf numFmtId="43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3" fillId="0" borderId="0" applyFill="0" applyBorder="0" applyAlignment="0" applyProtection="0"/>
    <xf numFmtId="167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4" fillId="2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 applyNumberFormat="0" applyFont="0" applyBorder="0" applyProtection="0"/>
    <xf numFmtId="0" fontId="26" fillId="0" borderId="0" applyNumberFormat="0" applyFont="0" applyBorder="0" applyProtection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8" fillId="26" borderId="15" applyNumberFormat="0" applyFont="0" applyAlignment="0" applyProtection="0"/>
    <xf numFmtId="0" fontId="27" fillId="23" borderId="16" applyNumberFormat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/>
    <xf numFmtId="0" fontId="3" fillId="0" borderId="0"/>
    <xf numFmtId="0" fontId="32" fillId="0" borderId="0"/>
    <xf numFmtId="0" fontId="44" fillId="0" borderId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6" fillId="0" borderId="0"/>
    <xf numFmtId="0" fontId="47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8" fillId="0" borderId="0" applyFill="0" applyProtection="0"/>
    <xf numFmtId="0" fontId="53" fillId="0" borderId="0"/>
    <xf numFmtId="0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/>
    <xf numFmtId="9" fontId="53" fillId="0" borderId="0" applyFont="0" applyFill="0" applyBorder="0" applyAlignment="0" applyProtection="0"/>
    <xf numFmtId="0" fontId="59" fillId="0" borderId="0"/>
  </cellStyleXfs>
  <cellXfs count="326">
    <xf numFmtId="0" fontId="0" fillId="0" borderId="0" xfId="0"/>
    <xf numFmtId="3" fontId="0" fillId="0" borderId="0" xfId="0" applyNumberFormat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2" borderId="0" xfId="0" applyFill="1" applyBorder="1"/>
    <xf numFmtId="0" fontId="4" fillId="2" borderId="0" xfId="0" applyFont="1" applyFill="1" applyBorder="1"/>
    <xf numFmtId="0" fontId="0" fillId="0" borderId="1" xfId="0" applyFont="1" applyFill="1" applyBorder="1"/>
    <xf numFmtId="0" fontId="0" fillId="0" borderId="0" xfId="0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" xfId="0" applyFill="1" applyBorder="1" applyAlignment="1"/>
    <xf numFmtId="0" fontId="4" fillId="3" borderId="1" xfId="0" applyFont="1" applyFill="1" applyBorder="1" applyAlignment="1"/>
    <xf numFmtId="0" fontId="4" fillId="4" borderId="5" xfId="0" applyFont="1" applyFill="1" applyBorder="1" applyAlignment="1"/>
    <xf numFmtId="0" fontId="4" fillId="4" borderId="4" xfId="0" applyFont="1" applyFill="1" applyBorder="1" applyAlignment="1"/>
    <xf numFmtId="0" fontId="0" fillId="0" borderId="1" xfId="0" applyFont="1" applyFill="1" applyBorder="1" applyAlignment="1"/>
    <xf numFmtId="0" fontId="0" fillId="0" borderId="0" xfId="0" applyFill="1" applyAlignment="1"/>
    <xf numFmtId="0" fontId="0" fillId="0" borderId="0" xfId="0" applyAlignment="1"/>
    <xf numFmtId="3" fontId="0" fillId="2" borderId="0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4" fillId="4" borderId="5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2" borderId="0" xfId="0" applyNumberFormat="1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 wrapText="1"/>
    </xf>
    <xf numFmtId="3" fontId="4" fillId="2" borderId="0" xfId="0" applyNumberFormat="1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wrapText="1"/>
    </xf>
    <xf numFmtId="3" fontId="0" fillId="2" borderId="0" xfId="0" applyNumberFormat="1" applyFill="1" applyAlignment="1">
      <alignment horizontal="center" wrapText="1"/>
    </xf>
    <xf numFmtId="3" fontId="0" fillId="0" borderId="0" xfId="0" applyNumberFormat="1" applyFill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4" fillId="4" borderId="5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 wrapText="1"/>
    </xf>
    <xf numFmtId="0" fontId="34" fillId="27" borderId="1" xfId="0" applyFont="1" applyFill="1" applyBorder="1" applyAlignment="1"/>
    <xf numFmtId="3" fontId="34" fillId="27" borderId="1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35" fillId="29" borderId="1" xfId="0" applyFont="1" applyFill="1" applyBorder="1" applyAlignment="1"/>
    <xf numFmtId="0" fontId="34" fillId="28" borderId="1" xfId="0" applyFont="1" applyFill="1" applyBorder="1" applyAlignment="1"/>
    <xf numFmtId="3" fontId="34" fillId="28" borderId="1" xfId="0" applyNumberFormat="1" applyFont="1" applyFill="1" applyBorder="1" applyAlignment="1">
      <alignment horizontal="center"/>
    </xf>
    <xf numFmtId="0" fontId="37" fillId="29" borderId="7" xfId="0" applyFont="1" applyFill="1" applyBorder="1" applyAlignment="1"/>
    <xf numFmtId="0" fontId="37" fillId="29" borderId="1" xfId="0" applyFont="1" applyFill="1" applyBorder="1" applyAlignment="1"/>
    <xf numFmtId="0" fontId="0" fillId="0" borderId="0" xfId="0" pivotButton="1"/>
    <xf numFmtId="0" fontId="3" fillId="0" borderId="0" xfId="5"/>
    <xf numFmtId="3" fontId="3" fillId="0" borderId="0" xfId="5" applyNumberFormat="1"/>
    <xf numFmtId="9" fontId="3" fillId="0" borderId="0" xfId="116"/>
    <xf numFmtId="0" fontId="39" fillId="30" borderId="2" xfId="5" applyFont="1" applyFill="1" applyBorder="1"/>
    <xf numFmtId="3" fontId="39" fillId="30" borderId="20" xfId="5" applyNumberFormat="1" applyFont="1" applyFill="1" applyBorder="1" applyAlignment="1">
      <alignment horizontal="center"/>
    </xf>
    <xf numFmtId="9" fontId="39" fillId="30" borderId="21" xfId="116" applyFont="1" applyFill="1" applyBorder="1" applyAlignment="1">
      <alignment horizontal="center"/>
    </xf>
    <xf numFmtId="3" fontId="39" fillId="30" borderId="8" xfId="5" applyNumberFormat="1" applyFont="1" applyFill="1" applyBorder="1" applyAlignment="1">
      <alignment horizontal="center" wrapText="1"/>
    </xf>
    <xf numFmtId="3" fontId="39" fillId="31" borderId="20" xfId="5" applyNumberFormat="1" applyFont="1" applyFill="1" applyBorder="1" applyAlignment="1">
      <alignment horizontal="center" wrapText="1"/>
    </xf>
    <xf numFmtId="3" fontId="39" fillId="31" borderId="1" xfId="5" applyNumberFormat="1" applyFont="1" applyFill="1" applyBorder="1" applyAlignment="1">
      <alignment horizontal="center" wrapText="1"/>
    </xf>
    <xf numFmtId="3" fontId="39" fillId="30" borderId="1" xfId="5" applyNumberFormat="1" applyFont="1" applyFill="1" applyBorder="1" applyAlignment="1">
      <alignment horizontal="center" wrapText="1"/>
    </xf>
    <xf numFmtId="3" fontId="39" fillId="30" borderId="21" xfId="5" applyNumberFormat="1" applyFont="1" applyFill="1" applyBorder="1" applyAlignment="1">
      <alignment horizontal="center"/>
    </xf>
    <xf numFmtId="0" fontId="39" fillId="0" borderId="2" xfId="5" applyFont="1" applyFill="1" applyBorder="1"/>
    <xf numFmtId="3" fontId="3" fillId="0" borderId="20" xfId="5" applyNumberFormat="1" applyFill="1" applyBorder="1"/>
    <xf numFmtId="9" fontId="3" fillId="0" borderId="21" xfId="116" applyNumberFormat="1" applyFill="1" applyBorder="1"/>
    <xf numFmtId="3" fontId="3" fillId="0" borderId="8" xfId="5" applyNumberFormat="1" applyFill="1" applyBorder="1"/>
    <xf numFmtId="3" fontId="6" fillId="0" borderId="20" xfId="4" applyNumberFormat="1" applyFill="1" applyBorder="1"/>
    <xf numFmtId="3" fontId="3" fillId="0" borderId="1" xfId="5" applyNumberFormat="1" applyFill="1" applyBorder="1"/>
    <xf numFmtId="10" fontId="3" fillId="32" borderId="1" xfId="116" applyNumberFormat="1" applyFill="1" applyBorder="1" applyAlignment="1">
      <alignment wrapText="1"/>
    </xf>
    <xf numFmtId="3" fontId="3" fillId="32" borderId="1" xfId="5" applyNumberFormat="1" applyFill="1" applyBorder="1" applyAlignment="1">
      <alignment wrapText="1"/>
    </xf>
    <xf numFmtId="3" fontId="3" fillId="0" borderId="21" xfId="5" applyNumberFormat="1" applyFill="1" applyBorder="1"/>
    <xf numFmtId="3" fontId="40" fillId="0" borderId="0" xfId="5" applyNumberFormat="1" applyFont="1" applyFill="1"/>
    <xf numFmtId="3" fontId="3" fillId="0" borderId="0" xfId="5" applyNumberFormat="1" applyFill="1"/>
    <xf numFmtId="0" fontId="3" fillId="0" borderId="0" xfId="5" applyFill="1"/>
    <xf numFmtId="0" fontId="39" fillId="0" borderId="2" xfId="5" applyFont="1" applyBorder="1"/>
    <xf numFmtId="3" fontId="3" fillId="0" borderId="8" xfId="5" applyNumberFormat="1" applyBorder="1"/>
    <xf numFmtId="3" fontId="6" fillId="0" borderId="20" xfId="4" applyNumberFormat="1" applyBorder="1"/>
    <xf numFmtId="3" fontId="3" fillId="32" borderId="1" xfId="5" applyNumberFormat="1" applyFill="1" applyBorder="1"/>
    <xf numFmtId="3" fontId="3" fillId="0" borderId="21" xfId="5" applyNumberFormat="1" applyBorder="1"/>
    <xf numFmtId="3" fontId="39" fillId="0" borderId="0" xfId="5" applyNumberFormat="1" applyFont="1"/>
    <xf numFmtId="3" fontId="3" fillId="32" borderId="0" xfId="5" applyNumberFormat="1" applyFill="1" applyBorder="1"/>
    <xf numFmtId="3" fontId="39" fillId="30" borderId="22" xfId="5" applyNumberFormat="1" applyFont="1" applyFill="1" applyBorder="1"/>
    <xf numFmtId="9" fontId="39" fillId="30" borderId="24" xfId="116" applyFont="1" applyFill="1" applyBorder="1"/>
    <xf numFmtId="3" fontId="39" fillId="30" borderId="28" xfId="5" applyNumberFormat="1" applyFont="1" applyFill="1" applyBorder="1"/>
    <xf numFmtId="3" fontId="39" fillId="30" borderId="23" xfId="5" applyNumberFormat="1" applyFont="1" applyFill="1" applyBorder="1"/>
    <xf numFmtId="9" fontId="39" fillId="30" borderId="23" xfId="115" applyFont="1" applyFill="1" applyBorder="1"/>
    <xf numFmtId="3" fontId="39" fillId="30" borderId="24" xfId="5" applyNumberFormat="1" applyFont="1" applyFill="1" applyBorder="1"/>
    <xf numFmtId="3" fontId="39" fillId="0" borderId="0" xfId="5" applyNumberFormat="1" applyFont="1" applyFill="1" applyBorder="1"/>
    <xf numFmtId="3" fontId="3" fillId="0" borderId="0" xfId="5" applyNumberFormat="1" applyFill="1" applyBorder="1"/>
    <xf numFmtId="3" fontId="3" fillId="0" borderId="0" xfId="5" applyNumberFormat="1" applyFont="1" applyFill="1" applyBorder="1"/>
    <xf numFmtId="0" fontId="3" fillId="0" borderId="0" xfId="5" applyAlignment="1">
      <alignment wrapText="1"/>
    </xf>
    <xf numFmtId="0" fontId="39" fillId="31" borderId="2" xfId="5" applyFont="1" applyFill="1" applyBorder="1"/>
    <xf numFmtId="3" fontId="39" fillId="31" borderId="20" xfId="5" applyNumberFormat="1" applyFont="1" applyFill="1" applyBorder="1" applyAlignment="1">
      <alignment horizontal="center"/>
    </xf>
    <xf numFmtId="3" fontId="39" fillId="31" borderId="21" xfId="5" applyNumberFormat="1" applyFont="1" applyFill="1" applyBorder="1" applyAlignment="1">
      <alignment horizontal="center"/>
    </xf>
    <xf numFmtId="3" fontId="39" fillId="31" borderId="8" xfId="5" applyNumberFormat="1" applyFont="1" applyFill="1" applyBorder="1" applyAlignment="1">
      <alignment horizontal="center" wrapText="1"/>
    </xf>
    <xf numFmtId="3" fontId="39" fillId="30" borderId="20" xfId="5" applyNumberFormat="1" applyFont="1" applyFill="1" applyBorder="1" applyAlignment="1">
      <alignment horizontal="center" wrapText="1"/>
    </xf>
    <xf numFmtId="3" fontId="3" fillId="0" borderId="20" xfId="5" applyNumberFormat="1" applyBorder="1"/>
    <xf numFmtId="9" fontId="3" fillId="0" borderId="21" xfId="116" applyNumberFormat="1" applyBorder="1"/>
    <xf numFmtId="3" fontId="3" fillId="33" borderId="20" xfId="5" applyNumberFormat="1" applyFill="1" applyBorder="1"/>
    <xf numFmtId="3" fontId="3" fillId="33" borderId="1" xfId="5" applyNumberFormat="1" applyFill="1" applyBorder="1"/>
    <xf numFmtId="9" fontId="3" fillId="34" borderId="1" xfId="116" applyNumberFormat="1" applyFill="1" applyBorder="1" applyAlignment="1">
      <alignment horizontal="center" wrapText="1"/>
    </xf>
    <xf numFmtId="3" fontId="3" fillId="0" borderId="29" xfId="5" applyNumberFormat="1" applyBorder="1"/>
    <xf numFmtId="0" fontId="41" fillId="0" borderId="2" xfId="5" applyFont="1" applyFill="1" applyBorder="1"/>
    <xf numFmtId="9" fontId="3" fillId="33" borderId="1" xfId="116" applyNumberFormat="1" applyFill="1" applyBorder="1" applyAlignment="1">
      <alignment horizontal="center" wrapText="1"/>
    </xf>
    <xf numFmtId="9" fontId="39" fillId="30" borderId="24" xfId="116" applyNumberFormat="1" applyFont="1" applyFill="1" applyBorder="1"/>
    <xf numFmtId="3" fontId="39" fillId="30" borderId="30" xfId="5" applyNumberFormat="1" applyFont="1" applyFill="1" applyBorder="1"/>
    <xf numFmtId="9" fontId="39" fillId="30" borderId="23" xfId="2" applyFont="1" applyFill="1" applyBorder="1" applyAlignment="1">
      <alignment horizontal="center"/>
    </xf>
    <xf numFmtId="3" fontId="39" fillId="4" borderId="24" xfId="5" applyNumberFormat="1" applyFont="1" applyFill="1" applyBorder="1"/>
    <xf numFmtId="0" fontId="39" fillId="3" borderId="2" xfId="5" applyFont="1" applyFill="1" applyBorder="1" applyAlignment="1">
      <alignment horizontal="center"/>
    </xf>
    <xf numFmtId="3" fontId="39" fillId="3" borderId="20" xfId="5" applyNumberFormat="1" applyFont="1" applyFill="1" applyBorder="1" applyAlignment="1">
      <alignment horizontal="center"/>
    </xf>
    <xf numFmtId="3" fontId="39" fillId="3" borderId="21" xfId="5" applyNumberFormat="1" applyFont="1" applyFill="1" applyBorder="1" applyAlignment="1">
      <alignment horizontal="center"/>
    </xf>
    <xf numFmtId="3" fontId="39" fillId="3" borderId="8" xfId="5" applyNumberFormat="1" applyFont="1" applyFill="1" applyBorder="1" applyAlignment="1">
      <alignment horizontal="center" wrapText="1"/>
    </xf>
    <xf numFmtId="3" fontId="39" fillId="3" borderId="20" xfId="5" applyNumberFormat="1" applyFont="1" applyFill="1" applyBorder="1" applyAlignment="1">
      <alignment horizontal="center" wrapText="1"/>
    </xf>
    <xf numFmtId="3" fontId="39" fillId="35" borderId="1" xfId="5" applyNumberFormat="1" applyFont="1" applyFill="1" applyBorder="1" applyAlignment="1">
      <alignment horizontal="center" wrapText="1"/>
    </xf>
    <xf numFmtId="3" fontId="39" fillId="3" borderId="4" xfId="5" applyNumberFormat="1" applyFont="1" applyFill="1" applyBorder="1" applyAlignment="1">
      <alignment horizontal="center" wrapText="1"/>
    </xf>
    <xf numFmtId="3" fontId="39" fillId="3" borderId="1" xfId="5" applyNumberFormat="1" applyFont="1" applyFill="1" applyBorder="1" applyAlignment="1">
      <alignment horizontal="center" wrapText="1"/>
    </xf>
    <xf numFmtId="0" fontId="39" fillId="3" borderId="21" xfId="5" applyFont="1" applyFill="1" applyBorder="1" applyAlignment="1">
      <alignment horizontal="center" wrapText="1"/>
    </xf>
    <xf numFmtId="3" fontId="3" fillId="0" borderId="8" xfId="5" applyNumberFormat="1" applyBorder="1" applyAlignment="1">
      <alignment wrapText="1"/>
    </xf>
    <xf numFmtId="3" fontId="3" fillId="34" borderId="20" xfId="5" applyNumberFormat="1" applyFill="1" applyBorder="1"/>
    <xf numFmtId="3" fontId="6" fillId="0" borderId="1" xfId="4" applyNumberFormat="1" applyBorder="1"/>
    <xf numFmtId="3" fontId="3" fillId="34" borderId="1" xfId="5" applyNumberFormat="1" applyFill="1" applyBorder="1"/>
    <xf numFmtId="10" fontId="39" fillId="2" borderId="1" xfId="116" applyNumberFormat="1" applyFont="1" applyFill="1" applyBorder="1" applyAlignment="1">
      <alignment horizontal="center" wrapText="1"/>
    </xf>
    <xf numFmtId="0" fontId="39" fillId="0" borderId="6" xfId="5" applyFont="1" applyFill="1" applyBorder="1"/>
    <xf numFmtId="0" fontId="42" fillId="0" borderId="1" xfId="5" applyFont="1" applyFill="1" applyBorder="1" applyAlignment="1">
      <alignment vertical="center" wrapText="1"/>
    </xf>
    <xf numFmtId="3" fontId="33" fillId="36" borderId="1" xfId="5" applyNumberFormat="1" applyFont="1" applyFill="1" applyBorder="1" applyAlignment="1">
      <alignment horizontal="center" vertical="center" wrapText="1"/>
    </xf>
    <xf numFmtId="0" fontId="33" fillId="36" borderId="2" xfId="5" applyFont="1" applyFill="1" applyBorder="1" applyAlignment="1">
      <alignment horizontal="center" vertical="center" wrapText="1"/>
    </xf>
    <xf numFmtId="0" fontId="31" fillId="0" borderId="0" xfId="5" applyFont="1" applyBorder="1"/>
    <xf numFmtId="0" fontId="33" fillId="36" borderId="1" xfId="5" applyFont="1" applyFill="1" applyBorder="1"/>
    <xf numFmtId="3" fontId="3" fillId="0" borderId="1" xfId="5" applyNumberFormat="1" applyBorder="1" applyAlignment="1">
      <alignment vertical="center"/>
    </xf>
    <xf numFmtId="10" fontId="3" fillId="0" borderId="1" xfId="116" applyNumberFormat="1" applyBorder="1" applyAlignment="1">
      <alignment vertical="center" wrapText="1"/>
    </xf>
    <xf numFmtId="3" fontId="31" fillId="0" borderId="0" xfId="116" applyNumberFormat="1" applyFont="1" applyBorder="1" applyAlignment="1">
      <alignment horizontal="center" vertical="center" wrapText="1"/>
    </xf>
    <xf numFmtId="10" fontId="31" fillId="0" borderId="0" xfId="116" applyNumberFormat="1" applyFont="1" applyBorder="1" applyAlignment="1">
      <alignment horizontal="center" vertical="center" wrapText="1"/>
    </xf>
    <xf numFmtId="9" fontId="31" fillId="0" borderId="0" xfId="5" applyNumberFormat="1" applyFont="1" applyBorder="1"/>
    <xf numFmtId="3" fontId="3" fillId="0" borderId="0" xfId="2" applyNumberFormat="1" applyFont="1"/>
    <xf numFmtId="9" fontId="3" fillId="0" borderId="0" xfId="2" applyFont="1"/>
    <xf numFmtId="3" fontId="3" fillId="0" borderId="0" xfId="115" applyNumberFormat="1" applyFont="1"/>
    <xf numFmtId="9" fontId="3" fillId="0" borderId="0" xfId="116" applyNumberFormat="1"/>
    <xf numFmtId="3" fontId="31" fillId="0" borderId="0" xfId="115" applyNumberFormat="1" applyFont="1" applyBorder="1"/>
    <xf numFmtId="3" fontId="43" fillId="0" borderId="31" xfId="4" applyNumberFormat="1" applyFont="1" applyFill="1" applyBorder="1" applyAlignment="1">
      <alignment horizontal="right" wrapText="1" readingOrder="1"/>
    </xf>
    <xf numFmtId="10" fontId="43" fillId="0" borderId="32" xfId="4" applyNumberFormat="1" applyFont="1" applyFill="1" applyBorder="1" applyAlignment="1">
      <alignment horizontal="center" wrapText="1" readingOrder="1"/>
    </xf>
    <xf numFmtId="168" fontId="31" fillId="0" borderId="0" xfId="56" applyNumberFormat="1" applyFont="1" applyBorder="1"/>
    <xf numFmtId="43" fontId="31" fillId="0" borderId="0" xfId="56" applyFont="1" applyBorder="1"/>
    <xf numFmtId="3" fontId="3" fillId="0" borderId="0" xfId="5" applyNumberFormat="1" applyBorder="1"/>
    <xf numFmtId="9" fontId="3" fillId="0" borderId="0" xfId="5" applyNumberFormat="1" applyBorder="1"/>
    <xf numFmtId="0" fontId="3" fillId="0" borderId="0" xfId="5" applyBorder="1"/>
    <xf numFmtId="3" fontId="3" fillId="0" borderId="1" xfId="5" applyNumberFormat="1" applyBorder="1"/>
    <xf numFmtId="3" fontId="31" fillId="0" borderId="0" xfId="5" applyNumberFormat="1" applyFont="1" applyBorder="1"/>
    <xf numFmtId="3" fontId="3" fillId="0" borderId="0" xfId="115" applyNumberFormat="1" applyFont="1" applyBorder="1" applyAlignment="1">
      <alignment wrapText="1"/>
    </xf>
    <xf numFmtId="9" fontId="31" fillId="0" borderId="0" xfId="115" applyFont="1" applyBorder="1"/>
    <xf numFmtId="10" fontId="3" fillId="0" borderId="0" xfId="115" applyNumberFormat="1" applyFont="1"/>
    <xf numFmtId="0" fontId="39" fillId="0" borderId="0" xfId="5" applyFont="1" applyFill="1" applyBorder="1"/>
    <xf numFmtId="0" fontId="3" fillId="0" borderId="0" xfId="5" applyFont="1"/>
    <xf numFmtId="0" fontId="3" fillId="0" borderId="0" xfId="5" applyFont="1" applyBorder="1" applyAlignment="1">
      <alignment horizontal="center"/>
    </xf>
    <xf numFmtId="0" fontId="39" fillId="30" borderId="1" xfId="5" applyFont="1" applyFill="1" applyBorder="1" applyAlignment="1">
      <alignment horizontal="center" vertical="center" wrapText="1"/>
    </xf>
    <xf numFmtId="0" fontId="39" fillId="30" borderId="1" xfId="5" applyFont="1" applyFill="1" applyBorder="1"/>
    <xf numFmtId="3" fontId="3" fillId="0" borderId="1" xfId="5" applyNumberFormat="1" applyFont="1" applyBorder="1"/>
    <xf numFmtId="3" fontId="39" fillId="0" borderId="1" xfId="5" applyNumberFormat="1" applyFont="1" applyBorder="1"/>
    <xf numFmtId="3" fontId="3" fillId="0" borderId="0" xfId="5" applyNumberFormat="1" applyFont="1"/>
    <xf numFmtId="10" fontId="3" fillId="0" borderId="0" xfId="2" applyNumberFormat="1" applyFont="1" applyBorder="1"/>
    <xf numFmtId="9" fontId="3" fillId="0" borderId="0" xfId="2" applyFont="1" applyBorder="1"/>
    <xf numFmtId="10" fontId="3" fillId="0" borderId="0" xfId="115" applyNumberFormat="1" applyFont="1" applyFill="1"/>
    <xf numFmtId="10" fontId="3" fillId="0" borderId="0" xfId="2" applyNumberFormat="1" applyFont="1"/>
    <xf numFmtId="3" fontId="36" fillId="37" borderId="1" xfId="0" applyNumberFormat="1" applyFont="1" applyFill="1" applyBorder="1" applyAlignment="1">
      <alignment horizontal="center" vertical="center"/>
    </xf>
    <xf numFmtId="3" fontId="36" fillId="37" borderId="1" xfId="0" applyNumberFormat="1" applyFont="1" applyFill="1" applyBorder="1" applyAlignment="1">
      <alignment horizontal="center" vertical="center" wrapText="1"/>
    </xf>
    <xf numFmtId="0" fontId="36" fillId="37" borderId="1" xfId="0" applyFont="1" applyFill="1" applyBorder="1" applyAlignment="1">
      <alignment horizontal="center" vertical="center"/>
    </xf>
    <xf numFmtId="0" fontId="36" fillId="37" borderId="1" xfId="0" applyNumberFormat="1" applyFont="1" applyFill="1" applyBorder="1" applyAlignment="1">
      <alignment horizontal="center" vertical="center" wrapText="1"/>
    </xf>
    <xf numFmtId="0" fontId="36" fillId="37" borderId="1" xfId="0" applyFont="1" applyFill="1" applyBorder="1" applyAlignment="1">
      <alignment horizontal="center" vertical="center" wrapText="1"/>
    </xf>
    <xf numFmtId="0" fontId="3" fillId="0" borderId="0" xfId="5" applyFill="1" applyAlignment="1">
      <alignment wrapText="1"/>
    </xf>
    <xf numFmtId="3" fontId="0" fillId="0" borderId="5" xfId="0" applyNumberFormat="1" applyFill="1" applyBorder="1" applyAlignment="1">
      <alignment horizontal="center" wrapText="1"/>
    </xf>
    <xf numFmtId="0" fontId="0" fillId="39" borderId="0" xfId="0" applyFill="1"/>
    <xf numFmtId="0" fontId="4" fillId="39" borderId="0" xfId="0" applyFont="1" applyFill="1"/>
    <xf numFmtId="3" fontId="0" fillId="0" borderId="1" xfId="0" applyNumberFormat="1" applyBorder="1"/>
    <xf numFmtId="0" fontId="0" fillId="42" borderId="0" xfId="0" applyFill="1"/>
    <xf numFmtId="10" fontId="3" fillId="0" borderId="1" xfId="2" applyNumberFormat="1" applyFont="1" applyBorder="1" applyAlignment="1">
      <alignment vertical="center" wrapText="1"/>
    </xf>
    <xf numFmtId="0" fontId="0" fillId="40" borderId="0" xfId="0" applyFill="1"/>
    <xf numFmtId="3" fontId="4" fillId="43" borderId="1" xfId="0" applyNumberFormat="1" applyFont="1" applyFill="1" applyBorder="1" applyAlignment="1">
      <alignment horizontal="center"/>
    </xf>
    <xf numFmtId="0" fontId="4" fillId="41" borderId="0" xfId="0" applyFont="1" applyFill="1"/>
    <xf numFmtId="0" fontId="0" fillId="41" borderId="0" xfId="0" applyFill="1"/>
    <xf numFmtId="0" fontId="0" fillId="41" borderId="0" xfId="0" applyFill="1" applyBorder="1"/>
    <xf numFmtId="3" fontId="5" fillId="3" borderId="1" xfId="0" applyNumberFormat="1" applyFont="1" applyFill="1" applyBorder="1" applyAlignment="1">
      <alignment horizontal="center"/>
    </xf>
    <xf numFmtId="3" fontId="4" fillId="0" borderId="0" xfId="0" applyNumberFormat="1" applyFont="1"/>
    <xf numFmtId="3" fontId="0" fillId="0" borderId="0" xfId="0" applyNumberFormat="1" applyFill="1"/>
    <xf numFmtId="0" fontId="0" fillId="38" borderId="1" xfId="0" applyFill="1" applyBorder="1" applyAlignment="1">
      <alignment horizontal="left"/>
    </xf>
    <xf numFmtId="0" fontId="0" fillId="44" borderId="1" xfId="0" applyFill="1" applyBorder="1" applyAlignment="1">
      <alignment horizontal="left"/>
    </xf>
    <xf numFmtId="0" fontId="48" fillId="4" borderId="1" xfId="0" applyFont="1" applyFill="1" applyBorder="1" applyAlignment="1"/>
    <xf numFmtId="3" fontId="0" fillId="0" borderId="0" xfId="0" applyNumberFormat="1" applyFill="1" applyBorder="1"/>
    <xf numFmtId="9" fontId="0" fillId="0" borderId="0" xfId="2" applyFont="1"/>
    <xf numFmtId="0" fontId="0" fillId="0" borderId="1" xfId="0" applyBorder="1" applyAlignment="1">
      <alignment horizontal="left"/>
    </xf>
    <xf numFmtId="0" fontId="4" fillId="0" borderId="1" xfId="0" pivotButton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49" fillId="0" borderId="1" xfId="2" applyNumberFormat="1" applyFont="1" applyFill="1" applyBorder="1"/>
    <xf numFmtId="3" fontId="0" fillId="40" borderId="0" xfId="0" applyNumberFormat="1" applyFill="1"/>
    <xf numFmtId="9" fontId="0" fillId="0" borderId="1" xfId="2" applyNumberFormat="1" applyFont="1" applyBorder="1"/>
    <xf numFmtId="3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51" fillId="0" borderId="0" xfId="0" applyFont="1" applyFill="1" applyAlignment="1">
      <alignment wrapText="1"/>
    </xf>
    <xf numFmtId="0" fontId="51" fillId="0" borderId="0" xfId="0" applyFont="1" applyAlignment="1">
      <alignment wrapText="1"/>
    </xf>
    <xf numFmtId="172" fontId="52" fillId="0" borderId="0" xfId="130" applyNumberFormat="1" applyFont="1" applyFill="1" applyBorder="1" applyAlignment="1">
      <alignment vertical="center" wrapText="1"/>
    </xf>
    <xf numFmtId="0" fontId="51" fillId="0" borderId="0" xfId="0" applyFont="1" applyFill="1" applyBorder="1" applyAlignment="1">
      <alignment wrapText="1"/>
    </xf>
    <xf numFmtId="0" fontId="52" fillId="0" borderId="0" xfId="132" applyFont="1" applyFill="1" applyBorder="1" applyAlignment="1">
      <alignment vertical="center" wrapText="1"/>
    </xf>
    <xf numFmtId="3" fontId="51" fillId="0" borderId="0" xfId="0" applyNumberFormat="1" applyFont="1" applyAlignment="1">
      <alignment wrapText="1"/>
    </xf>
    <xf numFmtId="0" fontId="49" fillId="0" borderId="0" xfId="0" applyFont="1" applyFill="1" applyAlignment="1">
      <alignment wrapText="1"/>
    </xf>
    <xf numFmtId="3" fontId="49" fillId="0" borderId="0" xfId="132" applyNumberFormat="1" applyFont="1" applyFill="1" applyBorder="1" applyAlignment="1">
      <alignment horizontal="right" vertical="center" wrapText="1"/>
    </xf>
    <xf numFmtId="0" fontId="49" fillId="0" borderId="1" xfId="0" applyFont="1" applyFill="1" applyBorder="1" applyAlignment="1">
      <alignment wrapText="1"/>
    </xf>
    <xf numFmtId="0" fontId="49" fillId="0" borderId="0" xfId="0" applyFont="1" applyFill="1" applyAlignment="1" applyProtection="1">
      <alignment wrapText="1"/>
      <protection locked="0"/>
    </xf>
    <xf numFmtId="0" fontId="49" fillId="0" borderId="1" xfId="0" applyFont="1" applyFill="1" applyBorder="1" applyAlignment="1" applyProtection="1">
      <alignment wrapText="1"/>
      <protection locked="0"/>
    </xf>
    <xf numFmtId="0" fontId="49" fillId="0" borderId="0" xfId="132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51" fillId="0" borderId="0" xfId="0" applyFont="1" applyAlignment="1">
      <alignment horizontal="center" wrapText="1"/>
    </xf>
    <xf numFmtId="0" fontId="51" fillId="0" borderId="0" xfId="0" applyFont="1" applyBorder="1" applyAlignment="1">
      <alignment wrapText="1"/>
    </xf>
    <xf numFmtId="0" fontId="51" fillId="0" borderId="0" xfId="0" applyFont="1" applyFill="1" applyBorder="1" applyAlignment="1">
      <alignment horizontal="left" wrapText="1"/>
    </xf>
    <xf numFmtId="0" fontId="51" fillId="0" borderId="0" xfId="0" applyFont="1" applyFill="1" applyBorder="1" applyAlignment="1">
      <alignment horizontal="center" wrapText="1"/>
    </xf>
    <xf numFmtId="0" fontId="51" fillId="2" borderId="0" xfId="0" applyFont="1" applyFill="1" applyAlignment="1">
      <alignment horizontal="center" wrapText="1"/>
    </xf>
    <xf numFmtId="0" fontId="45" fillId="0" borderId="0" xfId="0" applyFont="1" applyAlignment="1">
      <alignment horizontal="center" vertical="center" wrapText="1"/>
    </xf>
    <xf numFmtId="0" fontId="45" fillId="37" borderId="4" xfId="0" applyFont="1" applyFill="1" applyBorder="1" applyAlignment="1">
      <alignment horizontal="center" vertical="center"/>
    </xf>
    <xf numFmtId="3" fontId="45" fillId="37" borderId="4" xfId="0" applyNumberFormat="1" applyFont="1" applyFill="1" applyBorder="1" applyAlignment="1">
      <alignment horizontal="center" vertical="center" wrapText="1"/>
    </xf>
    <xf numFmtId="0" fontId="49" fillId="0" borderId="1" xfId="132" applyFont="1" applyFill="1" applyBorder="1" applyAlignment="1">
      <alignment horizontal="left" vertical="center" wrapText="1"/>
    </xf>
    <xf numFmtId="0" fontId="49" fillId="0" borderId="1" xfId="132" applyFont="1" applyFill="1" applyBorder="1" applyAlignment="1">
      <alignment horizontal="center" vertical="center" wrapText="1"/>
    </xf>
    <xf numFmtId="3" fontId="49" fillId="0" borderId="1" xfId="132" applyNumberFormat="1" applyFont="1" applyFill="1" applyBorder="1" applyAlignment="1">
      <alignment horizontal="right" vertical="center" wrapText="1"/>
    </xf>
    <xf numFmtId="172" fontId="49" fillId="0" borderId="1" xfId="130" applyNumberFormat="1" applyFont="1" applyFill="1" applyBorder="1" applyAlignment="1">
      <alignment horizontal="right" vertical="center" wrapText="1"/>
    </xf>
    <xf numFmtId="3" fontId="49" fillId="0" borderId="1" xfId="130" applyNumberFormat="1" applyFont="1" applyFill="1" applyBorder="1" applyAlignment="1">
      <alignment horizontal="right" vertical="center" wrapText="1"/>
    </xf>
    <xf numFmtId="0" fontId="49" fillId="0" borderId="1" xfId="132" applyFont="1" applyFill="1" applyBorder="1" applyAlignment="1">
      <alignment wrapText="1"/>
    </xf>
    <xf numFmtId="0" fontId="49" fillId="0" borderId="1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left" vertical="center" wrapText="1"/>
    </xf>
    <xf numFmtId="0" fontId="49" fillId="0" borderId="1" xfId="0" applyFont="1" applyFill="1" applyBorder="1" applyAlignment="1">
      <alignment vertical="center" wrapText="1"/>
    </xf>
    <xf numFmtId="0" fontId="49" fillId="0" borderId="1" xfId="132" applyFont="1" applyFill="1" applyBorder="1" applyAlignment="1" applyProtection="1">
      <alignment horizontal="left" vertical="center" wrapText="1"/>
      <protection locked="0"/>
    </xf>
    <xf numFmtId="3" fontId="49" fillId="0" borderId="1" xfId="132" applyNumberFormat="1" applyFont="1" applyFill="1" applyBorder="1" applyAlignment="1" applyProtection="1">
      <alignment horizontal="right" vertical="center" wrapText="1"/>
      <protection locked="0"/>
    </xf>
    <xf numFmtId="0" fontId="49" fillId="0" borderId="1" xfId="0" applyFont="1" applyFill="1" applyBorder="1" applyAlignment="1" applyProtection="1">
      <alignment horizontal="left" vertical="center" wrapText="1"/>
      <protection locked="0"/>
    </xf>
    <xf numFmtId="0" fontId="49" fillId="0" borderId="1" xfId="0" applyFont="1" applyFill="1" applyBorder="1" applyAlignment="1" applyProtection="1">
      <alignment vertical="center" wrapText="1"/>
      <protection locked="0"/>
    </xf>
    <xf numFmtId="3" fontId="49" fillId="0" borderId="1" xfId="130" applyNumberFormat="1" applyFont="1" applyFill="1" applyBorder="1" applyAlignment="1" applyProtection="1">
      <alignment horizontal="right" vertical="center" wrapText="1"/>
      <protection locked="0"/>
    </xf>
    <xf numFmtId="3" fontId="49" fillId="0" borderId="1" xfId="134" applyNumberFormat="1" applyFont="1" applyFill="1" applyBorder="1" applyAlignment="1">
      <alignment horizontal="right" vertical="center" wrapText="1"/>
    </xf>
    <xf numFmtId="3" fontId="49" fillId="0" borderId="1" xfId="0" applyNumberFormat="1" applyFont="1" applyFill="1" applyBorder="1" applyAlignment="1">
      <alignment wrapText="1"/>
    </xf>
    <xf numFmtId="0" fontId="49" fillId="0" borderId="1" xfId="130" applyNumberFormat="1" applyFont="1" applyFill="1" applyBorder="1" applyAlignment="1">
      <alignment horizontal="right" vertical="center" wrapText="1"/>
    </xf>
    <xf numFmtId="3" fontId="49" fillId="0" borderId="0" xfId="0" applyNumberFormat="1" applyFont="1" applyFill="1" applyBorder="1" applyAlignment="1">
      <alignment wrapText="1"/>
    </xf>
    <xf numFmtId="0" fontId="49" fillId="0" borderId="0" xfId="0" applyFont="1" applyFill="1" applyBorder="1" applyAlignment="1">
      <alignment wrapText="1"/>
    </xf>
    <xf numFmtId="0" fontId="49" fillId="0" borderId="0" xfId="132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vertical="center" wrapText="1"/>
    </xf>
    <xf numFmtId="0" fontId="51" fillId="0" borderId="0" xfId="0" applyFont="1" applyAlignment="1">
      <alignment horizontal="right" vertical="top" wrapText="1"/>
    </xf>
    <xf numFmtId="3" fontId="51" fillId="0" borderId="0" xfId="130" applyNumberFormat="1" applyFont="1" applyAlignment="1">
      <alignment horizontal="right" vertical="top" wrapText="1"/>
    </xf>
    <xf numFmtId="41" fontId="49" fillId="0" borderId="1" xfId="131" applyFont="1" applyFill="1" applyBorder="1" applyAlignment="1" applyProtection="1">
      <alignment horizontal="right" vertical="top" wrapText="1"/>
      <protection locked="0"/>
    </xf>
    <xf numFmtId="41" fontId="49" fillId="0" borderId="1" xfId="131" applyFont="1" applyFill="1" applyBorder="1" applyAlignment="1">
      <alignment horizontal="right" vertical="top" wrapText="1"/>
    </xf>
    <xf numFmtId="3" fontId="52" fillId="0" borderId="0" xfId="0" applyNumberFormat="1" applyFont="1" applyFill="1" applyAlignment="1">
      <alignment horizontal="right" wrapText="1"/>
    </xf>
    <xf numFmtId="41" fontId="49" fillId="0" borderId="0" xfId="131" applyFont="1" applyFill="1" applyBorder="1" applyAlignment="1">
      <alignment horizontal="right" vertical="top" wrapText="1"/>
    </xf>
    <xf numFmtId="0" fontId="54" fillId="0" borderId="0" xfId="132" applyFont="1" applyFill="1" applyBorder="1" applyAlignment="1">
      <alignment horizontal="left" vertical="center" wrapText="1"/>
    </xf>
    <xf numFmtId="0" fontId="54" fillId="4" borderId="1" xfId="0" applyFont="1" applyFill="1" applyBorder="1" applyAlignment="1" applyProtection="1">
      <alignment vertical="center" wrapText="1"/>
      <protection locked="0"/>
    </xf>
    <xf numFmtId="3" fontId="54" fillId="4" borderId="1" xfId="132" applyNumberFormat="1" applyFont="1" applyFill="1" applyBorder="1" applyAlignment="1">
      <alignment horizontal="right" vertical="center" wrapText="1"/>
    </xf>
    <xf numFmtId="0" fontId="54" fillId="2" borderId="0" xfId="0" applyFont="1" applyFill="1" applyBorder="1" applyAlignment="1">
      <alignment wrapText="1"/>
    </xf>
    <xf numFmtId="0" fontId="54" fillId="4" borderId="1" xfId="0" applyFont="1" applyFill="1" applyBorder="1" applyAlignment="1">
      <alignment vertical="center" wrapText="1"/>
    </xf>
    <xf numFmtId="3" fontId="49" fillId="2" borderId="0" xfId="0" applyNumberFormat="1" applyFont="1" applyFill="1" applyBorder="1" applyAlignment="1">
      <alignment wrapText="1"/>
    </xf>
    <xf numFmtId="0" fontId="49" fillId="2" borderId="0" xfId="0" applyFont="1" applyFill="1" applyBorder="1" applyAlignment="1">
      <alignment wrapText="1"/>
    </xf>
    <xf numFmtId="0" fontId="49" fillId="2" borderId="0" xfId="132" applyFont="1" applyFill="1" applyBorder="1" applyAlignment="1" applyProtection="1">
      <alignment horizontal="left" vertical="center" wrapText="1"/>
      <protection locked="0"/>
    </xf>
    <xf numFmtId="0" fontId="54" fillId="2" borderId="0" xfId="132" applyFont="1" applyFill="1" applyBorder="1" applyAlignment="1" applyProtection="1">
      <alignment horizontal="left" vertical="center" wrapText="1"/>
      <protection locked="0"/>
    </xf>
    <xf numFmtId="0" fontId="49" fillId="2" borderId="0" xfId="132" applyFont="1" applyFill="1" applyBorder="1" applyAlignment="1">
      <alignment horizontal="center" vertical="center" wrapText="1"/>
    </xf>
    <xf numFmtId="0" fontId="49" fillId="2" borderId="0" xfId="132" applyFont="1" applyFill="1" applyBorder="1" applyAlignment="1">
      <alignment horizontal="left" vertical="center" wrapText="1"/>
    </xf>
    <xf numFmtId="0" fontId="54" fillId="2" borderId="0" xfId="132" applyFont="1" applyFill="1" applyBorder="1" applyAlignment="1">
      <alignment horizontal="left" vertical="center" wrapText="1"/>
    </xf>
    <xf numFmtId="0" fontId="49" fillId="2" borderId="0" xfId="0" applyFont="1" applyFill="1" applyBorder="1" applyAlignment="1">
      <alignment horizontal="center" vertical="center" wrapText="1"/>
    </xf>
    <xf numFmtId="0" fontId="49" fillId="2" borderId="0" xfId="0" applyFont="1" applyFill="1" applyBorder="1" applyAlignment="1" applyProtection="1">
      <alignment wrapText="1"/>
      <protection locked="0"/>
    </xf>
    <xf numFmtId="0" fontId="45" fillId="2" borderId="0" xfId="132" applyNumberFormat="1" applyFont="1" applyFill="1" applyBorder="1" applyAlignment="1">
      <alignment horizontal="center" vertical="center" wrapText="1"/>
    </xf>
    <xf numFmtId="3" fontId="45" fillId="2" borderId="0" xfId="132" applyNumberFormat="1" applyFont="1" applyFill="1" applyBorder="1" applyAlignment="1">
      <alignment horizontal="center" vertical="center" wrapText="1"/>
    </xf>
    <xf numFmtId="0" fontId="45" fillId="2" borderId="0" xfId="0" applyFont="1" applyFill="1" applyAlignment="1">
      <alignment horizontal="center" vertical="center" wrapText="1"/>
    </xf>
    <xf numFmtId="0" fontId="45" fillId="2" borderId="0" xfId="0" applyFont="1" applyFill="1" applyBorder="1" applyAlignment="1">
      <alignment horizontal="center" vertical="center"/>
    </xf>
    <xf numFmtId="0" fontId="54" fillId="43" borderId="1" xfId="0" applyFont="1" applyFill="1" applyBorder="1" applyAlignment="1" applyProtection="1">
      <alignment vertical="center" wrapText="1"/>
      <protection locked="0"/>
    </xf>
    <xf numFmtId="3" fontId="54" fillId="43" borderId="1" xfId="132" applyNumberFormat="1" applyFont="1" applyFill="1" applyBorder="1" applyAlignment="1">
      <alignment horizontal="right" vertical="center" wrapText="1"/>
    </xf>
    <xf numFmtId="0" fontId="54" fillId="2" borderId="0" xfId="0" applyFont="1" applyFill="1" applyBorder="1" applyAlignment="1" applyProtection="1">
      <alignment vertical="center" wrapText="1"/>
      <protection locked="0"/>
    </xf>
    <xf numFmtId="3" fontId="54" fillId="2" borderId="0" xfId="132" applyNumberFormat="1" applyFont="1" applyFill="1" applyBorder="1" applyAlignment="1">
      <alignment horizontal="right" vertical="center" wrapText="1"/>
    </xf>
    <xf numFmtId="3" fontId="45" fillId="2" borderId="0" xfId="0" applyNumberFormat="1" applyFont="1" applyFill="1" applyBorder="1" applyAlignment="1">
      <alignment horizontal="center" vertical="center" wrapText="1"/>
    </xf>
    <xf numFmtId="0" fontId="57" fillId="29" borderId="4" xfId="0" applyFont="1" applyFill="1" applyBorder="1" applyAlignment="1"/>
    <xf numFmtId="0" fontId="54" fillId="43" borderId="1" xfId="0" applyFont="1" applyFill="1" applyBorder="1" applyAlignment="1">
      <alignment vertical="center" wrapText="1"/>
    </xf>
    <xf numFmtId="0" fontId="57" fillId="29" borderId="7" xfId="0" applyFont="1" applyFill="1" applyBorder="1" applyAlignment="1"/>
    <xf numFmtId="0" fontId="49" fillId="0" borderId="1" xfId="130" applyNumberFormat="1" applyFont="1" applyFill="1" applyBorder="1" applyAlignment="1" applyProtection="1">
      <alignment horizontal="right" vertical="center" wrapText="1"/>
      <protection locked="0"/>
    </xf>
    <xf numFmtId="9" fontId="3" fillId="34" borderId="3" xfId="116" applyNumberFormat="1" applyFill="1" applyBorder="1" applyAlignment="1">
      <alignment horizontal="center" wrapText="1"/>
    </xf>
    <xf numFmtId="171" fontId="3" fillId="0" borderId="21" xfId="5" applyNumberFormat="1" applyBorder="1"/>
    <xf numFmtId="3" fontId="39" fillId="3" borderId="22" xfId="5" applyNumberFormat="1" applyFont="1" applyFill="1" applyBorder="1" applyAlignment="1">
      <alignment horizontal="center"/>
    </xf>
    <xf numFmtId="9" fontId="39" fillId="3" borderId="24" xfId="116" applyNumberFormat="1" applyFont="1" applyFill="1" applyBorder="1" applyAlignment="1">
      <alignment horizontal="center"/>
    </xf>
    <xf numFmtId="3" fontId="58" fillId="3" borderId="23" xfId="4" applyNumberFormat="1" applyFont="1" applyFill="1" applyBorder="1" applyAlignment="1">
      <alignment horizontal="center"/>
    </xf>
    <xf numFmtId="3" fontId="39" fillId="3" borderId="23" xfId="5" applyNumberFormat="1" applyFont="1" applyFill="1" applyBorder="1" applyAlignment="1">
      <alignment horizontal="center"/>
    </xf>
    <xf numFmtId="10" fontId="39" fillId="3" borderId="23" xfId="116" applyNumberFormat="1" applyFont="1" applyFill="1" applyBorder="1" applyAlignment="1">
      <alignment horizontal="center" wrapText="1"/>
    </xf>
    <xf numFmtId="9" fontId="39" fillId="3" borderId="23" xfId="116" applyNumberFormat="1" applyFont="1" applyFill="1" applyBorder="1" applyAlignment="1">
      <alignment horizontal="center" wrapText="1"/>
    </xf>
    <xf numFmtId="3" fontId="39" fillId="3" borderId="24" xfId="5" applyNumberFormat="1" applyFont="1" applyFill="1" applyBorder="1" applyAlignment="1">
      <alignment horizontal="center"/>
    </xf>
    <xf numFmtId="0" fontId="39" fillId="3" borderId="2" xfId="5" applyFont="1" applyFill="1" applyBorder="1" applyAlignment="1">
      <alignment horizontal="left"/>
    </xf>
    <xf numFmtId="0" fontId="49" fillId="0" borderId="1" xfId="0" applyFont="1" applyFill="1" applyBorder="1" applyAlignment="1">
      <alignment horizontal="center" wrapText="1"/>
    </xf>
    <xf numFmtId="0" fontId="49" fillId="2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0" fillId="2" borderId="0" xfId="0" applyFill="1" applyBorder="1" applyAlignment="1"/>
    <xf numFmtId="0" fontId="0" fillId="2" borderId="0" xfId="0" applyFill="1"/>
    <xf numFmtId="0" fontId="4" fillId="2" borderId="0" xfId="0" applyFont="1" applyFill="1" applyBorder="1" applyAlignment="1"/>
    <xf numFmtId="0" fontId="37" fillId="2" borderId="0" xfId="0" applyFont="1" applyFill="1" applyBorder="1" applyAlignment="1"/>
    <xf numFmtId="0" fontId="0" fillId="2" borderId="0" xfId="0" applyFill="1" applyAlignment="1"/>
    <xf numFmtId="0" fontId="50" fillId="0" borderId="1" xfId="0" applyFont="1" applyFill="1" applyBorder="1"/>
    <xf numFmtId="0" fontId="38" fillId="0" borderId="17" xfId="5" applyFont="1" applyBorder="1" applyAlignment="1">
      <alignment horizontal="center"/>
    </xf>
    <xf numFmtId="0" fontId="38" fillId="0" borderId="19" xfId="5" applyFont="1" applyBorder="1" applyAlignment="1">
      <alignment horizontal="center"/>
    </xf>
    <xf numFmtId="0" fontId="38" fillId="0" borderId="17" xfId="5" applyFont="1" applyBorder="1" applyAlignment="1">
      <alignment horizontal="center" wrapText="1"/>
    </xf>
    <xf numFmtId="0" fontId="38" fillId="0" borderId="18" xfId="5" applyFont="1" applyBorder="1" applyAlignment="1">
      <alignment horizontal="center" wrapText="1"/>
    </xf>
    <xf numFmtId="0" fontId="38" fillId="0" borderId="19" xfId="5" applyFont="1" applyBorder="1" applyAlignment="1">
      <alignment horizontal="center" wrapText="1"/>
    </xf>
    <xf numFmtId="0" fontId="38" fillId="0" borderId="25" xfId="5" applyFont="1" applyBorder="1" applyAlignment="1">
      <alignment horizontal="center"/>
    </xf>
    <xf numFmtId="0" fontId="38" fillId="0" borderId="26" xfId="5" applyFont="1" applyBorder="1" applyAlignment="1">
      <alignment horizontal="center"/>
    </xf>
    <xf numFmtId="0" fontId="38" fillId="0" borderId="27" xfId="5" applyFont="1" applyBorder="1" applyAlignment="1">
      <alignment horizontal="center"/>
    </xf>
    <xf numFmtId="0" fontId="38" fillId="0" borderId="0" xfId="5" applyFont="1" applyAlignment="1">
      <alignment horizontal="center"/>
    </xf>
    <xf numFmtId="0" fontId="0" fillId="0" borderId="2" xfId="0" applyFill="1" applyBorder="1" applyAlignment="1">
      <alignment horizontal="left"/>
    </xf>
    <xf numFmtId="3" fontId="0" fillId="0" borderId="2" xfId="0" applyNumberFormat="1" applyFill="1" applyBorder="1" applyAlignment="1">
      <alignment horizontal="center" wrapText="1"/>
    </xf>
    <xf numFmtId="0" fontId="0" fillId="38" borderId="2" xfId="0" applyFill="1" applyBorder="1" applyAlignment="1">
      <alignment horizontal="left"/>
    </xf>
    <xf numFmtId="3" fontId="0" fillId="0" borderId="3" xfId="0" applyNumberFormat="1" applyFill="1" applyBorder="1" applyAlignment="1">
      <alignment horizontal="center" wrapText="1"/>
    </xf>
    <xf numFmtId="0" fontId="0" fillId="38" borderId="3" xfId="0" applyFill="1" applyBorder="1" applyAlignment="1">
      <alignment horizontal="left"/>
    </xf>
    <xf numFmtId="3" fontId="4" fillId="43" borderId="5" xfId="0" applyNumberFormat="1" applyFont="1" applyFill="1" applyBorder="1" applyAlignment="1">
      <alignment horizontal="center"/>
    </xf>
    <xf numFmtId="3" fontId="4" fillId="3" borderId="5" xfId="0" applyNumberFormat="1" applyFont="1" applyFill="1" applyBorder="1" applyAlignment="1">
      <alignment horizontal="center"/>
    </xf>
    <xf numFmtId="171" fontId="4" fillId="4" borderId="5" xfId="0" applyNumberFormat="1" applyFont="1" applyFill="1" applyBorder="1" applyAlignment="1">
      <alignment horizontal="center"/>
    </xf>
    <xf numFmtId="3" fontId="49" fillId="0" borderId="0" xfId="130" applyNumberFormat="1" applyFont="1" applyFill="1" applyBorder="1" applyAlignment="1" applyProtection="1">
      <alignment horizontal="right" vertical="center" wrapText="1"/>
      <protection locked="0"/>
    </xf>
    <xf numFmtId="3" fontId="52" fillId="0" borderId="0" xfId="0" applyNumberFormat="1" applyFont="1" applyAlignment="1">
      <alignment horizontal="right" wrapText="1"/>
    </xf>
    <xf numFmtId="3" fontId="45" fillId="37" borderId="33" xfId="132" applyNumberFormat="1" applyFont="1" applyFill="1" applyBorder="1" applyAlignment="1">
      <alignment horizontal="center" vertical="center" wrapText="1"/>
    </xf>
    <xf numFmtId="3" fontId="45" fillId="37" borderId="0" xfId="132" applyNumberFormat="1" applyFont="1" applyFill="1" applyBorder="1" applyAlignment="1">
      <alignment horizontal="center" vertical="center" wrapText="1"/>
    </xf>
    <xf numFmtId="172" fontId="49" fillId="2" borderId="0" xfId="134" applyNumberFormat="1" applyFont="1" applyFill="1" applyBorder="1" applyAlignment="1" applyProtection="1">
      <alignment horizontal="right" vertical="center" wrapText="1"/>
      <protection locked="0"/>
    </xf>
    <xf numFmtId="3" fontId="49" fillId="2" borderId="0" xfId="132" applyNumberFormat="1" applyFont="1" applyFill="1" applyBorder="1" applyAlignment="1" applyProtection="1">
      <alignment horizontal="right" vertical="center" wrapText="1"/>
      <protection locked="0"/>
    </xf>
    <xf numFmtId="172" fontId="49" fillId="2" borderId="0" xfId="134" applyNumberFormat="1" applyFont="1" applyFill="1" applyBorder="1" applyAlignment="1">
      <alignment horizontal="right" vertical="center" wrapText="1"/>
    </xf>
    <xf numFmtId="3" fontId="49" fillId="2" borderId="0" xfId="132" applyNumberFormat="1" applyFont="1" applyFill="1" applyBorder="1" applyAlignment="1">
      <alignment horizontal="right" vertical="center" wrapText="1"/>
    </xf>
    <xf numFmtId="3" fontId="49" fillId="2" borderId="0" xfId="130" applyNumberFormat="1" applyFont="1" applyFill="1" applyBorder="1" applyAlignment="1">
      <alignment horizontal="right" vertical="center" wrapText="1"/>
    </xf>
    <xf numFmtId="0" fontId="49" fillId="2" borderId="0" xfId="132" applyFont="1" applyFill="1" applyBorder="1" applyAlignment="1">
      <alignment horizontal="right" vertical="center" wrapText="1"/>
    </xf>
    <xf numFmtId="3" fontId="49" fillId="0" borderId="1" xfId="134" applyNumberFormat="1" applyFont="1" applyFill="1" applyBorder="1" applyAlignment="1" applyProtection="1">
      <alignment horizontal="right" vertical="center" wrapText="1"/>
      <protection locked="0"/>
    </xf>
  </cellXfs>
  <cellStyles count="139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heck Cell" xfId="34"/>
    <cellStyle name="Euro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Hipervínculo 2" xfId="42"/>
    <cellStyle name="Hipervínculo 3" xfId="43"/>
    <cellStyle name="Hipervínculo 4" xfId="44"/>
    <cellStyle name="Hipervínculo 5" xfId="45"/>
    <cellStyle name="Hyperlink" xfId="46"/>
    <cellStyle name="Incorrecto 2" xfId="47"/>
    <cellStyle name="Input" xfId="48"/>
    <cellStyle name="Linked Cell" xfId="49"/>
    <cellStyle name="Millares" xfId="130" builtinId="3"/>
    <cellStyle name="Millares [0]" xfId="131" builtinId="6"/>
    <cellStyle name="Millares 2" xfId="3"/>
    <cellStyle name="Millares 2 2" xfId="50"/>
    <cellStyle name="Millares 2 3" xfId="134"/>
    <cellStyle name="Millares 3" xfId="51"/>
    <cellStyle name="Millares 3 2" xfId="135"/>
    <cellStyle name="Millares 4" xfId="52"/>
    <cellStyle name="Millares 5" xfId="53"/>
    <cellStyle name="Millares 6" xfId="54"/>
    <cellStyle name="Millares 7" xfId="55"/>
    <cellStyle name="Millares 8" xfId="56"/>
    <cellStyle name="Moneda [0] 2" xfId="125"/>
    <cellStyle name="Moneda 2" xfId="57"/>
    <cellStyle name="Moneda 2 2" xfId="124"/>
    <cellStyle name="Moneda 3" xfId="58"/>
    <cellStyle name="Moneda 4" xfId="59"/>
    <cellStyle name="Moneda 5" xfId="60"/>
    <cellStyle name="Moneda 6" xfId="61"/>
    <cellStyle name="Moneda 7" xfId="62"/>
    <cellStyle name="Neutral 2" xfId="63"/>
    <cellStyle name="Normal" xfId="0" builtinId="0"/>
    <cellStyle name="Normal 10" xfId="7"/>
    <cellStyle name="Normal 11" xfId="64"/>
    <cellStyle name="Normal 12" xfId="65"/>
    <cellStyle name="Normal 13" xfId="66"/>
    <cellStyle name="Normal 14" xfId="67"/>
    <cellStyle name="Normal 15" xfId="68"/>
    <cellStyle name="Normal 16" xfId="69"/>
    <cellStyle name="Normal 17" xfId="70"/>
    <cellStyle name="Normal 18" xfId="71"/>
    <cellStyle name="Normal 19" xfId="72"/>
    <cellStyle name="Normal 2" xfId="1"/>
    <cellStyle name="Normal 2 2" xfId="73"/>
    <cellStyle name="Normal 2 2 2" xfId="74"/>
    <cellStyle name="Normal 2 3" xfId="75"/>
    <cellStyle name="Normal 2 3 2" xfId="76"/>
    <cellStyle name="Normal 2 4" xfId="132"/>
    <cellStyle name="Normal 2_FLUJOS AAC- DACG" xfId="77"/>
    <cellStyle name="Normal 20" xfId="78"/>
    <cellStyle name="Normal 21" xfId="79"/>
    <cellStyle name="Normal 22" xfId="80"/>
    <cellStyle name="Normal 23" xfId="81"/>
    <cellStyle name="Normal 24" xfId="82"/>
    <cellStyle name="Normal 25" xfId="83"/>
    <cellStyle name="Normal 26" xfId="84"/>
    <cellStyle name="Normal 27" xfId="85"/>
    <cellStyle name="Normal 28" xfId="86"/>
    <cellStyle name="Normal 29" xfId="87"/>
    <cellStyle name="Normal 3" xfId="4"/>
    <cellStyle name="Normal 3 2" xfId="88"/>
    <cellStyle name="Normal 3 3" xfId="136"/>
    <cellStyle name="Normal 30" xfId="89"/>
    <cellStyle name="Normal 31" xfId="90"/>
    <cellStyle name="Normal 32" xfId="91"/>
    <cellStyle name="Normal 33" xfId="92"/>
    <cellStyle name="Normal 34" xfId="93"/>
    <cellStyle name="Normal 35" xfId="94"/>
    <cellStyle name="Normal 36" xfId="95"/>
    <cellStyle name="Normal 37" xfId="96"/>
    <cellStyle name="Normal 38" xfId="97"/>
    <cellStyle name="Normal 39" xfId="98"/>
    <cellStyle name="Normal 4" xfId="5"/>
    <cellStyle name="Normal 40" xfId="99"/>
    <cellStyle name="Normal 41" xfId="100"/>
    <cellStyle name="Normal 42" xfId="101"/>
    <cellStyle name="Normal 43" xfId="102"/>
    <cellStyle name="Normal 44" xfId="103"/>
    <cellStyle name="Normal 45" xfId="104"/>
    <cellStyle name="Normal 46" xfId="105"/>
    <cellStyle name="Normal 47" xfId="106"/>
    <cellStyle name="Normal 48" xfId="107"/>
    <cellStyle name="Normal 49" xfId="120"/>
    <cellStyle name="Normal 5" xfId="6"/>
    <cellStyle name="Normal 50" xfId="121"/>
    <cellStyle name="Normal 51" xfId="122"/>
    <cellStyle name="Normal 52" xfId="123"/>
    <cellStyle name="Normal 53" xfId="128"/>
    <cellStyle name="Normal 54" xfId="129"/>
    <cellStyle name="Normal 55" xfId="138"/>
    <cellStyle name="Normal 6" xfId="108"/>
    <cellStyle name="Normal 6 2" xfId="133"/>
    <cellStyle name="Normal 7" xfId="109"/>
    <cellStyle name="Normal 8" xfId="110"/>
    <cellStyle name="Normal 9" xfId="111"/>
    <cellStyle name="Notas 2" xfId="112"/>
    <cellStyle name="Note" xfId="113"/>
    <cellStyle name="Output" xfId="114"/>
    <cellStyle name="Porcentaje" xfId="2" builtinId="5"/>
    <cellStyle name="Porcentaje 2" xfId="126"/>
    <cellStyle name="Porcentaje 2 2" xfId="137"/>
    <cellStyle name="Porcentaje 3" xfId="127"/>
    <cellStyle name="Porcentual 2" xfId="115"/>
    <cellStyle name="Porcentual 3" xfId="116"/>
    <cellStyle name="Porcentual 4" xfId="117"/>
    <cellStyle name="Title" xfId="118"/>
    <cellStyle name="Warning Text" xfId="119"/>
  </cellStyles>
  <dxfs count="15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9" defaultPivotStyle="PivotStyleLight16"/>
  <colors>
    <mruColors>
      <color rgb="FFFFFF93"/>
      <color rgb="FFFF4B4B"/>
      <color rgb="FFFFFF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8449947642556"/>
          <c:y val="1.5559005243109741E-2"/>
          <c:w val="0.80627121609803321"/>
          <c:h val="0.720928607160655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201924759405103E-2"/>
                  <c:y val="-3.80668954842183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2F-4990-9188-6A305B694DA2}"/>
                </c:ext>
              </c:extLst>
            </c:dLbl>
            <c:dLbl>
              <c:idx val="1"/>
              <c:layout>
                <c:manualLayout>
                  <c:x val="-5.6319570398390063E-2"/>
                  <c:y val="-4.14894405831613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2F-4990-9188-6A305B694DA2}"/>
                </c:ext>
              </c:extLst>
            </c:dLbl>
            <c:dLbl>
              <c:idx val="2"/>
              <c:layout>
                <c:manualLayout>
                  <c:x val="-3.9243881046000142E-2"/>
                  <c:y val="-2.7800108555835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2F-4990-9188-6A305B694DA2}"/>
                </c:ext>
              </c:extLst>
            </c:dLbl>
            <c:dLbl>
              <c:idx val="3"/>
              <c:layout>
                <c:manualLayout>
                  <c:x val="-3.2822951586497236E-2"/>
                  <c:y val="-6.8306008491148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2F-4990-9188-6A305B694DA2}"/>
                </c:ext>
              </c:extLst>
            </c:dLbl>
            <c:dLbl>
              <c:idx val="4"/>
              <c:layout>
                <c:manualLayout>
                  <c:x val="-2.8580078480288974E-2"/>
                  <c:y val="-4.6764366918724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2F-4990-9188-6A305B694DA2}"/>
                </c:ext>
              </c:extLst>
            </c:dLbl>
            <c:dLbl>
              <c:idx val="5"/>
              <c:layout>
                <c:manualLayout>
                  <c:x val="-2.1140544782180259E-2"/>
                  <c:y val="3.1019585953588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2F-4990-9188-6A305B694DA2}"/>
                </c:ext>
              </c:extLst>
            </c:dLbl>
            <c:dLbl>
              <c:idx val="6"/>
              <c:layout>
                <c:manualLayout>
                  <c:x val="-3.5699737532808411E-2"/>
                  <c:y val="-2.4403078255994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072538860103627E-2"/>
                  <c:y val="3.05343593020534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2F-4990-9188-6A305B694DA2}"/>
                </c:ext>
              </c:extLst>
            </c:dLbl>
            <c:dLbl>
              <c:idx val="8"/>
              <c:layout>
                <c:manualLayout>
                  <c:x val="-5.3685948036072045E-2"/>
                  <c:y val="-2.7809617508834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02F-4990-9188-6A305B694DA2}"/>
                </c:ext>
              </c:extLst>
            </c:dLbl>
            <c:dLbl>
              <c:idx val="9"/>
              <c:layout>
                <c:manualLayout>
                  <c:x val="-1.7158817411974444E-2"/>
                  <c:y val="2.7929177599080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02F-4990-9188-6A305B694DA2}"/>
                </c:ext>
              </c:extLst>
            </c:dLbl>
            <c:dLbl>
              <c:idx val="11"/>
              <c:layout>
                <c:manualLayout>
                  <c:x val="0"/>
                  <c:y val="1.9417475728158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02F-4990-9188-6A305B694DA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2'!$B$3:$B$14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'GRAFICO 2'!$D$3:$D$14</c:f>
              <c:numCache>
                <c:formatCode>0.00%</c:formatCode>
                <c:ptCount val="12"/>
                <c:pt idx="0">
                  <c:v>2.1552097835823916E-2</c:v>
                </c:pt>
                <c:pt idx="1">
                  <c:v>6.9209784634541471E-2</c:v>
                </c:pt>
                <c:pt idx="2">
                  <c:v>0.15686051640597085</c:v>
                </c:pt>
                <c:pt idx="3">
                  <c:v>0.23713659018858141</c:v>
                </c:pt>
                <c:pt idx="4">
                  <c:v>0.32792327081986006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E02F-4990-9188-6A305B694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959296"/>
        <c:axId val="285960832"/>
      </c:lineChart>
      <c:catAx>
        <c:axId val="28595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8596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596083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85959296"/>
        <c:crosses val="autoZero"/>
        <c:crossBetween val="between"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6164273207783"/>
          <c:y val="3.958341386599501E-2"/>
          <c:w val="0.81649965886020004"/>
          <c:h val="0.79375161489183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GRAFICO1!$D$27</c:f>
              <c:strCache>
                <c:ptCount val="1"/>
                <c:pt idx="0">
                  <c:v>ACUMULADO </c:v>
                </c:pt>
              </c:strCache>
            </c:strRef>
          </c:tx>
          <c:spPr>
            <a:gradFill rotWithShape="0">
              <a:gsLst>
                <a:gs pos="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.10096411646889852"/>
                  <c:y val="8.43957143937938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F2-44BD-8E42-A44238890965}"/>
                </c:ext>
              </c:extLst>
            </c:dLbl>
            <c:dLbl>
              <c:idx val="1"/>
              <c:layout>
                <c:manualLayout>
                  <c:x val="5.5946205593246104E-2"/>
                  <c:y val="7.89714686665707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F2-44BD-8E42-A44238890965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GRAFICO1!$B$28:$B$39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GRAFICO1!$D$28:$D$39</c:f>
              <c:numCache>
                <c:formatCode>#,##0</c:formatCode>
                <c:ptCount val="12"/>
                <c:pt idx="0">
                  <c:v>1565834672</c:v>
                </c:pt>
                <c:pt idx="1">
                  <c:v>5583933736</c:v>
                </c:pt>
                <c:pt idx="2">
                  <c:v>12601472605</c:v>
                </c:pt>
                <c:pt idx="3">
                  <c:v>19050493479</c:v>
                </c:pt>
                <c:pt idx="4">
                  <c:v>26343889517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8F2-44BD-8E42-A44238890965}"/>
            </c:ext>
          </c:extLst>
        </c:ser>
        <c:ser>
          <c:idx val="1"/>
          <c:order val="1"/>
          <c:tx>
            <c:strRef>
              <c:f>GRAFICO1!$C$27</c:f>
              <c:strCache>
                <c:ptCount val="1"/>
                <c:pt idx="0">
                  <c:v>PAGADO </c:v>
                </c:pt>
              </c:strCache>
            </c:strRef>
          </c:tx>
          <c:spPr>
            <a:gradFill rotWithShape="0">
              <a:gsLst>
                <a:gs pos="0">
                  <a:srgbClr val="993366"/>
                </a:gs>
                <a:gs pos="100000">
                  <a:srgbClr val="993366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3.7735856531640952E-2"/>
                  <c:y val="1.47819660014781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F2-44BD-8E42-A44238890965}"/>
                </c:ext>
              </c:extLst>
            </c:dLbl>
            <c:dLbl>
              <c:idx val="3"/>
              <c:layout>
                <c:manualLayout>
                  <c:x val="6.1016703313619934E-3"/>
                  <c:y val="1.4181092947036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F2-44BD-8E42-A44238890965}"/>
                </c:ext>
              </c:extLst>
            </c:dLbl>
            <c:dLbl>
              <c:idx val="4"/>
              <c:layout>
                <c:manualLayout>
                  <c:x val="1.8868313430495342E-2"/>
                  <c:y val="5.36358978891470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F2-44BD-8E42-A44238890965}"/>
                </c:ext>
              </c:extLst>
            </c:dLbl>
            <c:dLbl>
              <c:idx val="5"/>
              <c:layout>
                <c:manualLayout>
                  <c:x val="3.4675961203776216E-2"/>
                  <c:y val="7.07220666629085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F2-44BD-8E42-A44238890965}"/>
                </c:ext>
              </c:extLst>
            </c:dLbl>
            <c:dLbl>
              <c:idx val="6"/>
              <c:layout>
                <c:manualLayout>
                  <c:x val="5.0179211469534052E-2"/>
                  <c:y val="1.5910898965791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F2-44BD-8E42-A44238890965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GRAFICO1!$B$28:$B$39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GRAFICO1!$C$28:$C$39</c:f>
              <c:numCache>
                <c:formatCode>#,##0</c:formatCode>
                <c:ptCount val="12"/>
                <c:pt idx="0">
                  <c:v>1565834672</c:v>
                </c:pt>
                <c:pt idx="1">
                  <c:v>4018099064</c:v>
                </c:pt>
                <c:pt idx="2">
                  <c:v>7017538869</c:v>
                </c:pt>
                <c:pt idx="3">
                  <c:v>6449020874</c:v>
                </c:pt>
                <c:pt idx="4">
                  <c:v>7293396038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8F2-44BD-8E42-A44238890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781632"/>
        <c:axId val="331783552"/>
      </c:barChart>
      <c:lineChart>
        <c:grouping val="standard"/>
        <c:varyColors val="0"/>
        <c:ser>
          <c:idx val="3"/>
          <c:order val="2"/>
          <c:tx>
            <c:strRef>
              <c:f>GRAFICO1!$D$28:$D$39</c:f>
              <c:strCache>
                <c:ptCount val="1"/>
                <c:pt idx="0">
                  <c:v>1.565.834.672 5.583.933.736 12.601.472.605 19.050.493.479 26.343.889.517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GRAFICO1!$D$28:$D$39</c:f>
              <c:numCache>
                <c:formatCode>#,##0</c:formatCode>
                <c:ptCount val="12"/>
                <c:pt idx="0">
                  <c:v>1565834672</c:v>
                </c:pt>
                <c:pt idx="1">
                  <c:v>5583933736</c:v>
                </c:pt>
                <c:pt idx="2">
                  <c:v>12601472605</c:v>
                </c:pt>
                <c:pt idx="3">
                  <c:v>19050493479</c:v>
                </c:pt>
                <c:pt idx="4">
                  <c:v>26343889517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58F2-44BD-8E42-A44238890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822208"/>
        <c:axId val="331823744"/>
      </c:lineChart>
      <c:catAx>
        <c:axId val="3317816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31783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1783552"/>
        <c:scaling>
          <c:orientation val="minMax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31781632"/>
        <c:crosses val="autoZero"/>
        <c:crossBetween val="between"/>
      </c:valAx>
      <c:catAx>
        <c:axId val="331822208"/>
        <c:scaling>
          <c:orientation val="minMax"/>
        </c:scaling>
        <c:delete val="1"/>
        <c:axPos val="b"/>
        <c:majorTickMark val="out"/>
        <c:minorTickMark val="none"/>
        <c:tickLblPos val="none"/>
        <c:crossAx val="331823744"/>
        <c:crosses val="autoZero"/>
        <c:auto val="0"/>
        <c:lblAlgn val="ctr"/>
        <c:lblOffset val="100"/>
        <c:noMultiLvlLbl val="0"/>
      </c:catAx>
      <c:valAx>
        <c:axId val="33182374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331822208"/>
        <c:crosses val="autoZero"/>
        <c:crossBetween val="between"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>
      <c:oddHeader>&amp;A</c:oddHeader>
      <c:oddFooter>Page &amp;P</c:oddFooter>
    </c:headerFooter>
    <c:pageMargins b="1" l="0.75000000000001465" r="0.7500000000000146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Gasto Acumulado por Sector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6"/>
              <c:layout>
                <c:manualLayout>
                  <c:x val="1.2820512820512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5F-4A19-A330-2E9A5ACDA1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SECTOR!$A$4:$A$15</c:f>
              <c:strCache>
                <c:ptCount val="12"/>
                <c:pt idx="0">
                  <c:v>MULTISECTORIAL</c:v>
                </c:pt>
                <c:pt idx="1">
                  <c:v>TRANSPORTE</c:v>
                </c:pt>
                <c:pt idx="2">
                  <c:v>EDUCACIÓN Y CULTURA</c:v>
                </c:pt>
                <c:pt idx="3">
                  <c:v>SALUD</c:v>
                </c:pt>
                <c:pt idx="4">
                  <c:v>DEFENSA Y SEGURIDAD</c:v>
                </c:pt>
                <c:pt idx="5">
                  <c:v>ENERGÍA</c:v>
                </c:pt>
                <c:pt idx="6">
                  <c:v>DEPORTE</c:v>
                </c:pt>
                <c:pt idx="7">
                  <c:v>SILVOAGROPECUARIO</c:v>
                </c:pt>
                <c:pt idx="8">
                  <c:v>ENERGIA</c:v>
                </c:pt>
                <c:pt idx="9">
                  <c:v>AGUA POTABLE Y ALCANTARILLADO</c:v>
                </c:pt>
                <c:pt idx="10">
                  <c:v>INDUSTRIA, COMERCIO, FINANZAS Y TURISMO</c:v>
                </c:pt>
                <c:pt idx="11">
                  <c:v>VIVIENDA</c:v>
                </c:pt>
              </c:strCache>
            </c:strRef>
          </c:cat>
          <c:val>
            <c:numRef>
              <c:f>SECTOR!$E$4:$E$15</c:f>
              <c:numCache>
                <c:formatCode>#,##0</c:formatCode>
                <c:ptCount val="12"/>
                <c:pt idx="0">
                  <c:v>5893165297</c:v>
                </c:pt>
                <c:pt idx="1">
                  <c:v>7085010430</c:v>
                </c:pt>
                <c:pt idx="2">
                  <c:v>6627047007</c:v>
                </c:pt>
                <c:pt idx="3">
                  <c:v>2588177382</c:v>
                </c:pt>
                <c:pt idx="4">
                  <c:v>165257569</c:v>
                </c:pt>
                <c:pt idx="5">
                  <c:v>977663148</c:v>
                </c:pt>
                <c:pt idx="6">
                  <c:v>122065179</c:v>
                </c:pt>
                <c:pt idx="7">
                  <c:v>84613427</c:v>
                </c:pt>
                <c:pt idx="8">
                  <c:v>583273150</c:v>
                </c:pt>
                <c:pt idx="9">
                  <c:v>881154468</c:v>
                </c:pt>
                <c:pt idx="10">
                  <c:v>176388828</c:v>
                </c:pt>
                <c:pt idx="11">
                  <c:v>700118391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D5F-4A19-A330-2E9A5ACDA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shape val="box"/>
        <c:axId val="333599104"/>
        <c:axId val="333600640"/>
        <c:axId val="0"/>
      </c:bar3DChart>
      <c:catAx>
        <c:axId val="33359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3600640"/>
        <c:crosses val="autoZero"/>
        <c:auto val="1"/>
        <c:lblAlgn val="ctr"/>
        <c:lblOffset val="100"/>
        <c:noMultiLvlLbl val="0"/>
      </c:catAx>
      <c:valAx>
        <c:axId val="3336006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3359910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PROVINCIA!$A$4:$A$10</c:f>
              <c:strCache>
                <c:ptCount val="7"/>
                <c:pt idx="0">
                  <c:v>OSORNO</c:v>
                </c:pt>
                <c:pt idx="1">
                  <c:v>LLANQUIHUE</c:v>
                </c:pt>
                <c:pt idx="2">
                  <c:v>CHILOE</c:v>
                </c:pt>
                <c:pt idx="3">
                  <c:v>PALENA</c:v>
                </c:pt>
                <c:pt idx="4">
                  <c:v>FOMENTO</c:v>
                </c:pt>
                <c:pt idx="5">
                  <c:v>REGIONAL</c:v>
                </c:pt>
                <c:pt idx="6">
                  <c:v>TOTAL</c:v>
                </c:pt>
              </c:strCache>
            </c:strRef>
          </c:cat>
          <c:val>
            <c:numRef>
              <c:f>PROVINCIA!$E$4:$E$10</c:f>
              <c:numCache>
                <c:formatCode>#,##0</c:formatCode>
                <c:ptCount val="7"/>
                <c:pt idx="0">
                  <c:v>4827977318</c:v>
                </c:pt>
                <c:pt idx="1">
                  <c:v>5539508585</c:v>
                </c:pt>
                <c:pt idx="2">
                  <c:v>6999420565</c:v>
                </c:pt>
                <c:pt idx="3">
                  <c:v>7558526636</c:v>
                </c:pt>
                <c:pt idx="4">
                  <c:v>920726413</c:v>
                </c:pt>
                <c:pt idx="5">
                  <c:v>497730000</c:v>
                </c:pt>
                <c:pt idx="6">
                  <c:v>26343889517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D1-4F93-90AC-4AF06FA1770F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layout>
                <c:manualLayout>
                  <c:x val="3.6330603341185414E-3"/>
                  <c:y val="-2.5225218067612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PROVINCIA!$A$4:$A$10</c:f>
              <c:strCache>
                <c:ptCount val="7"/>
                <c:pt idx="0">
                  <c:v>OSORNO</c:v>
                </c:pt>
                <c:pt idx="1">
                  <c:v>LLANQUIHUE</c:v>
                </c:pt>
                <c:pt idx="2">
                  <c:v>CHILOE</c:v>
                </c:pt>
                <c:pt idx="3">
                  <c:v>PALENA</c:v>
                </c:pt>
                <c:pt idx="4">
                  <c:v>FOMENTO</c:v>
                </c:pt>
                <c:pt idx="5">
                  <c:v>REGIONAL</c:v>
                </c:pt>
                <c:pt idx="6">
                  <c:v>TOTAL</c:v>
                </c:pt>
              </c:strCache>
            </c:strRef>
          </c:cat>
          <c:val>
            <c:numRef>
              <c:f>PROVINCIA!$G$4:$G$10</c:f>
              <c:numCache>
                <c:formatCode>#,##0</c:formatCode>
                <c:ptCount val="7"/>
                <c:pt idx="0">
                  <c:v>24948286023.398922</c:v>
                </c:pt>
                <c:pt idx="1">
                  <c:v>25825850393.114529</c:v>
                </c:pt>
                <c:pt idx="2">
                  <c:v>25601238590.565586</c:v>
                </c:pt>
                <c:pt idx="3">
                  <c:v>14924852488.732252</c:v>
                </c:pt>
                <c:pt idx="4">
                  <c:v>13298375507.333332</c:v>
                </c:pt>
                <c:pt idx="5">
                  <c:v>6438325000</c:v>
                </c:pt>
                <c:pt idx="6">
                  <c:v>111036928003.14462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2D1-4F93-90AC-4AF06FA17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shape val="box"/>
        <c:axId val="333722752"/>
        <c:axId val="333724288"/>
        <c:axId val="0"/>
      </c:bar3DChart>
      <c:catAx>
        <c:axId val="33372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L"/>
          </a:p>
        </c:txPr>
        <c:crossAx val="333724288"/>
        <c:crosses val="autoZero"/>
        <c:auto val="1"/>
        <c:lblAlgn val="ctr"/>
        <c:lblOffset val="100"/>
        <c:noMultiLvlLbl val="0"/>
      </c:catAx>
      <c:valAx>
        <c:axId val="3337242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L"/>
          </a:p>
        </c:txPr>
        <c:crossAx val="33372275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Compromiso </a:t>
            </a:r>
          </a:p>
          <a:p>
            <a:pPr>
              <a:defRPr/>
            </a:pPr>
            <a:r>
              <a:rPr lang="es-CL"/>
              <a:t>Versus</a:t>
            </a:r>
            <a:r>
              <a:rPr lang="es-CL" baseline="0"/>
              <a:t> </a:t>
            </a:r>
          </a:p>
          <a:p>
            <a:pPr>
              <a:defRPr/>
            </a:pPr>
            <a:r>
              <a:rPr lang="es-CL" baseline="0"/>
              <a:t>Acumulado al Mes de Mayo</a:t>
            </a:r>
            <a:endParaRPr lang="es-CL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00000"/>
            </a:solidFill>
          </c:spPr>
          <c:invertIfNegative val="0"/>
          <c:cat>
            <c:strRef>
              <c:f>PROVISION!$A$4:$A$14</c:f>
              <c:strCache>
                <c:ptCount val="11"/>
                <c:pt idx="0">
                  <c:v>LIBRE</c:v>
                </c:pt>
                <c:pt idx="1">
                  <c:v>ENERGIZACION</c:v>
                </c:pt>
                <c:pt idx="2">
                  <c:v>FIE</c:v>
                </c:pt>
                <c:pt idx="3">
                  <c:v>SS</c:v>
                </c:pt>
                <c:pt idx="4">
                  <c:v>FIC</c:v>
                </c:pt>
                <c:pt idx="5">
                  <c:v>RSD</c:v>
                </c:pt>
                <c:pt idx="6">
                  <c:v>PIR</c:v>
                </c:pt>
                <c:pt idx="7">
                  <c:v>PVP</c:v>
                </c:pt>
                <c:pt idx="8">
                  <c:v>PV</c:v>
                </c:pt>
                <c:pt idx="9">
                  <c:v>FAR</c:v>
                </c:pt>
                <c:pt idx="10">
                  <c:v>FRIL</c:v>
                </c:pt>
              </c:strCache>
            </c:strRef>
          </c:cat>
          <c:val>
            <c:numRef>
              <c:f>PROVISION!$E$4:$E$14</c:f>
              <c:numCache>
                <c:formatCode>#,##0</c:formatCode>
                <c:ptCount val="11"/>
                <c:pt idx="0">
                  <c:v>3994245977</c:v>
                </c:pt>
                <c:pt idx="1">
                  <c:v>1560936298</c:v>
                </c:pt>
                <c:pt idx="2">
                  <c:v>3687932651</c:v>
                </c:pt>
                <c:pt idx="3">
                  <c:v>454783327</c:v>
                </c:pt>
                <c:pt idx="4">
                  <c:v>0</c:v>
                </c:pt>
                <c:pt idx="5">
                  <c:v>559084156</c:v>
                </c:pt>
                <c:pt idx="6">
                  <c:v>454336365</c:v>
                </c:pt>
                <c:pt idx="7">
                  <c:v>0</c:v>
                </c:pt>
                <c:pt idx="8">
                  <c:v>7025140337</c:v>
                </c:pt>
                <c:pt idx="9">
                  <c:v>4240058668</c:v>
                </c:pt>
                <c:pt idx="10">
                  <c:v>4367371738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A3-4292-AC7F-4C00B784337C}"/>
            </c:ext>
          </c:extLst>
        </c:ser>
        <c:ser>
          <c:idx val="1"/>
          <c:order val="1"/>
          <c:spPr>
            <a:solidFill>
              <a:prstClr val="white">
                <a:lumMod val="85000"/>
              </a:prst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PROVISION!$A$4:$A$14</c:f>
              <c:strCache>
                <c:ptCount val="11"/>
                <c:pt idx="0">
                  <c:v>LIBRE</c:v>
                </c:pt>
                <c:pt idx="1">
                  <c:v>ENERGIZACION</c:v>
                </c:pt>
                <c:pt idx="2">
                  <c:v>FIE</c:v>
                </c:pt>
                <c:pt idx="3">
                  <c:v>SS</c:v>
                </c:pt>
                <c:pt idx="4">
                  <c:v>FIC</c:v>
                </c:pt>
                <c:pt idx="5">
                  <c:v>RSD</c:v>
                </c:pt>
                <c:pt idx="6">
                  <c:v>PIR</c:v>
                </c:pt>
                <c:pt idx="7">
                  <c:v>PVP</c:v>
                </c:pt>
                <c:pt idx="8">
                  <c:v>PV</c:v>
                </c:pt>
                <c:pt idx="9">
                  <c:v>FAR</c:v>
                </c:pt>
                <c:pt idx="10">
                  <c:v>FRIL</c:v>
                </c:pt>
              </c:strCache>
            </c:strRef>
          </c:cat>
          <c:val>
            <c:numRef>
              <c:f>PROVISION!$G$4:$G$14</c:f>
              <c:numCache>
                <c:formatCode>#,##0</c:formatCode>
                <c:ptCount val="11"/>
                <c:pt idx="0">
                  <c:v>42722621703.31131</c:v>
                </c:pt>
                <c:pt idx="1">
                  <c:v>11407163428</c:v>
                </c:pt>
                <c:pt idx="2">
                  <c:v>7230831145.5</c:v>
                </c:pt>
                <c:pt idx="3">
                  <c:v>1950190251</c:v>
                </c:pt>
                <c:pt idx="4">
                  <c:v>1990433000</c:v>
                </c:pt>
                <c:pt idx="5">
                  <c:v>5890860657</c:v>
                </c:pt>
                <c:pt idx="6">
                  <c:v>1514351798</c:v>
                </c:pt>
                <c:pt idx="7">
                  <c:v>291556295</c:v>
                </c:pt>
                <c:pt idx="8">
                  <c:v>16761498328.333334</c:v>
                </c:pt>
                <c:pt idx="9">
                  <c:v>15962740555</c:v>
                </c:pt>
                <c:pt idx="10">
                  <c:v>5314680842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A3-4292-AC7F-4C00B7843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shape val="box"/>
        <c:axId val="333883648"/>
        <c:axId val="333885440"/>
        <c:axId val="0"/>
      </c:bar3DChart>
      <c:catAx>
        <c:axId val="33388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3885440"/>
        <c:crosses val="autoZero"/>
        <c:auto val="1"/>
        <c:lblAlgn val="ctr"/>
        <c:lblOffset val="100"/>
        <c:noMultiLvlLbl val="0"/>
      </c:catAx>
      <c:valAx>
        <c:axId val="3338854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3388364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Marco Decretado</a:t>
            </a:r>
            <a:r>
              <a:rPr lang="es-CL" baseline="0"/>
              <a:t> </a:t>
            </a:r>
          </a:p>
          <a:p>
            <a:pPr>
              <a:defRPr/>
            </a:pPr>
            <a:r>
              <a:rPr lang="es-CL" baseline="0"/>
              <a:t>Versus </a:t>
            </a:r>
          </a:p>
          <a:p>
            <a:pPr>
              <a:defRPr/>
            </a:pPr>
            <a:r>
              <a:rPr lang="es-CL" baseline="0"/>
              <a:t>Acumulado  al Mes de Mayo</a:t>
            </a:r>
            <a:endParaRPr lang="es-CL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00000"/>
            </a:solidFill>
          </c:spPr>
          <c:invertIfNegative val="0"/>
          <c:cat>
            <c:strRef>
              <c:f>PROVISION!$A$4:$A$14</c:f>
              <c:strCache>
                <c:ptCount val="11"/>
                <c:pt idx="0">
                  <c:v>LIBRE</c:v>
                </c:pt>
                <c:pt idx="1">
                  <c:v>ENERGIZACION</c:v>
                </c:pt>
                <c:pt idx="2">
                  <c:v>FIE</c:v>
                </c:pt>
                <c:pt idx="3">
                  <c:v>SS</c:v>
                </c:pt>
                <c:pt idx="4">
                  <c:v>FIC</c:v>
                </c:pt>
                <c:pt idx="5">
                  <c:v>RSD</c:v>
                </c:pt>
                <c:pt idx="6">
                  <c:v>PIR</c:v>
                </c:pt>
                <c:pt idx="7">
                  <c:v>PVP</c:v>
                </c:pt>
                <c:pt idx="8">
                  <c:v>PV</c:v>
                </c:pt>
                <c:pt idx="9">
                  <c:v>FAR</c:v>
                </c:pt>
                <c:pt idx="10">
                  <c:v>FRIL</c:v>
                </c:pt>
              </c:strCache>
            </c:strRef>
          </c:cat>
          <c:val>
            <c:numRef>
              <c:f>PROVISION!$E$4:$E$14</c:f>
              <c:numCache>
                <c:formatCode>#,##0</c:formatCode>
                <c:ptCount val="11"/>
                <c:pt idx="0">
                  <c:v>3994245977</c:v>
                </c:pt>
                <c:pt idx="1">
                  <c:v>1560936298</c:v>
                </c:pt>
                <c:pt idx="2">
                  <c:v>3687932651</c:v>
                </c:pt>
                <c:pt idx="3">
                  <c:v>454783327</c:v>
                </c:pt>
                <c:pt idx="4">
                  <c:v>0</c:v>
                </c:pt>
                <c:pt idx="5">
                  <c:v>559084156</c:v>
                </c:pt>
                <c:pt idx="6">
                  <c:v>454336365</c:v>
                </c:pt>
                <c:pt idx="7">
                  <c:v>0</c:v>
                </c:pt>
                <c:pt idx="8">
                  <c:v>7025140337</c:v>
                </c:pt>
                <c:pt idx="9">
                  <c:v>4240058668</c:v>
                </c:pt>
                <c:pt idx="10">
                  <c:v>4367371738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C2-4CF6-B1B5-9D590496118B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9.4062316284538507E-3"/>
                  <c:y val="1.0443864229765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C2-4CF6-B1B5-9D590496118B}"/>
                </c:ext>
              </c:extLst>
            </c:dLbl>
            <c:dLbl>
              <c:idx val="2"/>
              <c:layout>
                <c:manualLayout>
                  <c:x val="9.4062316284538507E-3"/>
                  <c:y val="3.48128807658836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C2-4CF6-B1B5-9D590496118B}"/>
                </c:ext>
              </c:extLst>
            </c:dLbl>
            <c:dLbl>
              <c:idx val="3"/>
              <c:layout>
                <c:manualLayout>
                  <c:x val="1.410934744268077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C2-4CF6-B1B5-9D590496118B}"/>
                </c:ext>
              </c:extLst>
            </c:dLbl>
            <c:dLbl>
              <c:idx val="9"/>
              <c:layout>
                <c:manualLayout>
                  <c:x val="9.4062316284538507E-3"/>
                  <c:y val="3.48128807658836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C2-4CF6-B1B5-9D59049611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PROVISION!$A$4:$A$14</c:f>
              <c:strCache>
                <c:ptCount val="11"/>
                <c:pt idx="0">
                  <c:v>LIBRE</c:v>
                </c:pt>
                <c:pt idx="1">
                  <c:v>ENERGIZACION</c:v>
                </c:pt>
                <c:pt idx="2">
                  <c:v>FIE</c:v>
                </c:pt>
                <c:pt idx="3">
                  <c:v>SS</c:v>
                </c:pt>
                <c:pt idx="4">
                  <c:v>FIC</c:v>
                </c:pt>
                <c:pt idx="5">
                  <c:v>RSD</c:v>
                </c:pt>
                <c:pt idx="6">
                  <c:v>PIR</c:v>
                </c:pt>
                <c:pt idx="7">
                  <c:v>PVP</c:v>
                </c:pt>
                <c:pt idx="8">
                  <c:v>PV</c:v>
                </c:pt>
                <c:pt idx="9">
                  <c:v>FAR</c:v>
                </c:pt>
                <c:pt idx="10">
                  <c:v>FRIL</c:v>
                </c:pt>
              </c:strCache>
            </c:strRef>
          </c:cat>
          <c:val>
            <c:numRef>
              <c:f>PROVISION!$I$4:$I$14</c:f>
              <c:numCache>
                <c:formatCode>#,##0</c:formatCode>
                <c:ptCount val="11"/>
                <c:pt idx="0">
                  <c:v>32953169257</c:v>
                </c:pt>
                <c:pt idx="1">
                  <c:v>5094652000</c:v>
                </c:pt>
                <c:pt idx="2">
                  <c:v>2565000000</c:v>
                </c:pt>
                <c:pt idx="3">
                  <c:v>1109619000</c:v>
                </c:pt>
                <c:pt idx="4">
                  <c:v>1990433000</c:v>
                </c:pt>
                <c:pt idx="5">
                  <c:v>236893000</c:v>
                </c:pt>
                <c:pt idx="6">
                  <c:v>748049000</c:v>
                </c:pt>
                <c:pt idx="7">
                  <c:v>0</c:v>
                </c:pt>
                <c:pt idx="8">
                  <c:v>11394278000</c:v>
                </c:pt>
                <c:pt idx="9">
                  <c:v>18928756000</c:v>
                </c:pt>
                <c:pt idx="10">
                  <c:v>5314680000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5C2-4CF6-B1B5-9D5904961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shape val="box"/>
        <c:axId val="262566272"/>
        <c:axId val="262567808"/>
        <c:axId val="0"/>
      </c:bar3DChart>
      <c:catAx>
        <c:axId val="26256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2567808"/>
        <c:crosses val="autoZero"/>
        <c:auto val="1"/>
        <c:lblAlgn val="ctr"/>
        <c:lblOffset val="100"/>
        <c:noMultiLvlLbl val="0"/>
      </c:catAx>
      <c:valAx>
        <c:axId val="2625678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6256627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5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76199</xdr:rowOff>
    </xdr:from>
    <xdr:to>
      <xdr:col>11</xdr:col>
      <xdr:colOff>695325</xdr:colOff>
      <xdr:row>34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57152</xdr:colOff>
      <xdr:row>0</xdr:row>
      <xdr:rowOff>104776</xdr:rowOff>
    </xdr:from>
    <xdr:to>
      <xdr:col>5</xdr:col>
      <xdr:colOff>666751</xdr:colOff>
      <xdr:row>25</xdr:row>
      <xdr:rowOff>142876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16</xdr:row>
      <xdr:rowOff>66674</xdr:rowOff>
    </xdr:from>
    <xdr:to>
      <xdr:col>8</xdr:col>
      <xdr:colOff>1095375</xdr:colOff>
      <xdr:row>38</xdr:row>
      <xdr:rowOff>142875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13</xdr:row>
      <xdr:rowOff>95250</xdr:rowOff>
    </xdr:from>
    <xdr:to>
      <xdr:col>8</xdr:col>
      <xdr:colOff>733425</xdr:colOff>
      <xdr:row>35</xdr:row>
      <xdr:rowOff>57151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19050</xdr:rowOff>
    </xdr:from>
    <xdr:to>
      <xdr:col>5</xdr:col>
      <xdr:colOff>533400</xdr:colOff>
      <xdr:row>38</xdr:row>
      <xdr:rowOff>114300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609600</xdr:colOff>
      <xdr:row>15</xdr:row>
      <xdr:rowOff>9525</xdr:rowOff>
    </xdr:from>
    <xdr:to>
      <xdr:col>11</xdr:col>
      <xdr:colOff>19051</xdr:colOff>
      <xdr:row>38</xdr:row>
      <xdr:rowOff>104775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" refreshedDate="43229.665921064814" createdVersion="4" refreshedVersion="4" minRefreshableVersion="3" recordCount="1040">
  <cacheSource type="worksheet">
    <worksheetSource ref="A1:AA1048576" sheet="MAYO"/>
  </cacheSource>
  <cacheFields count="26">
    <cacheField name="SUBT." numFmtId="0">
      <sharedItems containsString="0" containsBlank="1" containsNumber="1" containsInteger="1" minValue="22" maxValue="33"/>
    </cacheField>
    <cacheField name="ESTADO" numFmtId="0">
      <sharedItems containsBlank="1"/>
    </cacheField>
    <cacheField name="SECTOR" numFmtId="0">
      <sharedItems containsBlank="1"/>
    </cacheField>
    <cacheField name="PROVINCIA" numFmtId="0">
      <sharedItems containsBlank="1"/>
    </cacheField>
    <cacheField name="COMUNA" numFmtId="0">
      <sharedItems containsBlank="1"/>
    </cacheField>
    <cacheField name="PROVISION" numFmtId="0">
      <sharedItems containsBlank="1"/>
    </cacheField>
    <cacheField name="ETAPA" numFmtId="0">
      <sharedItems containsBlank="1"/>
    </cacheField>
    <cacheField name="BIP" numFmtId="0">
      <sharedItems containsBlank="1" containsMixedTypes="1" containsNumber="1" containsInteger="1" minValue="20086686" maxValue="40002388"/>
    </cacheField>
    <cacheField name="IDI" numFmtId="0">
      <sharedItems containsBlank="1"/>
    </cacheField>
    <cacheField name="tipo convenio" numFmtId="0">
      <sharedItems containsBlank="1"/>
    </cacheField>
    <cacheField name="BLANCO" numFmtId="0">
      <sharedItems containsBlank="1"/>
    </cacheField>
    <cacheField name="NOMBRE DEL PROYECTO" numFmtId="0">
      <sharedItems containsBlank="1"/>
    </cacheField>
    <cacheField name=" COSTO" numFmtId="3">
      <sharedItems containsString="0" containsBlank="1" containsNumber="1" minValue="12000000" maxValue="504960387129.19678"/>
    </cacheField>
    <cacheField name="GASTO AÑOS ANTERIORES" numFmtId="3">
      <sharedItems containsString="0" containsBlank="1" containsNumber="1" containsInteger="1" minValue="0" maxValue="139888839892"/>
    </cacheField>
    <cacheField name="COMPROMISO 2018" numFmtId="3">
      <sharedItems containsString="0" containsBlank="1" containsNumber="1" minValue="0" maxValue="110223094785.64462"/>
    </cacheField>
    <cacheField name="ENERO" numFmtId="3">
      <sharedItems containsString="0" containsBlank="1" containsNumber="1" containsInteger="1" minValue="0" maxValue="1565834672"/>
    </cacheField>
    <cacheField name="FEBRERO" numFmtId="3">
      <sharedItems containsString="0" containsBlank="1" containsNumber="1" containsInteger="1" minValue="0" maxValue="4018099064"/>
    </cacheField>
    <cacheField name="MARZO" numFmtId="3">
      <sharedItems containsString="0" containsBlank="1" containsNumber="1" containsInteger="1" minValue="0" maxValue="7017538869"/>
    </cacheField>
    <cacheField name="ENERO-MARZO" numFmtId="3">
      <sharedItems containsString="0" containsBlank="1" containsNumber="1" containsInteger="1" minValue="0" maxValue="12601472605"/>
    </cacheField>
    <cacheField name="ABRIL" numFmtId="3">
      <sharedItems containsString="0" containsBlank="1" containsNumber="1" containsInteger="1" minValue="0" maxValue="6449020874"/>
    </cacheField>
    <cacheField name="TOTAL PAGADO" numFmtId="3">
      <sharedItems containsString="0" containsBlank="1" containsNumber="1" containsInteger="1" minValue="0" maxValue="19050493479"/>
    </cacheField>
    <cacheField name="SALDO A DICIEMBRE" numFmtId="3">
      <sharedItems containsString="0" containsBlank="1" containsNumber="1" minValue="0" maxValue="91172601306.644623"/>
    </cacheField>
    <cacheField name="SALDO POR INVERTIR" numFmtId="3">
      <sharedItems containsString="0" containsBlank="1" containsNumber="1" minValue="-3000000000" maxValue="254848452451.55212"/>
    </cacheField>
    <cacheField name="SITUACION ACTUAL" numFmtId="0">
      <sharedItems containsBlank="1"/>
    </cacheField>
    <cacheField name="RATE 2018" numFmtId="0">
      <sharedItems containsBlank="1"/>
    </cacheField>
    <cacheField name="SECTORIALISTA" numFmtId="0">
      <sharedItems containsBlank="1" count="13">
        <m/>
        <s v="I. ORTIZ"/>
        <e v="#N/A"/>
        <s v="O. WISTUBA"/>
        <s v="R. CARCAMO"/>
        <s v="K. BARRIENTOS"/>
        <s v="E. OLEA"/>
        <s v="P. HUIDOBRO"/>
        <s v="N. SOLIS"/>
        <s v="I. ALEGRIA"/>
        <s v="G.QUEZADA"/>
        <s v="F. CARRA"/>
        <s v="A. MACI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uario" refreshedDate="43262.482974537037" createdVersion="4" refreshedVersion="4" minRefreshableVersion="3" recordCount="2528">
  <cacheSource type="worksheet">
    <worksheetSource ref="A1:Y1048576" sheet="MAYO"/>
  </cacheSource>
  <cacheFields count="25">
    <cacheField name="SUBT." numFmtId="0">
      <sharedItems containsString="0" containsBlank="1" containsNumber="1" containsInteger="1" minValue="22" maxValue="33"/>
    </cacheField>
    <cacheField name="ESTADO" numFmtId="0">
      <sharedItems containsBlank="1"/>
    </cacheField>
    <cacheField name="SECTOR" numFmtId="0">
      <sharedItems containsBlank="1" count="14">
        <m/>
        <s v="SALUD"/>
        <s v="DEFENSA Y SEGURIDAD"/>
        <s v="VIVIENDA"/>
        <s v="TRANSPORTE"/>
        <s v="MULTISECTORIAL"/>
        <s v="EDUCACIÓN Y CULTURA"/>
        <s v="INDUSTRIA, COMERCIO, FINANZAS Y TURISMO"/>
        <s v="AGUA POTABLE Y ALCANTARILLADO"/>
        <s v="DEPORTE"/>
        <s v="ENERGÍA"/>
        <s v="ENERGIA"/>
        <s v="PESCA"/>
        <s v="SILVOAGROPECUARIO"/>
      </sharedItems>
    </cacheField>
    <cacheField name="PROVINCIA" numFmtId="0">
      <sharedItems containsBlank="1" count="8">
        <m/>
        <s v="OSORNO"/>
        <s v="LLANQUIHUE"/>
        <s v="CHILOE"/>
        <s v="PALENA"/>
        <s v="REGIONAL"/>
        <s v="FOMENTO"/>
        <s v="BOMBEROS" u="1"/>
      </sharedItems>
    </cacheField>
    <cacheField name="COMUNA" numFmtId="0">
      <sharedItems containsBlank="1"/>
    </cacheField>
    <cacheField name="PROVISION" numFmtId="0">
      <sharedItems containsBlank="1" count="12">
        <m/>
        <s v="FAR"/>
        <s v="LIBRE"/>
        <s v="FIE"/>
        <s v="SS"/>
        <s v="ENERGIZACION"/>
        <s v="RSD"/>
        <s v="FRIL"/>
        <s v="PVP"/>
        <s v="PV"/>
        <s v="PIR"/>
        <s v="FIC"/>
      </sharedItems>
    </cacheField>
    <cacheField name="ETAPA" numFmtId="0">
      <sharedItems containsBlank="1"/>
    </cacheField>
    <cacheField name="BIP" numFmtId="0">
      <sharedItems containsBlank="1" containsMixedTypes="1" containsNumber="1" containsInteger="1" minValue="4000453" maxValue="40005575"/>
    </cacheField>
    <cacheField name="IDI" numFmtId="0">
      <sharedItems containsBlank="1"/>
    </cacheField>
    <cacheField name="tipo convenio" numFmtId="0">
      <sharedItems containsBlank="1"/>
    </cacheField>
    <cacheField name="BLANCO" numFmtId="0">
      <sharedItems containsBlank="1"/>
    </cacheField>
    <cacheField name="NOMBRE DEL PROYECTO" numFmtId="0">
      <sharedItems containsBlank="1"/>
    </cacheField>
    <cacheField name=" COSTO" numFmtId="3">
      <sharedItems containsString="0" containsBlank="1" containsNumber="1" minValue="12000000" maxValue="511555556003.19678"/>
    </cacheField>
    <cacheField name="GASTO AÑOS ANTERIORES" numFmtId="3">
      <sharedItems containsString="0" containsBlank="1" containsNumber="1" containsInteger="1" minValue="0" maxValue="139888839892"/>
    </cacheField>
    <cacheField name="COMPROMISO 2018" numFmtId="3">
      <sharedItems containsString="0" containsBlank="1" containsNumber="1" minValue="0" maxValue="111036928003.14462"/>
    </cacheField>
    <cacheField name="ENERO" numFmtId="3">
      <sharedItems containsString="0" containsBlank="1" containsNumber="1" containsInteger="1" minValue="0" maxValue="1565834672"/>
    </cacheField>
    <cacheField name="FEBRERO" numFmtId="3">
      <sharedItems containsString="0" containsBlank="1" containsNumber="1" containsInteger="1" minValue="0" maxValue="4018099064"/>
    </cacheField>
    <cacheField name="MARZO" numFmtId="3">
      <sharedItems containsString="0" containsBlank="1" containsNumber="1" containsInteger="1" minValue="0" maxValue="7017538869"/>
    </cacheField>
    <cacheField name="ENERO-MARZO" numFmtId="3">
      <sharedItems containsString="0" containsBlank="1" containsNumber="1" containsInteger="1" minValue="0" maxValue="12601472605"/>
    </cacheField>
    <cacheField name="ABRIL" numFmtId="3">
      <sharedItems containsString="0" containsBlank="1" containsNumber="1" containsInteger="1" minValue="0" maxValue="6449020874"/>
    </cacheField>
    <cacheField name="MAYO" numFmtId="3">
      <sharedItems containsString="0" containsBlank="1" containsNumber="1" containsInteger="1" minValue="0" maxValue="7293396038"/>
    </cacheField>
    <cacheField name="TOTAL PAGADO" numFmtId="3">
      <sharedItems containsString="0" containsBlank="1" containsNumber="1" containsInteger="1" minValue="0" maxValue="26343889517"/>
    </cacheField>
    <cacheField name="SALDO A DICIEMBRE" numFmtId="3">
      <sharedItems containsString="0" containsBlank="1" containsNumber="1" minValue="0" maxValue="84693038486.144623"/>
    </cacheField>
    <cacheField name="SALDO POR INVERTIR" numFmtId="0">
      <sharedItems containsString="0" containsBlank="1" containsNumber="1" minValue="-3000000000" maxValue="260629788108.05212"/>
    </cacheField>
    <cacheField name="SITUACION ACTUAL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0">
  <r>
    <m/>
    <m/>
    <m/>
    <m/>
    <m/>
    <m/>
    <m/>
    <m/>
    <m/>
    <m/>
    <m/>
    <s v="COMUNA DE OSORNO"/>
    <m/>
    <m/>
    <m/>
    <m/>
    <m/>
    <m/>
    <m/>
    <m/>
    <m/>
    <m/>
    <m/>
    <m/>
    <m/>
    <x v="0"/>
  </r>
  <r>
    <m/>
    <m/>
    <m/>
    <m/>
    <m/>
    <m/>
    <m/>
    <m/>
    <m/>
    <m/>
    <m/>
    <s v="INICIATIVAS EN EJECUCION"/>
    <m/>
    <m/>
    <m/>
    <m/>
    <m/>
    <m/>
    <m/>
    <m/>
    <m/>
    <m/>
    <m/>
    <m/>
    <m/>
    <x v="0"/>
  </r>
  <r>
    <n v="31"/>
    <s v="A"/>
    <s v="SALUD"/>
    <s v="OSORNO"/>
    <s v="OSORNO"/>
    <s v="FAR"/>
    <s v="EJECUCION"/>
    <n v="30062818"/>
    <s v="30062818-EJECUCION"/>
    <m/>
    <s v="30062818"/>
    <s v="AMPLIACION CESFAM OVEJERIA OSORNO"/>
    <n v="3099186000"/>
    <n v="426524875"/>
    <n v="1495400000"/>
    <n v="144591129"/>
    <n v="150621228"/>
    <n v="145087883"/>
    <n v="440300240"/>
    <n v="242315390"/>
    <n v="682615630"/>
    <n v="812784370"/>
    <n v="1177261125"/>
    <s v="EN EJECUCION"/>
    <s v="RS"/>
    <x v="1"/>
  </r>
  <r>
    <n v="31"/>
    <s v="A"/>
    <s v="DEFENSA Y SEGURIDAD"/>
    <s v="OSORNO"/>
    <s v="OSORNO"/>
    <s v="FAR"/>
    <s v="EJECUCION"/>
    <n v="30165522"/>
    <s v="30165522-EJECUCION"/>
    <m/>
    <s v="30165522"/>
    <s v="CONSERVACION Y EQUIP. EDIFI. CIAS. BOMBEROS 4TA;5TA Y CUARTEL GENERAL (C33)"/>
    <n v="496769000"/>
    <n v="3000000"/>
    <n v="391769000"/>
    <n v="0"/>
    <n v="0"/>
    <n v="0"/>
    <n v="0"/>
    <n v="0"/>
    <n v="0"/>
    <n v="391769000"/>
    <n v="102000000"/>
    <s v="EN EJECUCION"/>
    <s v="RS*"/>
    <x v="1"/>
  </r>
  <r>
    <n v="31"/>
    <s v="P"/>
    <s v="SALUD"/>
    <s v="OSORNO"/>
    <s v="OSORNO"/>
    <s v="LIBRE"/>
    <s v="EJECUCION"/>
    <n v="30470902"/>
    <s v="30470902-EJECUCION"/>
    <s v="30470902-FNDR"/>
    <s v="30470902"/>
    <s v="NORMALIZACION CECOSF COMUNA DE OSORNO (BOX DENTAL)"/>
    <n v="111719000"/>
    <n v="500000"/>
    <n v="111219000"/>
    <n v="0"/>
    <n v="0"/>
    <n v="22662937"/>
    <n v="22662937"/>
    <n v="0"/>
    <n v="22662937"/>
    <n v="88556063"/>
    <n v="0"/>
    <s v="EN EJECUCION"/>
    <s v="RS"/>
    <x v="1"/>
  </r>
  <r>
    <n v="31"/>
    <s v="A"/>
    <s v="SALUD"/>
    <s v="OSORNO"/>
    <s v="OSORNO"/>
    <s v="FAR"/>
    <s v="EJECUCION"/>
    <n v="30129384"/>
    <s v="30129384-EJECUCION"/>
    <m/>
    <s v="30129384"/>
    <s v="CONSTRUCCION CENTRO DE REFERENCIA  Y DIAGNOSTICO MEDICO"/>
    <n v="3708617953"/>
    <n v="2935142357"/>
    <n v="773475596"/>
    <n v="115442351"/>
    <n v="0"/>
    <n v="74127896"/>
    <n v="189570247"/>
    <n v="2541368"/>
    <n v="192111615"/>
    <n v="581363981"/>
    <n v="0"/>
    <s v="EN EJECUCION"/>
    <s v="RE"/>
    <x v="1"/>
  </r>
  <r>
    <n v="31"/>
    <s v="P"/>
    <s v="VIVIENDA"/>
    <s v="OSORNO"/>
    <s v="OSORNO"/>
    <s v="FAR"/>
    <s v="EJECUCION"/>
    <n v="30259772"/>
    <s v="30259772-EJECUCION"/>
    <m/>
    <s v="30259772"/>
    <s v="CONSTRUCCION Y REPOSICION ACERAS POBLACION BERNARDO OHIGGINS"/>
    <n v="108282000"/>
    <n v="0"/>
    <n v="48846200"/>
    <n v="0"/>
    <n v="0"/>
    <n v="0"/>
    <n v="0"/>
    <n v="48846200"/>
    <n v="48846200"/>
    <n v="0"/>
    <n v="59435800"/>
    <s v="EN EJECUCION"/>
    <s v="RS"/>
    <x v="1"/>
  </r>
  <r>
    <n v="31"/>
    <s v="P"/>
    <s v="VIVIENDA"/>
    <s v="OSORNO"/>
    <s v="OSORNO"/>
    <s v="LIBRE"/>
    <s v="EJECUCION"/>
    <n v="30464699"/>
    <s v="30464699-EJECUCION"/>
    <m/>
    <s v="30464699"/>
    <s v="CONSERVACION DE VEREDAS FRANCKE, OSORNO (C33)"/>
    <n v="410095000"/>
    <n v="1000000"/>
    <n v="75276860"/>
    <n v="0"/>
    <n v="0"/>
    <n v="0"/>
    <n v="0"/>
    <n v="0"/>
    <n v="0"/>
    <n v="75276860"/>
    <n v="333818140"/>
    <s v="EN EJECUCION"/>
    <s v="RS*"/>
    <x v="2"/>
  </r>
  <r>
    <n v="31"/>
    <s v="P"/>
    <s v="TRANSPORTE"/>
    <s v="OSORNO"/>
    <s v="OSORNO"/>
    <s v="LIBRE"/>
    <s v="EJECUCION"/>
    <n v="30043744"/>
    <s v="30043744-EJECUCION"/>
    <m/>
    <s v="30043744"/>
    <s v="MEJORAMIENTO AVENIDA REPUBLICA"/>
    <n v="7805579000"/>
    <n v="2000000"/>
    <n v="3000000000"/>
    <n v="0"/>
    <n v="0"/>
    <n v="293006790"/>
    <n v="293006790"/>
    <n v="186005134"/>
    <n v="479011924"/>
    <n v="2520988076"/>
    <n v="4803579000"/>
    <s v="EN EJECUCION"/>
    <s v="RS"/>
    <x v="1"/>
  </r>
  <r>
    <m/>
    <m/>
    <m/>
    <m/>
    <m/>
    <m/>
    <m/>
    <m/>
    <m/>
    <m/>
    <m/>
    <s v="TOTAL DE INICIATIVAS EN EJECUCION"/>
    <n v="15740247953"/>
    <n v="3368167232"/>
    <n v="5895986656"/>
    <n v="260033480"/>
    <n v="150621228"/>
    <n v="534885506"/>
    <n v="945540214"/>
    <n v="479708092"/>
    <n v="1425248306"/>
    <n v="4470738350"/>
    <n v="6476094065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LICITACION/ADJUDICACION"/>
    <m/>
    <m/>
    <m/>
    <m/>
    <m/>
    <m/>
    <m/>
    <m/>
    <m/>
    <m/>
    <m/>
    <m/>
    <m/>
    <x v="0"/>
  </r>
  <r>
    <n v="31"/>
    <s v="P"/>
    <s v="SALUD"/>
    <s v="OSORNO"/>
    <s v="OSORNO"/>
    <s v="LIBRE"/>
    <s v="EJECUCION"/>
    <n v="30126279"/>
    <s v="30126279-EJECUCION"/>
    <s v="30126279-FNDR"/>
    <s v="30126279"/>
    <s v="REPOSICION CENTRO COMUNITARIO SALUD MENTAL OSORNO"/>
    <n v="1887501000"/>
    <n v="19997985"/>
    <n v="592927300"/>
    <n v="0"/>
    <n v="0"/>
    <n v="0"/>
    <n v="0"/>
    <n v="0"/>
    <n v="0"/>
    <n v="592927300"/>
    <n v="1274575715"/>
    <s v="EN ADJUDICACION"/>
    <s v="RS"/>
    <x v="2"/>
  </r>
  <r>
    <n v="31"/>
    <s v="P"/>
    <s v="SALUD"/>
    <s v="OSORNO"/>
    <s v="OSORNO"/>
    <s v="LIBRE"/>
    <s v="EJECUCION"/>
    <n v="30087456"/>
    <s v="30087456-EJECUCION"/>
    <m/>
    <s v="30087456"/>
    <s v="CONSTRUCCION CENTRO DE DIALIZADOS Y TRANSPLANTADOS RENALES"/>
    <n v="635599000"/>
    <n v="0"/>
    <n v="300000000"/>
    <n v="0"/>
    <n v="0"/>
    <n v="0"/>
    <n v="0"/>
    <n v="0"/>
    <n v="0"/>
    <n v="300000000"/>
    <n v="335599000"/>
    <s v="EN ADJUDICACION"/>
    <s v="RS"/>
    <x v="2"/>
  </r>
  <r>
    <m/>
    <m/>
    <m/>
    <m/>
    <m/>
    <m/>
    <m/>
    <m/>
    <m/>
    <m/>
    <m/>
    <s v="TOTAL DE INICIATIVAS EN LICITACION/ADJUDICACION"/>
    <n v="2523100000"/>
    <n v="19997985"/>
    <n v="892927300"/>
    <n v="0"/>
    <n v="0"/>
    <n v="0"/>
    <n v="0"/>
    <n v="0"/>
    <n v="0"/>
    <n v="892927300"/>
    <n v="1610174715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SIN MOVIMIENTO"/>
    <m/>
    <m/>
    <m/>
    <m/>
    <m/>
    <m/>
    <m/>
    <m/>
    <m/>
    <m/>
    <m/>
    <m/>
    <m/>
    <x v="0"/>
  </r>
  <r>
    <n v="31"/>
    <s v="N"/>
    <s v="EDUCACIÓN Y CULTURA"/>
    <s v="OSORNO"/>
    <s v="OSORNO"/>
    <s v="FIE"/>
    <s v="EJECUCION"/>
    <n v="30070862"/>
    <s v="30070862-EJECUCION"/>
    <m/>
    <s v="30070862"/>
    <s v="REPOSICION LICEO CARMELA CARVAJAL DE PRAT"/>
    <n v="5200000000"/>
    <n v="0"/>
    <n v="10000000"/>
    <n v="0"/>
    <n v="0"/>
    <n v="0"/>
    <n v="0"/>
    <n v="0"/>
    <n v="0"/>
    <n v="10000000"/>
    <n v="5190000000"/>
    <s v="ARI"/>
    <s v="FI"/>
    <x v="2"/>
  </r>
  <r>
    <n v="31"/>
    <s v="N"/>
    <s v="EDUCACIÓN Y CULTURA"/>
    <s v="OSORNO"/>
    <s v="OSORNO"/>
    <s v="FIE"/>
    <s v="EJECUCION"/>
    <n v="30134836"/>
    <s v="30134836-EJECUCION"/>
    <m/>
    <s v="30134836"/>
    <s v="REPOSICION ESCUELA RURAL WALTERIO MEYER RUSCA, AGUA BUENA, OSORNO"/>
    <n v="3212012000"/>
    <n v="0"/>
    <n v="10000000"/>
    <n v="0"/>
    <n v="0"/>
    <n v="0"/>
    <n v="0"/>
    <n v="0"/>
    <n v="0"/>
    <n v="10000000"/>
    <n v="3202012000"/>
    <s v="ARI"/>
    <s v="SR"/>
    <x v="2"/>
  </r>
  <r>
    <n v="31"/>
    <s v="N"/>
    <s v="MULTISECTORIAL"/>
    <s v="OSORNO"/>
    <s v="OSORNO"/>
    <s v="LIBRE"/>
    <s v="EJECUCION"/>
    <n v="30135711"/>
    <s v="30135711-EJECUCION"/>
    <m/>
    <s v="30135711"/>
    <s v="REPOSICION CASA DE ACOGIDA DE LA DISCAPACIDAD"/>
    <n v="151831000"/>
    <n v="0"/>
    <n v="7591550"/>
    <n v="0"/>
    <n v="0"/>
    <n v="0"/>
    <n v="0"/>
    <n v="0"/>
    <n v="0"/>
    <n v="7591550"/>
    <n v="144239450"/>
    <s v="ARI"/>
    <s v="RS"/>
    <x v="2"/>
  </r>
  <r>
    <n v="31"/>
    <s v="N"/>
    <s v="INDUSTRIA, COMERCIO, FINANZAS Y TURISMO"/>
    <s v="OSORNO"/>
    <s v="OSORNO"/>
    <s v="LIBRE"/>
    <s v="EJECUCION"/>
    <n v="30118247"/>
    <s v="30118247-EJECUCION"/>
    <m/>
    <s v="30118247"/>
    <s v="CONSTRUCCION FERIA POBLACION MOYANO, OSORNO"/>
    <n v="1717763000"/>
    <n v="0"/>
    <n v="63808740"/>
    <n v="0"/>
    <n v="0"/>
    <n v="0"/>
    <n v="0"/>
    <n v="0"/>
    <n v="0"/>
    <n v="63808740"/>
    <n v="1653954260"/>
    <s v="ARI"/>
    <s v="SR"/>
    <x v="2"/>
  </r>
  <r>
    <n v="31"/>
    <s v="N"/>
    <s v="SALUD"/>
    <s v="OSORNO"/>
    <s v="OSORNO"/>
    <s v="LIBRE"/>
    <s v="EJECUCION"/>
    <n v="30481028"/>
    <s v="30481028-EJECUCION"/>
    <s v="30481028-FNDR"/>
    <s v="30481028"/>
    <s v="REPOSICION CENTRO DE SALUD FAMILIAR CON SAR RAHUE ALTO"/>
    <n v="7246631000"/>
    <n v="0"/>
    <n v="2000000"/>
    <n v="0"/>
    <n v="0"/>
    <n v="0"/>
    <n v="0"/>
    <n v="0"/>
    <n v="0"/>
    <n v="2000000"/>
    <n v="7244631000"/>
    <s v="ARI"/>
    <s v="RS"/>
    <x v="2"/>
  </r>
  <r>
    <n v="31"/>
    <s v="N"/>
    <s v="SALUD"/>
    <s v="OSORNO"/>
    <s v="OSORNO"/>
    <s v="LIBRE"/>
    <s v="DISEÑO"/>
    <n v="30484063"/>
    <s v="30484063-DISEÑO"/>
    <m/>
    <s v="30484063"/>
    <s v="CONSTRUCCION COSAM RAHUE"/>
    <n v="40000000"/>
    <n v="0"/>
    <n v="20000000"/>
    <n v="0"/>
    <n v="0"/>
    <n v="0"/>
    <n v="0"/>
    <n v="0"/>
    <n v="0"/>
    <n v="20000000"/>
    <n v="20000000"/>
    <s v="ARI"/>
    <s v="SR"/>
    <x v="2"/>
  </r>
  <r>
    <n v="31"/>
    <s v="N"/>
    <s v="SALUD"/>
    <s v="OSORNO"/>
    <s v="OSORNO"/>
    <s v="LIBRE"/>
    <s v="DISEÑO"/>
    <n v="30484067"/>
    <s v="30484067-DISEÑO"/>
    <m/>
    <s v="30484067"/>
    <s v="CONSTRUCCION CENTRO DIURNO DE REHABILITACION DE SALUD MENTAL"/>
    <n v="40000000"/>
    <n v="0"/>
    <n v="20000000"/>
    <n v="0"/>
    <n v="0"/>
    <n v="0"/>
    <n v="0"/>
    <n v="0"/>
    <n v="0"/>
    <n v="20000000"/>
    <n v="20000000"/>
    <s v="ARI"/>
    <s v="SR"/>
    <x v="2"/>
  </r>
  <r>
    <n v="31"/>
    <s v="N"/>
    <s v="MULTISECTORIAL"/>
    <s v="OSORNO"/>
    <s v="OSORNO"/>
    <s v="LIBRE"/>
    <s v="EJECUCION"/>
    <n v="30463800"/>
    <s v="30463800-EJECUCION"/>
    <m/>
    <s v="30463800"/>
    <s v="REPOSICION HOSPEDERIA HOGAR DE CRISTO, OSORNO"/>
    <n v="1660190000"/>
    <n v="0"/>
    <n v="10000000"/>
    <n v="0"/>
    <n v="0"/>
    <n v="0"/>
    <n v="0"/>
    <n v="0"/>
    <n v="0"/>
    <n v="10000000"/>
    <n v="1650190000"/>
    <s v="ARI"/>
    <s v="SR"/>
    <x v="2"/>
  </r>
  <r>
    <n v="31"/>
    <s v="N"/>
    <s v="TRANSPORTE"/>
    <s v="OSORNO"/>
    <s v="OSORNO"/>
    <s v="FAR"/>
    <s v="PREFACTIBILIDAD"/>
    <n v="30488444"/>
    <s v="30488444-PREFACTIBILIDAD"/>
    <m/>
    <s v="30488444"/>
    <s v="MEJORAMIENTO ACCESIBILIDAD SECTOR FRANCKE-CENTRO OSORNO"/>
    <n v="180000000"/>
    <n v="0"/>
    <n v="30000000"/>
    <n v="0"/>
    <n v="0"/>
    <n v="0"/>
    <n v="0"/>
    <n v="0"/>
    <n v="0"/>
    <n v="30000000"/>
    <n v="150000000"/>
    <s v="SOLICITUD TRANSPORTE"/>
    <s v="SR"/>
    <x v="2"/>
  </r>
  <r>
    <m/>
    <m/>
    <m/>
    <m/>
    <m/>
    <m/>
    <m/>
    <m/>
    <m/>
    <m/>
    <m/>
    <s v="TOTAL DE INICIATIVAS SIN MOVIMIENTO"/>
    <n v="19448427000"/>
    <n v="0"/>
    <n v="173400290"/>
    <n v="0"/>
    <n v="0"/>
    <n v="0"/>
    <n v="0"/>
    <n v="0"/>
    <n v="0"/>
    <n v="173400290"/>
    <n v="1927502671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TOTAL COMUNA DE  OSORNO"/>
    <n v="37711774953"/>
    <n v="3388165217"/>
    <n v="6962314246"/>
    <n v="260033480"/>
    <n v="150621228"/>
    <n v="534885506"/>
    <n v="945540214"/>
    <n v="479708092"/>
    <n v="1425248306"/>
    <n v="5537065940"/>
    <n v="2736129549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COMUNA DE PUERTO OCTAY"/>
    <m/>
    <m/>
    <m/>
    <m/>
    <m/>
    <m/>
    <m/>
    <m/>
    <m/>
    <m/>
    <m/>
    <m/>
    <m/>
    <x v="0"/>
  </r>
  <r>
    <m/>
    <m/>
    <m/>
    <m/>
    <m/>
    <m/>
    <m/>
    <m/>
    <m/>
    <m/>
    <m/>
    <s v="INICIATIVAS EN EJECUCION"/>
    <m/>
    <m/>
    <m/>
    <m/>
    <m/>
    <m/>
    <m/>
    <m/>
    <m/>
    <m/>
    <m/>
    <m/>
    <m/>
    <x v="0"/>
  </r>
  <r>
    <n v="31"/>
    <s v="P"/>
    <s v="SALUD"/>
    <s v="OSORNO"/>
    <s v="PTO. OCTAY"/>
    <s v="LIBRE"/>
    <s v="DISEÑO"/>
    <n v="30412923"/>
    <s v="30412923-DISEÑO"/>
    <s v="30412923-FNDR"/>
    <s v="30412923"/>
    <s v="CONSTRUCCION POSTA SALUD EL PONCHO"/>
    <n v="19780000"/>
    <n v="3756000"/>
    <n v="5934000"/>
    <n v="0"/>
    <n v="0"/>
    <n v="0"/>
    <n v="0"/>
    <n v="0"/>
    <n v="0"/>
    <n v="5934000"/>
    <n v="10090000"/>
    <s v="EN EJECUCION"/>
    <s v="RS"/>
    <x v="2"/>
  </r>
  <r>
    <m/>
    <m/>
    <m/>
    <m/>
    <m/>
    <m/>
    <m/>
    <m/>
    <m/>
    <m/>
    <m/>
    <s v="TOTAL DE INICIATIVAS EN EJECUCION"/>
    <n v="19780000"/>
    <n v="3756000"/>
    <n v="5934000"/>
    <n v="0"/>
    <n v="0"/>
    <n v="0"/>
    <n v="0"/>
    <n v="0"/>
    <n v="0"/>
    <n v="5934000"/>
    <n v="100900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SIN MOVIMIENTO"/>
    <m/>
    <m/>
    <m/>
    <m/>
    <m/>
    <m/>
    <m/>
    <m/>
    <m/>
    <m/>
    <m/>
    <m/>
    <m/>
    <x v="0"/>
  </r>
  <r>
    <n v="33"/>
    <s v="A"/>
    <s v="AGUA POTABLE Y ALCANTARILLADO"/>
    <s v="OSORNO"/>
    <s v="PTO. OCTAY"/>
    <s v="SS"/>
    <s v="EJECUCION"/>
    <n v="30068581"/>
    <s v="30068581-EJECUCION"/>
    <m/>
    <s v="30068581"/>
    <s v="INSTALACION SERVICIO DE ALCANTARILLADO DE CASCADA"/>
    <n v="1836998000"/>
    <n v="1369473125"/>
    <n v="0"/>
    <n v="0"/>
    <n v="0"/>
    <n v="0"/>
    <n v="0"/>
    <n v="0"/>
    <n v="0"/>
    <n v="0"/>
    <n v="467524875"/>
    <s v="EN EJECUCION"/>
    <s v="RS"/>
    <x v="3"/>
  </r>
  <r>
    <n v="31"/>
    <s v="N"/>
    <s v="AGUA POTABLE Y ALCANTARILLADO"/>
    <s v="OSORNO"/>
    <s v="PTO. OCTAY"/>
    <s v="LIBRE"/>
    <s v="DISEÑO"/>
    <n v="40001236"/>
    <s v="40001236-DISEÑO"/>
    <m/>
    <s v="40001236"/>
    <s v="DISEÑO MEJORAMIENTO PLANTA DE TRATARAMIENTO DE AGUAS SERVIDAS"/>
    <n v="60000000"/>
    <n v="0"/>
    <n v="10000000"/>
    <n v="0"/>
    <n v="0"/>
    <n v="0"/>
    <n v="0"/>
    <n v="0"/>
    <n v="0"/>
    <n v="10000000"/>
    <n v="50000000"/>
    <s v="SOLICITUD"/>
    <s v="SR"/>
    <x v="2"/>
  </r>
  <r>
    <n v="31"/>
    <s v="N"/>
    <s v="AGUA POTABLE Y ALCANTARILLADO"/>
    <s v="OSORNO"/>
    <s v="PTO. OCTAY"/>
    <s v="LIBRE"/>
    <s v="DISEÑO"/>
    <n v="40001280"/>
    <s v="40001280-DISEÑO"/>
    <m/>
    <s v="40001280"/>
    <s v="DISEÑO ALCANTARILLADO DE CASCADAS"/>
    <n v="80000000"/>
    <n v="0"/>
    <n v="15000000"/>
    <n v="0"/>
    <n v="0"/>
    <n v="0"/>
    <n v="0"/>
    <n v="0"/>
    <n v="0"/>
    <n v="15000000"/>
    <n v="65000000"/>
    <s v="SOLICITUD"/>
    <s v="SR"/>
    <x v="2"/>
  </r>
  <r>
    <n v="31"/>
    <s v="N"/>
    <s v="TRANSPORTE"/>
    <s v="OSORNO"/>
    <s v="PTO. OCTAY"/>
    <s v="FAR"/>
    <s v="EJECUCION"/>
    <n v="40001267"/>
    <s v="40001267-EJECUCION"/>
    <m/>
    <s v="40001267"/>
    <s v="CONSERVACION CAMINOS NO ENROLADOS(C33)"/>
    <n v="300000000"/>
    <n v="0"/>
    <n v="50000000"/>
    <n v="0"/>
    <n v="0"/>
    <n v="0"/>
    <n v="0"/>
    <n v="0"/>
    <n v="0"/>
    <n v="50000000"/>
    <n v="250000000"/>
    <s v="SOLICITUD"/>
    <s v="SR*"/>
    <x v="2"/>
  </r>
  <r>
    <n v="31"/>
    <s v="N"/>
    <s v="MULTISECTORIAL"/>
    <s v="OSORNO"/>
    <s v="PTO. OCTAY"/>
    <s v="LIBRE"/>
    <s v="DISEÑO"/>
    <n v="40001260"/>
    <s v="40001260-DISEÑO"/>
    <m/>
    <s v="40001260"/>
    <s v="DISEÑO CONSTRUCCION CEMENTERIO DE PUERTO OCTAY"/>
    <n v="40000000"/>
    <n v="0"/>
    <n v="10000000"/>
    <n v="0"/>
    <n v="0"/>
    <n v="0"/>
    <n v="0"/>
    <n v="0"/>
    <n v="0"/>
    <n v="10000000"/>
    <n v="30000000"/>
    <s v="SOLICITUD"/>
    <s v="SR"/>
    <x v="2"/>
  </r>
  <r>
    <n v="31"/>
    <s v="N"/>
    <s v="AGUA POTABLE Y ALCANTARILLADO"/>
    <s v="OSORNO"/>
    <s v="PTO. OCTAY"/>
    <s v="LIBRE"/>
    <s v="EJECUCION"/>
    <n v="40001253"/>
    <s v="40001253-EJECUCION"/>
    <m/>
    <s v="40001253"/>
    <s v="CONSERVACION SISTEMAS DE APRS COMUNA PUERTO OCTAY (C33)"/>
    <n v="187385000"/>
    <n v="0"/>
    <n v="50000000"/>
    <n v="0"/>
    <n v="0"/>
    <n v="0"/>
    <n v="0"/>
    <n v="0"/>
    <n v="0"/>
    <n v="50000000"/>
    <n v="137385000"/>
    <s v="SOLICITUD"/>
    <s v="SR*"/>
    <x v="2"/>
  </r>
  <r>
    <m/>
    <m/>
    <m/>
    <m/>
    <m/>
    <m/>
    <m/>
    <m/>
    <m/>
    <m/>
    <m/>
    <s v="TOTAL DE INICIATIVAS SIN MOVIMIENTO"/>
    <n v="2504383000"/>
    <n v="1369473125"/>
    <n v="135000000"/>
    <n v="0"/>
    <n v="0"/>
    <n v="0"/>
    <n v="0"/>
    <n v="0"/>
    <n v="0"/>
    <n v="135000000"/>
    <n v="999909875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TOTAL COMUNA DE  PUERTO OCTAY"/>
    <n v="2524163000"/>
    <n v="1373229125"/>
    <n v="140934000"/>
    <n v="0"/>
    <n v="0"/>
    <n v="0"/>
    <n v="0"/>
    <n v="0"/>
    <n v="0"/>
    <n v="140934000"/>
    <n v="1009999875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COMUNA DE PURRANQUE"/>
    <m/>
    <m/>
    <m/>
    <m/>
    <m/>
    <m/>
    <m/>
    <m/>
    <m/>
    <m/>
    <m/>
    <m/>
    <m/>
    <x v="0"/>
  </r>
  <r>
    <m/>
    <m/>
    <m/>
    <m/>
    <m/>
    <m/>
    <m/>
    <m/>
    <m/>
    <m/>
    <m/>
    <s v="INICIATIVAS EN EJECUCION"/>
    <m/>
    <m/>
    <m/>
    <m/>
    <m/>
    <m/>
    <m/>
    <m/>
    <m/>
    <m/>
    <m/>
    <m/>
    <m/>
    <x v="0"/>
  </r>
  <r>
    <n v="31"/>
    <s v="A"/>
    <s v="SALUD"/>
    <s v="OSORNO"/>
    <s v="PURRANQUE"/>
    <s v="LIBRE"/>
    <s v="DISEÑO"/>
    <n v="30171924"/>
    <s v="30171924-DISEÑO"/>
    <s v="30171924-FNDR"/>
    <s v="30171924"/>
    <s v="REPOSICION POSTA RURAL COLONIA PONCE, PURRANQUE"/>
    <n v="17905700"/>
    <n v="11161820"/>
    <n v="6743880"/>
    <n v="0"/>
    <n v="0"/>
    <n v="0"/>
    <n v="0"/>
    <n v="0"/>
    <n v="0"/>
    <n v="6743880"/>
    <n v="0"/>
    <s v="EN EJECUCION"/>
    <s v="RS"/>
    <x v="1"/>
  </r>
  <r>
    <n v="31"/>
    <s v="N"/>
    <s v="SALUD"/>
    <s v="OSORNO"/>
    <s v="PURRANQUE"/>
    <s v="FAR"/>
    <s v="DISEÑO"/>
    <n v="30068433"/>
    <s v="30068433-DISEÑO"/>
    <s v="30068433-FNDR"/>
    <s v="30068433"/>
    <s v="CONSTRUCCION POSTA DE MANQUEMAPU"/>
    <n v="507925000"/>
    <n v="12832500"/>
    <n v="20000000"/>
    <n v="0"/>
    <n v="0"/>
    <n v="0"/>
    <n v="0"/>
    <n v="0"/>
    <n v="0"/>
    <n v="20000000"/>
    <n v="475092500"/>
    <s v="EN EJECUCION"/>
    <s v="RS"/>
    <x v="1"/>
  </r>
  <r>
    <n v="31"/>
    <s v="A"/>
    <s v="AGUA POTABLE Y ALCANTARILLADO"/>
    <s v="OSORNO"/>
    <s v="PURRANQUE"/>
    <s v="SS"/>
    <s v="EJECUCION"/>
    <n v="30074834"/>
    <s v="30074834-EJECUCION"/>
    <m/>
    <s v="30074834"/>
    <s v="CONSTRUCCION ALCANTARILLADO  Y PLANTA DE TRATAMIENTO CRUCERO"/>
    <n v="999484566"/>
    <n v="929328037"/>
    <n v="55588067"/>
    <n v="55588067"/>
    <n v="0"/>
    <n v="0"/>
    <n v="55588067"/>
    <n v="0"/>
    <n v="55588067"/>
    <n v="0"/>
    <n v="14568462"/>
    <s v="EN EJECUCION"/>
    <s v="RS"/>
    <x v="2"/>
  </r>
  <r>
    <m/>
    <m/>
    <m/>
    <m/>
    <m/>
    <m/>
    <m/>
    <m/>
    <m/>
    <m/>
    <m/>
    <s v="TOTAL DE INICIATIVAS EN EJECUCION"/>
    <n v="1525315266"/>
    <n v="953322357"/>
    <n v="82331947"/>
    <n v="55588067"/>
    <n v="0"/>
    <n v="0"/>
    <n v="55588067"/>
    <n v="0"/>
    <n v="55588067"/>
    <n v="26743880"/>
    <n v="489660962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LICITACION/ADJUDICACION"/>
    <m/>
    <m/>
    <m/>
    <m/>
    <m/>
    <m/>
    <m/>
    <m/>
    <m/>
    <m/>
    <m/>
    <m/>
    <m/>
    <x v="0"/>
  </r>
  <r>
    <n v="31"/>
    <s v="A"/>
    <s v="SALUD"/>
    <s v="OSORNO"/>
    <s v="PURRANQUE"/>
    <s v="LIBRE"/>
    <s v="DISEÑO"/>
    <n v="30171923"/>
    <s v="30171923-DISEÑO"/>
    <s v="30171923-FNDR"/>
    <s v="30171923"/>
    <s v="REPOSICION POSTA DE SALUD RURAL HUEYUSCA, PURRANQUE"/>
    <n v="19500000"/>
    <n v="3900000"/>
    <n v="15600000"/>
    <n v="0"/>
    <n v="0"/>
    <n v="0"/>
    <n v="0"/>
    <n v="0"/>
    <n v="0"/>
    <n v="15600000"/>
    <n v="0"/>
    <s v="EN LICITACION"/>
    <s v="RS"/>
    <x v="1"/>
  </r>
  <r>
    <n v="31"/>
    <s v="N"/>
    <s v="MULTISECTORIAL"/>
    <s v="OSORNO"/>
    <s v="PURRANQUE"/>
    <s v="FAR"/>
    <s v="EJECUCION"/>
    <n v="40000636"/>
    <s v="40000636-EJECUCION"/>
    <m/>
    <s v="40000636"/>
    <s v="CONSERVACION ESPACIO PUBLICO BODEGON (C33)"/>
    <n v="139062000"/>
    <n v="0"/>
    <n v="20000000"/>
    <n v="0"/>
    <n v="0"/>
    <n v="0"/>
    <n v="0"/>
    <n v="0"/>
    <n v="0"/>
    <n v="20000000"/>
    <n v="119062000"/>
    <s v="EN LICITACION"/>
    <s v="RS*"/>
    <x v="1"/>
  </r>
  <r>
    <n v="29"/>
    <s v="P"/>
    <s v="MULTISECTORIAL"/>
    <s v="OSORNO"/>
    <s v="PURRANQUE"/>
    <s v="LIBRE"/>
    <s v="EJECUCION"/>
    <n v="40000513"/>
    <s v="40000513-EJECUCION"/>
    <m/>
    <s v="40000513"/>
    <s v="REPOSICION DE CAMIONETAS MUNICIPALES (C33)"/>
    <n v="64796000"/>
    <n v="0"/>
    <n v="64796000"/>
    <n v="0"/>
    <n v="0"/>
    <n v="0"/>
    <n v="0"/>
    <n v="0"/>
    <n v="0"/>
    <n v="64796000"/>
    <n v="0"/>
    <s v="EN LICITACION"/>
    <s v="RS*"/>
    <x v="2"/>
  </r>
  <r>
    <m/>
    <m/>
    <m/>
    <m/>
    <m/>
    <m/>
    <m/>
    <m/>
    <m/>
    <m/>
    <m/>
    <s v="TOTAL DE INICIATIVAS EN LICITACION/ADJUDICACION"/>
    <n v="223358000"/>
    <n v="3900000"/>
    <n v="100396000"/>
    <n v="0"/>
    <n v="0"/>
    <n v="0"/>
    <n v="0"/>
    <n v="0"/>
    <n v="0"/>
    <n v="100396000"/>
    <n v="1190620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TERMINADAS"/>
    <m/>
    <m/>
    <m/>
    <m/>
    <m/>
    <m/>
    <m/>
    <m/>
    <m/>
    <m/>
    <m/>
    <m/>
    <m/>
    <x v="0"/>
  </r>
  <r>
    <n v="31"/>
    <s v="A"/>
    <s v="VIVIENDA"/>
    <s v="OSORNO"/>
    <s v="PURRANQUE"/>
    <s v="LIBRE"/>
    <s v="EJECUCION"/>
    <n v="30134906"/>
    <s v="30134906-EJECUCION"/>
    <m/>
    <s v="30134906"/>
    <s v="REPOSICION PLAZA DE ARMAS CIUDAD DE PURRANQUE"/>
    <n v="1728886839"/>
    <n v="1727840672"/>
    <n v="1046167"/>
    <n v="1046167"/>
    <n v="0"/>
    <n v="0"/>
    <n v="1046167"/>
    <n v="0"/>
    <n v="1046167"/>
    <n v="0"/>
    <n v="0"/>
    <s v="TERMINADO"/>
    <s v="RS"/>
    <x v="3"/>
  </r>
  <r>
    <m/>
    <m/>
    <m/>
    <m/>
    <m/>
    <m/>
    <m/>
    <m/>
    <m/>
    <m/>
    <m/>
    <s v="TOTAL DE INICIATIVAS TERMINADAS"/>
    <n v="1728886839"/>
    <n v="1727840672"/>
    <n v="1046167"/>
    <n v="1046167"/>
    <n v="0"/>
    <n v="0"/>
    <n v="1046167"/>
    <n v="0"/>
    <n v="1046167"/>
    <n v="0"/>
    <n v="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CONVENIO Y TRAMITE"/>
    <m/>
    <m/>
    <m/>
    <m/>
    <m/>
    <m/>
    <m/>
    <m/>
    <m/>
    <m/>
    <m/>
    <m/>
    <m/>
    <x v="0"/>
  </r>
  <r>
    <n v="31"/>
    <s v="P"/>
    <s v="AGUA POTABLE Y ALCANTARILLADO"/>
    <s v="OSORNO"/>
    <s v="PURRANQUE"/>
    <s v="LIBRE"/>
    <s v="EJECUCION"/>
    <n v="30397335"/>
    <s v="30397335-EJECUCION"/>
    <m/>
    <s v="30397335"/>
    <s v="CONSTRUCCION SERVICIO APR COLONIA PONCE, PURRANQUE"/>
    <n v="529939000"/>
    <n v="0"/>
    <n v="52993900"/>
    <n v="0"/>
    <n v="0"/>
    <n v="0"/>
    <n v="0"/>
    <n v="0"/>
    <n v="0"/>
    <n v="52993900"/>
    <n v="476945100"/>
    <s v="CON CONVENIO"/>
    <s v="RS"/>
    <x v="1"/>
  </r>
  <r>
    <n v="31"/>
    <s v="P"/>
    <s v="TRANSPORTE"/>
    <s v="OSORNO"/>
    <s v="PURRANQUE"/>
    <s v="FAR"/>
    <s v="EJECUCION"/>
    <n v="40000611"/>
    <s v="40000611-EJECUCION"/>
    <m/>
    <s v="40000611"/>
    <s v="CONSERVACION VEREDAS DE LA POBLACION CARRASCO (C33)"/>
    <n v="222275000"/>
    <n v="0"/>
    <n v="20000000"/>
    <n v="0"/>
    <n v="0"/>
    <n v="0"/>
    <n v="0"/>
    <n v="0"/>
    <n v="0"/>
    <n v="20000000"/>
    <n v="202275000"/>
    <s v="CON CONVENIO"/>
    <s v="RS*"/>
    <x v="1"/>
  </r>
  <r>
    <n v="31"/>
    <s v="A"/>
    <s v="SALUD"/>
    <s v="OSORNO"/>
    <s v="PURRANQUE"/>
    <s v="LIBRE"/>
    <s v="DISEÑO"/>
    <n v="30171875"/>
    <s v="30171875-DISEÑO"/>
    <s v="30171875-FNDR"/>
    <s v="30171875"/>
    <s v="REPOSICION POSTA SALUD RURAL COLIGUAL, PURRANQUE"/>
    <n v="19500000"/>
    <n v="0"/>
    <n v="13453833"/>
    <n v="0"/>
    <n v="0"/>
    <n v="0"/>
    <n v="0"/>
    <n v="0"/>
    <n v="0"/>
    <n v="13453833"/>
    <n v="6046167"/>
    <s v="TRAMITE CONVENIO"/>
    <s v="RS"/>
    <x v="1"/>
  </r>
  <r>
    <m/>
    <m/>
    <m/>
    <m/>
    <m/>
    <m/>
    <m/>
    <m/>
    <m/>
    <m/>
    <m/>
    <s v="TOTAL DE INICIATIVAS EN CONVENIO Y TRAMITE"/>
    <n v="771714000"/>
    <n v="0"/>
    <n v="86447733"/>
    <n v="0"/>
    <n v="0"/>
    <n v="0"/>
    <n v="0"/>
    <n v="0"/>
    <n v="0"/>
    <n v="86447733"/>
    <n v="685266267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SIN MOVIMIENTO"/>
    <m/>
    <m/>
    <m/>
    <m/>
    <m/>
    <m/>
    <m/>
    <m/>
    <m/>
    <m/>
    <m/>
    <m/>
    <m/>
    <x v="0"/>
  </r>
  <r>
    <n v="31"/>
    <s v="N"/>
    <s v="DEPORTE"/>
    <s v="OSORNO"/>
    <s v="PURRANQUE"/>
    <s v="LIBRE"/>
    <s v="EJECUCION"/>
    <n v="30134930"/>
    <s v="30134930-EJECUCION"/>
    <m/>
    <s v="30134930"/>
    <s v="CONSTRUCCION ESTADIO CORTE-ALTO, PURRANQUE"/>
    <n v="937003000"/>
    <n v="0"/>
    <n v="90000000"/>
    <n v="0"/>
    <n v="0"/>
    <n v="0"/>
    <n v="0"/>
    <n v="0"/>
    <n v="0"/>
    <n v="90000000"/>
    <n v="847003000"/>
    <s v="ARI"/>
    <s v="OT"/>
    <x v="2"/>
  </r>
  <r>
    <n v="31"/>
    <s v="N"/>
    <s v="AGUA POTABLE Y ALCANTARILLADO"/>
    <s v="OSORNO"/>
    <s v="PURRANQUE"/>
    <s v="SS"/>
    <s v="DISEÑO"/>
    <n v="30486132"/>
    <s v="30486132-DISEÑO"/>
    <m/>
    <s v="30486132"/>
    <s v="CONSTRUCCION APR CRUCERO NUEVO, COMUNA DE PURRANQUE"/>
    <n v="38000000"/>
    <n v="0"/>
    <n v="5000000"/>
    <n v="0"/>
    <n v="0"/>
    <n v="0"/>
    <n v="0"/>
    <n v="0"/>
    <n v="0"/>
    <n v="5000000"/>
    <n v="33000000"/>
    <s v="ARI"/>
    <s v="SR"/>
    <x v="2"/>
  </r>
  <r>
    <n v="31"/>
    <s v="N"/>
    <s v="ENERGÍA"/>
    <s v="OSORNO"/>
    <s v="PURRANQUE"/>
    <s v="ENERGIZACION"/>
    <s v="EJECUCION"/>
    <n v="30426925"/>
    <s v="30426925-EJECUCION"/>
    <m/>
    <s v="30426925"/>
    <s v="HABILITACION SUMINISTRO ENERGIA ELECTRICA, SECTOR LA POZA"/>
    <n v="246139000"/>
    <n v="0"/>
    <n v="10000000"/>
    <n v="0"/>
    <n v="0"/>
    <n v="0"/>
    <n v="0"/>
    <n v="0"/>
    <n v="0"/>
    <n v="10000000"/>
    <n v="236139000"/>
    <s v="ARI"/>
    <s v="SR"/>
    <x v="2"/>
  </r>
  <r>
    <n v="31"/>
    <s v="N"/>
    <s v="ENERGÍA"/>
    <s v="OSORNO"/>
    <s v="PURRANQUE"/>
    <s v="ENERGIZACION"/>
    <s v="EJECUCION"/>
    <n v="40000904"/>
    <s v="40000904-EJECUCION"/>
    <m/>
    <s v="40000904"/>
    <s v="HABILITACION SUMINISTRO ENERGIA ELECTRICA, SECTOR COLLIHUINCO"/>
    <n v="214146000"/>
    <n v="0"/>
    <n v="10000000"/>
    <n v="0"/>
    <n v="0"/>
    <n v="0"/>
    <n v="0"/>
    <n v="0"/>
    <n v="0"/>
    <n v="10000000"/>
    <n v="204146000"/>
    <s v="ARI"/>
    <s v="SR"/>
    <x v="2"/>
  </r>
  <r>
    <m/>
    <m/>
    <m/>
    <m/>
    <m/>
    <m/>
    <m/>
    <m/>
    <m/>
    <m/>
    <m/>
    <s v="TOTAL DE INICIATIVAS SIN MOVIMIENTO"/>
    <n v="1435288000"/>
    <n v="0"/>
    <n v="115000000"/>
    <n v="0"/>
    <n v="0"/>
    <n v="0"/>
    <n v="0"/>
    <n v="0"/>
    <n v="0"/>
    <n v="115000000"/>
    <n v="13202880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TOTAL COMUNA DE  PURRANQUE"/>
    <n v="5684562105"/>
    <n v="2685063029"/>
    <n v="385221847"/>
    <n v="56634234"/>
    <n v="0"/>
    <n v="0"/>
    <n v="56634234"/>
    <n v="0"/>
    <n v="56634234"/>
    <n v="328587613"/>
    <n v="2614277229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COMUNA DE PUYEHUE"/>
    <m/>
    <m/>
    <m/>
    <m/>
    <m/>
    <m/>
    <m/>
    <m/>
    <m/>
    <m/>
    <m/>
    <m/>
    <m/>
    <x v="0"/>
  </r>
  <r>
    <m/>
    <m/>
    <m/>
    <m/>
    <m/>
    <m/>
    <m/>
    <m/>
    <m/>
    <m/>
    <m/>
    <s v="INICIATIVAS EN EJECUCION"/>
    <m/>
    <m/>
    <m/>
    <m/>
    <m/>
    <m/>
    <m/>
    <m/>
    <m/>
    <m/>
    <m/>
    <m/>
    <m/>
    <x v="0"/>
  </r>
  <r>
    <n v="31"/>
    <s v="A"/>
    <s v="EDUCACIÓN Y CULTURA"/>
    <s v="OSORNO"/>
    <s v="PUYEHUE"/>
    <s v="FIE"/>
    <s v="EJECUCION"/>
    <n v="30067012"/>
    <s v="30067012-EJECUCION"/>
    <m/>
    <s v="30067012"/>
    <s v="REPOSICION PARCIAL LICEO LAS AMERICAS ENTRE LAGOS"/>
    <n v="2959919000"/>
    <n v="1753882020"/>
    <n v="1159919000"/>
    <n v="230610100"/>
    <n v="230581537"/>
    <n v="190296590"/>
    <n v="651488227"/>
    <n v="112468479"/>
    <n v="763956706"/>
    <n v="395962294"/>
    <n v="46117980"/>
    <s v="EN EJECUCION"/>
    <s v="RS"/>
    <x v="1"/>
  </r>
  <r>
    <n v="31"/>
    <s v="A"/>
    <s v="AGUA POTABLE Y ALCANTARILLADO"/>
    <s v="OSORNO"/>
    <s v="PUYEHUE"/>
    <s v="SS"/>
    <s v="EJECUCION"/>
    <n v="20132784"/>
    <s v="20132784-EJECUCION"/>
    <m/>
    <s v="20132784"/>
    <s v="CONSTRUCCION INFRAESTRUCTURA SANITARIA ALCANTARILLADO PILMAIQUEN"/>
    <n v="1319103033"/>
    <n v="1231260133"/>
    <n v="42657804"/>
    <n v="37016645"/>
    <n v="0"/>
    <n v="0"/>
    <n v="37016645"/>
    <n v="0"/>
    <n v="37016645"/>
    <n v="5641159"/>
    <n v="45185096"/>
    <s v="EN EJECUCION"/>
    <s v="RS"/>
    <x v="3"/>
  </r>
  <r>
    <m/>
    <m/>
    <m/>
    <m/>
    <m/>
    <m/>
    <m/>
    <m/>
    <m/>
    <m/>
    <m/>
    <s v="TOTAL DE INICIATIVAS EN EJECUCION"/>
    <n v="4279022033"/>
    <n v="2985142153"/>
    <n v="1202576804"/>
    <n v="267626745"/>
    <n v="230581537"/>
    <n v="190296590"/>
    <n v="688504872"/>
    <n v="112468479"/>
    <n v="800973351"/>
    <n v="401603453"/>
    <n v="91303076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SIN MOVIMIENTO"/>
    <m/>
    <m/>
    <m/>
    <m/>
    <m/>
    <m/>
    <m/>
    <m/>
    <m/>
    <m/>
    <m/>
    <m/>
    <m/>
    <x v="0"/>
  </r>
  <r>
    <n v="31"/>
    <s v="N"/>
    <s v="AGUA POTABLE Y ALCANTARILLADO"/>
    <s v="OSORNO"/>
    <s v="PUYEHUE"/>
    <s v="SS"/>
    <s v="EJECUCION"/>
    <n v="30485286"/>
    <s v="30485286-EJECUCION"/>
    <m/>
    <s v="30485286"/>
    <s v="CONSTRUCCION PLANTA DE TRATAMIENTO DE AGUAS SERVIDAS ENTRE LAGOS"/>
    <n v="2200000000"/>
    <n v="0"/>
    <n v="10000000"/>
    <n v="0"/>
    <n v="0"/>
    <n v="0"/>
    <n v="0"/>
    <n v="0"/>
    <n v="0"/>
    <n v="10000000"/>
    <n v="2190000000"/>
    <s v="ARI"/>
    <s v="SR"/>
    <x v="2"/>
  </r>
  <r>
    <n v="31"/>
    <s v="N"/>
    <s v="MULTISECTORIAL"/>
    <s v="OSORNO"/>
    <s v="PUYEHUE"/>
    <s v="LIBRE"/>
    <s v="DISEÑO"/>
    <n v="30401324"/>
    <s v="30401324-DISEÑO"/>
    <m/>
    <s v="30401324"/>
    <s v="REPOSICION CENTRO COMUNITARIO EL COLORADO"/>
    <n v="41500000"/>
    <n v="0"/>
    <n v="2075000"/>
    <n v="0"/>
    <n v="0"/>
    <n v="0"/>
    <n v="0"/>
    <n v="0"/>
    <n v="0"/>
    <n v="2075000"/>
    <n v="39425000"/>
    <s v="ARI"/>
    <s v="SR"/>
    <x v="2"/>
  </r>
  <r>
    <n v="31"/>
    <s v="N"/>
    <s v="TRANSPORTE"/>
    <s v="OSORNO"/>
    <s v="PUYEHUE"/>
    <s v="FAR"/>
    <s v="EJECUCION"/>
    <n v="30359222"/>
    <s v="30359222-EJECUCION"/>
    <m/>
    <s v="30359222"/>
    <s v="CONSERVACION CAMINOS NO ENROLADOS DE LA COMUNA DE PUYEHUE (C33)"/>
    <n v="274008000"/>
    <n v="0"/>
    <n v="10000000"/>
    <n v="0"/>
    <n v="0"/>
    <n v="0"/>
    <n v="0"/>
    <n v="0"/>
    <n v="0"/>
    <n v="10000000"/>
    <n v="264008000"/>
    <s v="ARI"/>
    <s v="SR*"/>
    <x v="2"/>
  </r>
  <r>
    <m/>
    <m/>
    <m/>
    <m/>
    <m/>
    <m/>
    <m/>
    <m/>
    <m/>
    <m/>
    <m/>
    <s v="TOTAL DE INICIATIVAS SIN MOVIMIENTO"/>
    <n v="2515508000"/>
    <n v="0"/>
    <n v="22075000"/>
    <n v="0"/>
    <n v="0"/>
    <n v="0"/>
    <n v="0"/>
    <n v="0"/>
    <n v="0"/>
    <n v="22075000"/>
    <n v="24934330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TOTAL COMUNA DE  PUYEHUE"/>
    <n v="6794530033"/>
    <n v="2985142153"/>
    <n v="1224651804"/>
    <n v="267626745"/>
    <n v="230581537"/>
    <n v="190296590"/>
    <n v="688504872"/>
    <n v="112468479"/>
    <n v="800973351"/>
    <n v="423678453"/>
    <n v="2584736076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COMUNA DE RIO NEGRO"/>
    <m/>
    <m/>
    <m/>
    <m/>
    <m/>
    <m/>
    <m/>
    <m/>
    <m/>
    <m/>
    <m/>
    <m/>
    <m/>
    <x v="0"/>
  </r>
  <r>
    <m/>
    <m/>
    <m/>
    <m/>
    <m/>
    <m/>
    <m/>
    <m/>
    <m/>
    <m/>
    <m/>
    <s v="INICIATIVAS EN EJECUCION"/>
    <m/>
    <m/>
    <m/>
    <m/>
    <m/>
    <m/>
    <m/>
    <m/>
    <m/>
    <m/>
    <m/>
    <m/>
    <m/>
    <x v="0"/>
  </r>
  <r>
    <n v="31"/>
    <s v="A"/>
    <s v="DEPORTE"/>
    <s v="OSORNO"/>
    <s v="RIO NEGRO"/>
    <s v="LIBRE"/>
    <s v="EJECUCION"/>
    <n v="30102235"/>
    <s v="30102235-EJECUCION"/>
    <m/>
    <s v="30102235"/>
    <s v="CONSERVACION GIMNASIO FISCAL DE RIO NEGRO (C33)"/>
    <n v="373536000"/>
    <n v="0"/>
    <n v="223536000"/>
    <n v="0"/>
    <n v="0"/>
    <n v="16436249"/>
    <n v="16436249"/>
    <n v="12778811"/>
    <n v="29215060"/>
    <n v="194320940"/>
    <n v="150000000"/>
    <s v="EN EJECUCION"/>
    <s v="RS*"/>
    <x v="1"/>
  </r>
  <r>
    <n v="31"/>
    <s v="A"/>
    <s v="EDUCACIÓN Y CULTURA"/>
    <s v="OSORNO"/>
    <s v="RIO NEGRO"/>
    <s v="LIBRE"/>
    <s v="DISEÑO"/>
    <n v="30088194"/>
    <s v="30088194-DISEÑO"/>
    <m/>
    <s v="30088194"/>
    <s v="REPOSICION ESCUELA ANDREW JACKSON RIO NEGRO"/>
    <n v="128339324"/>
    <n v="32463865"/>
    <n v="52671459"/>
    <n v="0"/>
    <n v="0"/>
    <n v="0"/>
    <n v="0"/>
    <n v="0"/>
    <n v="0"/>
    <n v="52671459"/>
    <n v="43204000"/>
    <s v="EN REEVALUACION"/>
    <s v="RE"/>
    <x v="1"/>
  </r>
  <r>
    <m/>
    <m/>
    <m/>
    <m/>
    <m/>
    <m/>
    <m/>
    <m/>
    <m/>
    <m/>
    <m/>
    <s v="TOTAL DE INICIATIVAS EN EJECUCION"/>
    <n v="501875324"/>
    <n v="32463865"/>
    <n v="276207459"/>
    <n v="0"/>
    <n v="0"/>
    <n v="16436249"/>
    <n v="16436249"/>
    <n v="12778811"/>
    <n v="29215060"/>
    <n v="246992399"/>
    <n v="1932040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SIN MOVIMIENTO"/>
    <m/>
    <m/>
    <m/>
    <m/>
    <m/>
    <m/>
    <m/>
    <m/>
    <m/>
    <m/>
    <m/>
    <m/>
    <m/>
    <x v="0"/>
  </r>
  <r>
    <n v="29"/>
    <s v="N"/>
    <s v="INDUSTRIA, COMERCIO, FINANZAS Y TURISMO"/>
    <s v="OSORNO"/>
    <s v="RIO NEGRO"/>
    <s v="LIBRE"/>
    <s v="EJECUCION"/>
    <n v="30287173"/>
    <s v="30287173-EJECUCION"/>
    <m/>
    <s v="30287173"/>
    <s v="ADQUISICION PLANTA MOVIL FAENADORA DE GANADO MENOR(C33)"/>
    <n v="338411000"/>
    <n v="0"/>
    <n v="16920550"/>
    <n v="0"/>
    <n v="0"/>
    <n v="0"/>
    <n v="0"/>
    <n v="0"/>
    <n v="0"/>
    <n v="16920550"/>
    <n v="321490450"/>
    <s v="ARI"/>
    <s v="SR*"/>
    <x v="2"/>
  </r>
  <r>
    <n v="31"/>
    <s v="N"/>
    <s v="MULTISECTORIAL"/>
    <s v="OSORNO"/>
    <s v="RIO NEGRO"/>
    <s v="LIBRE"/>
    <s v="DISEÑO"/>
    <n v="30102226"/>
    <s v="30102226-DISEÑO"/>
    <m/>
    <s v="30102226"/>
    <s v="REPOSICION EDIFICIO CONSISTORIAL RIO NEGRO"/>
    <n v="157404000"/>
    <n v="0"/>
    <n v="7870200"/>
    <n v="0"/>
    <n v="0"/>
    <n v="0"/>
    <n v="0"/>
    <n v="0"/>
    <n v="0"/>
    <n v="7870200"/>
    <n v="149533800"/>
    <s v="ARI"/>
    <s v="SR"/>
    <x v="2"/>
  </r>
  <r>
    <n v="31"/>
    <s v="N"/>
    <s v="SALUD"/>
    <s v="OSORNO"/>
    <s v="RIO NEGRO"/>
    <s v="LIBRE"/>
    <s v="EJECUCION"/>
    <n v="30280673"/>
    <s v="30280673-EJECUCION"/>
    <s v="30280673-FNDR"/>
    <s v="30280673"/>
    <s v="CONSTRUCCION POSTA SALUD RURAL CHAN CHAN"/>
    <n v="325967000"/>
    <n v="0"/>
    <n v="16298350"/>
    <n v="0"/>
    <n v="0"/>
    <n v="0"/>
    <n v="0"/>
    <n v="0"/>
    <n v="0"/>
    <n v="16298350"/>
    <n v="309668650"/>
    <s v="ARI"/>
    <s v="SR"/>
    <x v="2"/>
  </r>
  <r>
    <m/>
    <m/>
    <m/>
    <m/>
    <m/>
    <m/>
    <m/>
    <m/>
    <m/>
    <m/>
    <m/>
    <s v="TOTAL DE INICIATIVAS SIN MOVIMIENTO"/>
    <n v="821782000"/>
    <n v="0"/>
    <n v="41089100"/>
    <n v="0"/>
    <n v="0"/>
    <n v="0"/>
    <n v="0"/>
    <n v="0"/>
    <n v="0"/>
    <n v="41089100"/>
    <n v="7806929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TOTAL COMUNA DE  RIO NEGRO"/>
    <n v="1323657324"/>
    <n v="32463865"/>
    <n v="317296559"/>
    <n v="0"/>
    <n v="0"/>
    <n v="16436249"/>
    <n v="16436249"/>
    <n v="12778811"/>
    <n v="29215060"/>
    <n v="288081499"/>
    <n v="9738969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COMUNA DE SAN JUAN DE LA COSTA"/>
    <m/>
    <m/>
    <m/>
    <m/>
    <m/>
    <m/>
    <m/>
    <m/>
    <m/>
    <m/>
    <m/>
    <m/>
    <m/>
    <x v="0"/>
  </r>
  <r>
    <m/>
    <m/>
    <m/>
    <m/>
    <m/>
    <m/>
    <m/>
    <m/>
    <m/>
    <m/>
    <m/>
    <s v="INICIATIVAS EN EJECUCION"/>
    <m/>
    <m/>
    <m/>
    <m/>
    <m/>
    <m/>
    <m/>
    <m/>
    <m/>
    <m/>
    <m/>
    <m/>
    <m/>
    <x v="0"/>
  </r>
  <r>
    <n v="31"/>
    <s v="A"/>
    <s v="DEPORTE"/>
    <s v="OSORNO"/>
    <s v="SAN JUAN DE LA COSTA"/>
    <s v="FAR"/>
    <s v="EJECUCION"/>
    <n v="30269724"/>
    <s v="30269724-EJECUCION"/>
    <m/>
    <s v="30269724"/>
    <s v="CONSTRUCCION CANCHA SINTETICA Y ESTADIO MUNICIPAL DE PUAUCHO SAN JUAN DE LA COSTA"/>
    <n v="1154269824"/>
    <n v="1138036824"/>
    <n v="0"/>
    <n v="0"/>
    <n v="0"/>
    <n v="0"/>
    <n v="0"/>
    <n v="0"/>
    <n v="0"/>
    <n v="0"/>
    <n v="16233000"/>
    <s v="EN EJECUCION"/>
    <s v="RS"/>
    <x v="3"/>
  </r>
  <r>
    <m/>
    <m/>
    <m/>
    <m/>
    <m/>
    <m/>
    <m/>
    <m/>
    <m/>
    <m/>
    <m/>
    <s v="TOTAL DE INICIATIVAS EN EJECUCION"/>
    <n v="1154269824"/>
    <n v="1138036824"/>
    <n v="0"/>
    <n v="0"/>
    <n v="0"/>
    <n v="0"/>
    <n v="0"/>
    <n v="0"/>
    <n v="0"/>
    <n v="0"/>
    <n v="162330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LICITACION/ADJUDICACION"/>
    <m/>
    <m/>
    <m/>
    <m/>
    <m/>
    <m/>
    <m/>
    <m/>
    <m/>
    <m/>
    <m/>
    <m/>
    <m/>
    <x v="0"/>
  </r>
  <r>
    <n v="31"/>
    <s v="A"/>
    <s v="EDUCACIÓN Y CULTURA"/>
    <s v="OSORNO"/>
    <s v="SAN JUAN DE LA COSTA"/>
    <s v="FIE"/>
    <s v="EJECUCION"/>
    <n v="30110580"/>
    <s v="30110580-EJECUCION"/>
    <m/>
    <s v="30110580"/>
    <s v="REPOSICION LICEO INTERNADO ANTULAFKEN PUAUCHO"/>
    <n v="2735592418"/>
    <n v="55971432"/>
    <n v="900000000"/>
    <n v="0"/>
    <n v="0"/>
    <n v="0"/>
    <n v="0"/>
    <n v="0"/>
    <n v="0"/>
    <n v="900000000"/>
    <n v="1779620986"/>
    <s v="EN ADJUDICACION"/>
    <s v="RS"/>
    <x v="1"/>
  </r>
  <r>
    <n v="29"/>
    <s v="N"/>
    <s v="MULTISECTORIAL"/>
    <s v="OSORNO"/>
    <s v="SAN JUAN DE LA COSTA"/>
    <s v="LIBRE"/>
    <s v="EJECUCION"/>
    <n v="40001677"/>
    <s v="40001677-EJECUCION"/>
    <m/>
    <s v="40001677"/>
    <s v="REPOSICION VEHICULOS MUNICIPALES, SAN JUAN DE LA COSTA (C33)"/>
    <n v="74519000"/>
    <n v="0"/>
    <n v="0"/>
    <n v="0"/>
    <n v="0"/>
    <n v="0"/>
    <n v="0"/>
    <n v="0"/>
    <n v="0"/>
    <n v="0"/>
    <n v="74519000"/>
    <s v="EN LICITACION"/>
    <s v="RS*"/>
    <x v="2"/>
  </r>
  <r>
    <m/>
    <m/>
    <m/>
    <m/>
    <m/>
    <m/>
    <m/>
    <m/>
    <m/>
    <m/>
    <m/>
    <s v="TOTAL DE INICIATIVAS EN LICITACION/ADJUDICACION"/>
    <n v="2810111418"/>
    <n v="55971432"/>
    <n v="900000000"/>
    <n v="0"/>
    <n v="0"/>
    <n v="0"/>
    <n v="0"/>
    <n v="0"/>
    <n v="0"/>
    <n v="900000000"/>
    <n v="1854139986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TERMINADAS"/>
    <m/>
    <m/>
    <m/>
    <m/>
    <m/>
    <m/>
    <m/>
    <m/>
    <m/>
    <m/>
    <m/>
    <m/>
    <m/>
    <x v="0"/>
  </r>
  <r>
    <n v="31"/>
    <s v="A"/>
    <s v="SALUD"/>
    <s v="OSORNO"/>
    <s v="SAN JUAN DE LA COSTA"/>
    <s v="FAR"/>
    <s v="EJECUCION"/>
    <n v="30135939"/>
    <s v="30135939-EJECUCION"/>
    <s v="30135939-FNDR"/>
    <s v="30135939"/>
    <s v="CONSTRUCCION POSTA SALUD RURAL LA PIEDRA"/>
    <n v="435711564"/>
    <n v="435711564"/>
    <n v="0"/>
    <n v="0"/>
    <n v="0"/>
    <n v="0"/>
    <n v="0"/>
    <n v="0"/>
    <n v="0"/>
    <n v="0"/>
    <n v="0"/>
    <s v="TERMINADO"/>
    <s v="RS"/>
    <x v="2"/>
  </r>
  <r>
    <n v="31"/>
    <s v="A"/>
    <s v="SALUD"/>
    <s v="OSORNO"/>
    <s v="SAN JUAN DE LA COSTA"/>
    <s v="FAR"/>
    <s v="EJECUCION"/>
    <n v="30071876"/>
    <s v="30071876-EJECUCION"/>
    <s v="30071876-FNDR"/>
    <s v="30071876"/>
    <s v="CONSTRUCCION POSTA SALUD RURAL CHAMILCO"/>
    <n v="441054507"/>
    <n v="441054507"/>
    <n v="0"/>
    <n v="0"/>
    <n v="0"/>
    <n v="0"/>
    <n v="0"/>
    <n v="0"/>
    <n v="0"/>
    <n v="0"/>
    <n v="0"/>
    <s v="TERMINADO"/>
    <s v="RS"/>
    <x v="3"/>
  </r>
  <r>
    <m/>
    <m/>
    <m/>
    <m/>
    <m/>
    <m/>
    <m/>
    <m/>
    <m/>
    <m/>
    <m/>
    <s v="TOTAL DE INICIATIVAS TERMINADAS"/>
    <n v="876766071"/>
    <n v="876766071"/>
    <n v="0"/>
    <n v="0"/>
    <n v="0"/>
    <n v="0"/>
    <n v="0"/>
    <n v="0"/>
    <n v="0"/>
    <n v="0"/>
    <n v="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CONVENIO Y TRAMITE"/>
    <m/>
    <m/>
    <m/>
    <m/>
    <m/>
    <m/>
    <m/>
    <m/>
    <m/>
    <m/>
    <m/>
    <m/>
    <m/>
    <x v="0"/>
  </r>
  <r>
    <n v="31"/>
    <s v="N"/>
    <s v="ENERGÍA"/>
    <s v="OSORNO"/>
    <s v="SAN JUAN DE LA COSTA"/>
    <s v="ENERGIZACION"/>
    <s v="EJECUCION"/>
    <n v="20170733"/>
    <s v="20170733-EJECUCION"/>
    <m/>
    <s v="20170733"/>
    <s v="HABILITACION SUMINISTRO ENERGIA ELECTRICA, SECTOR PUNINQUE COMP"/>
    <n v="120128000"/>
    <n v="0"/>
    <n v="0"/>
    <n v="0"/>
    <n v="0"/>
    <n v="0"/>
    <n v="0"/>
    <n v="0"/>
    <n v="0"/>
    <n v="0"/>
    <n v="120128000"/>
    <s v="TRAMITE CONVENIO"/>
    <s v="RS"/>
    <x v="2"/>
  </r>
  <r>
    <n v="31"/>
    <s v="N"/>
    <s v="ENERGÍA"/>
    <s v="OSORNO"/>
    <s v="SAN JUAN DE LA COSTA"/>
    <s v="ENERGIZACION"/>
    <s v="EJECUCION"/>
    <n v="30118485"/>
    <s v="30118485-EJECUCION"/>
    <m/>
    <s v="30118485"/>
    <s v="HABILITACION SUMINISTRO ENERGIA ELECTRICA, SECTOR POPOEM"/>
    <n v="405000000"/>
    <n v="0"/>
    <n v="405000000"/>
    <n v="0"/>
    <n v="0"/>
    <n v="0"/>
    <n v="0"/>
    <n v="0"/>
    <n v="0"/>
    <n v="405000000"/>
    <n v="0"/>
    <s v="TRAMITE CONVENIO"/>
    <s v="RS"/>
    <x v="2"/>
  </r>
  <r>
    <n v="31"/>
    <s v="N"/>
    <s v="ENERGÍA"/>
    <s v="OSORNO"/>
    <s v="SAN JUAN DE LA COSTA"/>
    <s v="ENERGIZACION"/>
    <s v="EJECUCION"/>
    <n v="30463407"/>
    <s v="30463407-EJECUCION"/>
    <m/>
    <s v="30463407"/>
    <s v="HABILITACION SUMINISTRO ENERGIA ELECTRICA, PICHILAFQUENMAPU SN JUAN DE LA COSTA"/>
    <n v="250593000"/>
    <n v="0"/>
    <n v="250593000"/>
    <n v="0"/>
    <n v="0"/>
    <n v="0"/>
    <n v="0"/>
    <n v="0"/>
    <n v="0"/>
    <n v="250593000"/>
    <n v="0"/>
    <s v="TRAMITE CONVENIO"/>
    <s v="RS"/>
    <x v="2"/>
  </r>
  <r>
    <m/>
    <m/>
    <m/>
    <m/>
    <m/>
    <m/>
    <m/>
    <m/>
    <m/>
    <m/>
    <m/>
    <s v="TOTAL DE INICIATIVAS EN CONVENIO Y TRAMITE"/>
    <n v="775721000"/>
    <n v="0"/>
    <n v="655593000"/>
    <n v="0"/>
    <n v="0"/>
    <n v="0"/>
    <n v="0"/>
    <n v="0"/>
    <n v="0"/>
    <n v="655593000"/>
    <n v="1201280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SIN MOVIMIENTO"/>
    <m/>
    <m/>
    <m/>
    <m/>
    <m/>
    <m/>
    <m/>
    <m/>
    <m/>
    <m/>
    <m/>
    <m/>
    <m/>
    <x v="0"/>
  </r>
  <r>
    <n v="31"/>
    <s v="N"/>
    <s v="SALUD"/>
    <s v="OSORNO"/>
    <s v="SAN JUAN DE LA COSTA"/>
    <s v="LIBRE"/>
    <s v="EJECUCION"/>
    <n v="30291073"/>
    <s v="30291073-EJECUCION"/>
    <s v="30291073-FNDR"/>
    <s v="30291073"/>
    <s v="CONSTRUCCION POSTA DE SALUD RURAL PUCATRIHUE"/>
    <n v="442085000"/>
    <n v="0"/>
    <n v="22104250"/>
    <n v="0"/>
    <n v="0"/>
    <n v="0"/>
    <n v="0"/>
    <n v="0"/>
    <n v="0"/>
    <n v="22104250"/>
    <n v="419980750"/>
    <s v="ARI"/>
    <s v="SR"/>
    <x v="2"/>
  </r>
  <r>
    <n v="31"/>
    <s v="N"/>
    <s v="SALUD"/>
    <s v="OSORNO"/>
    <s v="SAN JUAN DE LA COSTA"/>
    <s v="LIBRE"/>
    <s v="EJECUCION"/>
    <n v="30071878"/>
    <s v="30071878-EJECUCION"/>
    <s v="30071878-FNDR"/>
    <s v="30071878"/>
    <s v="REPOSICION CENTRO DE SALUD BAHIA MANSA"/>
    <n v="2396359000"/>
    <n v="0"/>
    <n v="40000000"/>
    <n v="0"/>
    <n v="0"/>
    <n v="0"/>
    <n v="0"/>
    <n v="0"/>
    <n v="0"/>
    <n v="40000000"/>
    <n v="2356359000"/>
    <s v="ARI"/>
    <s v="SR"/>
    <x v="2"/>
  </r>
  <r>
    <n v="31"/>
    <s v="N"/>
    <s v="ENERGÍA"/>
    <s v="OSORNO"/>
    <s v="SAN JUAN DE LA COSTA"/>
    <s v="ENERGIZACION"/>
    <s v="EJECUCION"/>
    <n v="30124377"/>
    <s v="30124377-EJECUCION"/>
    <m/>
    <s v="30124377"/>
    <s v="HABILITACION SUMINISTRO ENERGIA ELECTRICA, QUILLOIMO SAN JUAN DE LA COSTA"/>
    <n v="285604000"/>
    <n v="0"/>
    <n v="187762000"/>
    <n v="0"/>
    <n v="0"/>
    <n v="0"/>
    <n v="0"/>
    <n v="0"/>
    <n v="0"/>
    <n v="187762000"/>
    <n v="97842000"/>
    <s v="ARI"/>
    <s v="SR"/>
    <x v="4"/>
  </r>
  <r>
    <n v="31"/>
    <s v="N"/>
    <s v="ENERGÍA"/>
    <s v="OSORNO"/>
    <s v="SAN JUAN DE LA COSTA"/>
    <s v="ENERGIZACION"/>
    <s v="EJECUCION"/>
    <n v="30124368"/>
    <s v="30124368-EJECUCION"/>
    <m/>
    <s v="30124368"/>
    <s v="HABILITACION SUMINISTRO ENERGIA ELECTRICA,  ALEUCAPI SAN JUAN DE LA COSTA"/>
    <n v="182674000"/>
    <n v="0"/>
    <n v="20000000"/>
    <n v="0"/>
    <n v="0"/>
    <n v="0"/>
    <n v="0"/>
    <n v="0"/>
    <n v="0"/>
    <n v="20000000"/>
    <n v="162674000"/>
    <s v="ARI"/>
    <s v="SR"/>
    <x v="2"/>
  </r>
  <r>
    <m/>
    <m/>
    <m/>
    <m/>
    <m/>
    <m/>
    <m/>
    <m/>
    <m/>
    <m/>
    <m/>
    <s v="TOTAL DE INICIATIVAS SIN MOVIMIENTO"/>
    <n v="3306722000"/>
    <n v="0"/>
    <n v="269866250"/>
    <n v="0"/>
    <n v="0"/>
    <n v="0"/>
    <n v="0"/>
    <n v="0"/>
    <n v="0"/>
    <n v="269866250"/>
    <n v="303685575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TOTAL COMUNA DE  SAN JUAN DE LA COSTA"/>
    <n v="8923590313"/>
    <n v="2070774327"/>
    <n v="1825459250"/>
    <n v="0"/>
    <n v="0"/>
    <n v="0"/>
    <n v="0"/>
    <n v="0"/>
    <n v="0"/>
    <n v="1825459250"/>
    <n v="5027356736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COMUNA DE SAN PABLO"/>
    <m/>
    <m/>
    <m/>
    <m/>
    <m/>
    <m/>
    <m/>
    <m/>
    <m/>
    <m/>
    <m/>
    <m/>
    <m/>
    <x v="0"/>
  </r>
  <r>
    <m/>
    <m/>
    <m/>
    <m/>
    <m/>
    <m/>
    <m/>
    <m/>
    <m/>
    <m/>
    <m/>
    <s v="INICIATIVAS EN EJECUCION"/>
    <m/>
    <m/>
    <m/>
    <m/>
    <m/>
    <m/>
    <m/>
    <m/>
    <m/>
    <m/>
    <m/>
    <m/>
    <m/>
    <x v="0"/>
  </r>
  <r>
    <n v="31"/>
    <s v="A"/>
    <s v="TRANSPORTE"/>
    <s v="OSORNO"/>
    <s v="SAN PABLO"/>
    <s v="FAR"/>
    <s v="DISEÑO"/>
    <n v="30247072"/>
    <s v="30247072-DISEÑO"/>
    <m/>
    <s v="30247072"/>
    <s v="MEJORAMIENTO ACCESO NORTE DE SAN PABLO"/>
    <n v="74800000"/>
    <n v="2093000"/>
    <n v="41140000"/>
    <n v="0"/>
    <n v="0"/>
    <n v="26180000"/>
    <n v="26180000"/>
    <n v="0"/>
    <n v="26180000"/>
    <n v="14960000"/>
    <n v="31567000"/>
    <s v="EN EJECUCION"/>
    <s v="RS"/>
    <x v="1"/>
  </r>
  <r>
    <m/>
    <m/>
    <m/>
    <m/>
    <m/>
    <m/>
    <m/>
    <m/>
    <m/>
    <m/>
    <m/>
    <s v="TOTAL DE INICIATIVAS EN EJECUCION"/>
    <n v="74800000"/>
    <n v="2093000"/>
    <n v="41140000"/>
    <n v="0"/>
    <n v="0"/>
    <n v="26180000"/>
    <n v="26180000"/>
    <n v="0"/>
    <n v="26180000"/>
    <n v="14960000"/>
    <n v="315670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TERMINADAS"/>
    <m/>
    <m/>
    <m/>
    <m/>
    <m/>
    <m/>
    <m/>
    <m/>
    <m/>
    <m/>
    <m/>
    <m/>
    <m/>
    <x v="0"/>
  </r>
  <r>
    <n v="29"/>
    <s v="P"/>
    <s v="MULTISECTORIAL"/>
    <s v="OSORNO"/>
    <s v="SAN PABLO"/>
    <s v="LIBRE"/>
    <s v="EJECUCION"/>
    <n v="30487187"/>
    <s v="30487187-EJECUCION"/>
    <m/>
    <s v="30487187"/>
    <s v="ADQUISICION DE VEHICULOS PARA LA EJECUCION DE LABORALES MUNICIPALES(C33)"/>
    <n v="116320068"/>
    <n v="89920068"/>
    <n v="26400000"/>
    <n v="0"/>
    <n v="0"/>
    <n v="0"/>
    <n v="0"/>
    <n v="26400000"/>
    <n v="26400000"/>
    <n v="0"/>
    <n v="0"/>
    <s v="TERMINADO"/>
    <s v="RS*"/>
    <x v="1"/>
  </r>
  <r>
    <m/>
    <m/>
    <m/>
    <m/>
    <m/>
    <m/>
    <m/>
    <m/>
    <m/>
    <m/>
    <m/>
    <s v="TOTAL DE INICIATIVAS TERMINADAS"/>
    <n v="116320068"/>
    <n v="89920068"/>
    <n v="26400000"/>
    <n v="0"/>
    <n v="0"/>
    <n v="0"/>
    <n v="0"/>
    <n v="26400000"/>
    <n v="26400000"/>
    <n v="0"/>
    <n v="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CONVENIO Y TRAMITE"/>
    <m/>
    <m/>
    <m/>
    <m/>
    <m/>
    <m/>
    <m/>
    <m/>
    <m/>
    <m/>
    <m/>
    <m/>
    <m/>
    <x v="0"/>
  </r>
  <r>
    <n v="29"/>
    <s v="N"/>
    <s v="MULTISECTORIAL"/>
    <s v="OSORNO"/>
    <s v="SAN PABLO"/>
    <s v="LIBRE"/>
    <s v="EJECUCION"/>
    <n v="40001702"/>
    <s v="40001702-EJECUCION"/>
    <m/>
    <s v="40001702"/>
    <s v="REPOSICION VEHICULO DIRECCION DE ASEO Y ORNATO (C33)"/>
    <n v="70000000"/>
    <n v="0"/>
    <n v="0"/>
    <n v="0"/>
    <n v="0"/>
    <n v="0"/>
    <n v="0"/>
    <n v="0"/>
    <n v="0"/>
    <n v="0"/>
    <n v="70000000"/>
    <s v="TRAMITE CONVENIO"/>
    <s v="RS*"/>
    <x v="2"/>
  </r>
  <r>
    <m/>
    <m/>
    <m/>
    <m/>
    <m/>
    <m/>
    <m/>
    <m/>
    <m/>
    <m/>
    <m/>
    <s v="TOTAL DE INICIATIVAS EN CONVENIO Y TRAMITE"/>
    <n v="70000000"/>
    <n v="0"/>
    <n v="0"/>
    <n v="0"/>
    <n v="0"/>
    <n v="0"/>
    <n v="0"/>
    <n v="0"/>
    <n v="0"/>
    <n v="0"/>
    <n v="700000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SIN MOVIMIENTO"/>
    <m/>
    <m/>
    <m/>
    <m/>
    <m/>
    <m/>
    <m/>
    <m/>
    <m/>
    <m/>
    <m/>
    <m/>
    <m/>
    <x v="0"/>
  </r>
  <r>
    <n v="31"/>
    <s v="N"/>
    <s v="SALUD"/>
    <s v="OSORNO"/>
    <s v="SAN PABLO"/>
    <s v="LIBRE"/>
    <s v="DISEÑO"/>
    <n v="30405773"/>
    <s v="30405773-DISEÑO"/>
    <s v="30405773-FNDR"/>
    <s v="30405773"/>
    <s v="REPOSICION POSTA RURAL LA POZA, COMUNA DE SAN PABLO"/>
    <n v="25000000"/>
    <n v="0"/>
    <n v="2500000"/>
    <n v="0"/>
    <n v="0"/>
    <n v="0"/>
    <n v="0"/>
    <n v="0"/>
    <n v="0"/>
    <n v="2500000"/>
    <n v="22500000"/>
    <s v="ARI"/>
    <s v="SR"/>
    <x v="2"/>
  </r>
  <r>
    <n v="31"/>
    <s v="N"/>
    <s v="ENERGÍA"/>
    <s v="OSORNO"/>
    <s v="SAN PABLO"/>
    <s v="ENERGIZACION"/>
    <s v="EJECUCION"/>
    <n v="30465145"/>
    <s v="30465145-EJECUCION"/>
    <m/>
    <s v="30465145"/>
    <s v="HABILITACION SUMINISTRO ENERGIA ELECTRICA,  SECTOR COSTA SAN PABLO"/>
    <n v="429195000"/>
    <n v="0"/>
    <n v="21459750"/>
    <n v="0"/>
    <n v="0"/>
    <n v="0"/>
    <n v="0"/>
    <n v="0"/>
    <n v="0"/>
    <n v="21459750"/>
    <n v="407735250"/>
    <s v="ARI"/>
    <s v="SR"/>
    <x v="2"/>
  </r>
  <r>
    <n v="31"/>
    <s v="N"/>
    <s v="ENERGÍA"/>
    <s v="OSORNO"/>
    <s v="SAN PABLO"/>
    <s v="ENERGIZACION"/>
    <s v="EJECUCION"/>
    <n v="30176872"/>
    <s v="30176872-EJECUCION"/>
    <m/>
    <s v="30176872"/>
    <s v="HABILITACION SUMINISTRO ENERGIA ELECTRICA, SECTOR LLANO CENTRAL"/>
    <n v="247206000"/>
    <n v="0"/>
    <n v="12360300"/>
    <n v="0"/>
    <n v="0"/>
    <n v="0"/>
    <n v="0"/>
    <n v="0"/>
    <n v="0"/>
    <n v="12360300"/>
    <n v="234845700"/>
    <s v="ARI"/>
    <s v="SR"/>
    <x v="2"/>
  </r>
  <r>
    <n v="31"/>
    <s v="N"/>
    <s v="VIVIENDA"/>
    <s v="OSORNO"/>
    <s v="SAN PABLO"/>
    <s v="LIBRE"/>
    <s v="EJECUCION"/>
    <n v="30465141"/>
    <s v="30465141-EJECUCION"/>
    <m/>
    <s v="30465141"/>
    <s v="CONSERVACION PLAZA DE ARMAS DE SAN PABLO (C33)"/>
    <n v="225854000"/>
    <n v="0"/>
    <n v="4438632"/>
    <n v="0"/>
    <n v="0"/>
    <n v="0"/>
    <n v="0"/>
    <n v="0"/>
    <n v="0"/>
    <n v="4438632"/>
    <n v="221415368"/>
    <s v="ARI"/>
    <s v="SR*"/>
    <x v="2"/>
  </r>
  <r>
    <m/>
    <m/>
    <m/>
    <m/>
    <m/>
    <m/>
    <m/>
    <m/>
    <m/>
    <m/>
    <m/>
    <s v="TOTAL DE INICIATIVAS SIN MOVIMIENTO"/>
    <n v="927255000"/>
    <n v="0"/>
    <n v="40758682"/>
    <n v="0"/>
    <n v="0"/>
    <n v="0"/>
    <n v="0"/>
    <n v="0"/>
    <n v="0"/>
    <n v="40758682"/>
    <n v="886496318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TOTAL COMUNA DE  SAN PABLO"/>
    <n v="1188375068"/>
    <n v="92013068"/>
    <n v="108298682"/>
    <n v="0"/>
    <n v="0"/>
    <n v="26180000"/>
    <n v="26180000"/>
    <n v="26400000"/>
    <n v="52580000"/>
    <n v="55718682"/>
    <n v="988063318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PROVINCIALES"/>
    <m/>
    <m/>
    <m/>
    <m/>
    <m/>
    <m/>
    <m/>
    <m/>
    <m/>
    <m/>
    <m/>
    <m/>
    <m/>
    <x v="0"/>
  </r>
  <r>
    <m/>
    <m/>
    <m/>
    <m/>
    <m/>
    <m/>
    <m/>
    <m/>
    <m/>
    <m/>
    <m/>
    <s v="INICIATIVAS EN EJECUCION"/>
    <m/>
    <m/>
    <m/>
    <m/>
    <m/>
    <m/>
    <m/>
    <m/>
    <m/>
    <m/>
    <m/>
    <m/>
    <m/>
    <x v="0"/>
  </r>
  <r>
    <n v="31"/>
    <s v="A"/>
    <s v="MULTISECTORIAL"/>
    <s v="OSORNO"/>
    <s v="PROV. OSORNO"/>
    <s v="RSD"/>
    <s v="EJECUCION"/>
    <n v="30086815"/>
    <s v="30086815-EJECUCION"/>
    <m/>
    <s v="30086815"/>
    <s v="CONSTRUCCION  RELLENO SANITARIO PROV. DE OSORNO"/>
    <n v="15318985549"/>
    <n v="4648166927"/>
    <n v="5000000000"/>
    <n v="0"/>
    <n v="0"/>
    <n v="0"/>
    <n v="0"/>
    <n v="88439156"/>
    <n v="88439156"/>
    <n v="4911560844"/>
    <n v="5670818622"/>
    <s v="EN EJECUCION"/>
    <s v="RS"/>
    <x v="5"/>
  </r>
  <r>
    <n v="31"/>
    <s v="A"/>
    <s v="SALUD"/>
    <s v="OSORNO"/>
    <s v="PROV. OSORNO"/>
    <s v="LIBRE"/>
    <s v="EJECUCION"/>
    <n v="30158072"/>
    <s v="30158072-EJECUCION"/>
    <s v="30158072-FNDR"/>
    <s v="30158072"/>
    <s v="MEJORAMIENTO HOSPITAL DE PTO OCTAY"/>
    <n v="3257705000"/>
    <n v="2093000"/>
    <n v="1200000000"/>
    <n v="0"/>
    <n v="0"/>
    <n v="0"/>
    <n v="0"/>
    <n v="0"/>
    <n v="0"/>
    <n v="1200000000"/>
    <n v="2055612000"/>
    <s v="EN EJECUCION"/>
    <s v="RS"/>
    <x v="1"/>
  </r>
  <r>
    <n v="33"/>
    <s v="P"/>
    <s v="MULTISECTORIAL"/>
    <s v="OSORNO"/>
    <s v="PROV. OSORNO"/>
    <s v="FRIL"/>
    <s v="EJECUCION"/>
    <s v="S/C"/>
    <s v="S/C-EJECUCION"/>
    <m/>
    <s v="S/C"/>
    <s v="FONDO  REGIONAL DE INICIATIVA LOCAL"/>
    <n v="1381816800"/>
    <n v="0"/>
    <n v="1381816800"/>
    <n v="31077847"/>
    <n v="252592897"/>
    <n v="386662130"/>
    <n v="670332874"/>
    <n v="233715991"/>
    <n v="904048865"/>
    <n v="477767935"/>
    <n v="0"/>
    <s v="EN EJECUCION"/>
    <s v="RS**"/>
    <x v="2"/>
  </r>
  <r>
    <m/>
    <m/>
    <m/>
    <m/>
    <m/>
    <m/>
    <m/>
    <m/>
    <m/>
    <m/>
    <m/>
    <s v="TOTAL DE INICIATIVAS EN EJECUCION"/>
    <n v="19958507349"/>
    <n v="4650259927"/>
    <n v="7581816800"/>
    <n v="31077847"/>
    <n v="252592897"/>
    <n v="386662130"/>
    <n v="670332874"/>
    <n v="322155147"/>
    <n v="992488021"/>
    <n v="6589328779"/>
    <n v="7726430622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LICITACION/ADJUDICACION"/>
    <m/>
    <m/>
    <m/>
    <m/>
    <m/>
    <m/>
    <m/>
    <m/>
    <m/>
    <m/>
    <m/>
    <m/>
    <m/>
    <x v="0"/>
  </r>
  <r>
    <n v="31"/>
    <s v="A"/>
    <s v="DEFENSA Y SEGURIDAD"/>
    <s v="OSORNO"/>
    <s v="PROV. OSORNO"/>
    <s v="FAR"/>
    <s v="EJECUCION"/>
    <n v="30087497"/>
    <s v="30087497-EJECUCION"/>
    <m/>
    <s v="30087497"/>
    <s v="REPOSICION CUARTEL POLICIAL PREFECTURA PROVINCIAL OSORNO"/>
    <n v="5473500000"/>
    <n v="16381000"/>
    <n v="3057366668"/>
    <n v="0"/>
    <n v="0"/>
    <n v="0"/>
    <n v="0"/>
    <n v="0"/>
    <n v="0"/>
    <n v="3057366668"/>
    <n v="2399752332"/>
    <s v="EN ADJUDICACION"/>
    <s v="RS"/>
    <x v="1"/>
  </r>
  <r>
    <n v="31"/>
    <s v="A"/>
    <s v="TRANSPORTE"/>
    <s v="OSORNO"/>
    <s v="PROV. OSORNO"/>
    <s v="LIBRE"/>
    <s v="DISEÑO"/>
    <n v="30465788"/>
    <s v="30465788-DISEÑO"/>
    <m/>
    <s v="30465788"/>
    <s v="AMPLIACION AERODROMO CAÑAL BAJO"/>
    <n v="325073000"/>
    <n v="3999000"/>
    <n v="297001000"/>
    <n v="0"/>
    <n v="0"/>
    <n v="0"/>
    <n v="0"/>
    <n v="0"/>
    <n v="0"/>
    <n v="297001000"/>
    <n v="24073000"/>
    <s v="EN ADJUDICACION"/>
    <s v="RS"/>
    <x v="1"/>
  </r>
  <r>
    <n v="31"/>
    <s v="P"/>
    <s v="SALUD"/>
    <s v="OSORNO"/>
    <s v="PROV. OSORNO"/>
    <s v="LIBRE"/>
    <s v="EJECUCION"/>
    <n v="30136310"/>
    <s v="30136310-EJECUCION"/>
    <s v="30136310-FNDR"/>
    <s v="30136310"/>
    <s v="MEJORAMIENTO IMAGENOLOGIA COMPLEJA HOSPITAL BASE SAN JOSE DE OSORNO"/>
    <n v="1811122000"/>
    <n v="0"/>
    <n v="190966068"/>
    <n v="0"/>
    <n v="0"/>
    <n v="0"/>
    <n v="0"/>
    <n v="0"/>
    <n v="0"/>
    <n v="190966068"/>
    <n v="1620155932"/>
    <s v="EN ADJUDICACION"/>
    <s v="RS"/>
    <x v="2"/>
  </r>
  <r>
    <n v="31"/>
    <s v="P"/>
    <s v="SALUD"/>
    <s v="OSORNO"/>
    <s v="PROV. OSORNO"/>
    <s v="LIBRE"/>
    <s v="EJECUCION"/>
    <n v="30126943"/>
    <s v="30126943-EJECUCION"/>
    <s v="30126943-FNDR"/>
    <s v="30126943"/>
    <s v="MEJORAMIENTO HOSPITAL DE RIO NEGRO"/>
    <n v="3242559000"/>
    <n v="2092000"/>
    <n v="1144411933"/>
    <n v="0"/>
    <n v="0"/>
    <n v="0"/>
    <n v="0"/>
    <n v="0"/>
    <n v="0"/>
    <n v="1144411933"/>
    <n v="2096055067"/>
    <s v="EN ADJUDICACION"/>
    <s v="RS"/>
    <x v="1"/>
  </r>
  <r>
    <n v="29"/>
    <s v="P"/>
    <s v="MULTISECTORIAL"/>
    <s v="OSORNO"/>
    <s v="PROV. OSORNO"/>
    <s v="RSD"/>
    <s v="EJECUCION"/>
    <n v="30085619"/>
    <s v="30085619-EJECUCION"/>
    <m/>
    <s v="30085619"/>
    <s v="ADQUISICION CAMION MULTIPROPOSITO Y ADQUISICION DE 20  CONTENEDORES (C33)"/>
    <n v="190400000"/>
    <n v="0"/>
    <n v="190400000"/>
    <n v="0"/>
    <n v="0"/>
    <n v="0"/>
    <n v="0"/>
    <n v="0"/>
    <n v="0"/>
    <n v="190400000"/>
    <n v="0"/>
    <s v="EN LICITACION"/>
    <s v="RS*"/>
    <x v="2"/>
  </r>
  <r>
    <m/>
    <m/>
    <m/>
    <m/>
    <m/>
    <m/>
    <m/>
    <m/>
    <m/>
    <m/>
    <m/>
    <s v="TOTAL DE INICIATIVAS EN LICITACION/ADJUDICACION"/>
    <n v="11042654000"/>
    <n v="22472000"/>
    <n v="4880145669"/>
    <n v="0"/>
    <n v="0"/>
    <n v="0"/>
    <n v="0"/>
    <n v="0"/>
    <n v="0"/>
    <n v="4880145669"/>
    <n v="6140036331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CONVENIO Y TRAMITE"/>
    <m/>
    <m/>
    <m/>
    <m/>
    <m/>
    <m/>
    <m/>
    <m/>
    <m/>
    <m/>
    <m/>
    <m/>
    <m/>
    <x v="0"/>
  </r>
  <r>
    <n v="29"/>
    <s v="P"/>
    <s v="SALUD"/>
    <s v="OSORNO"/>
    <s v="PROV. OSORNO"/>
    <s v="LIBRE"/>
    <s v="EJECUCION"/>
    <n v="30486204"/>
    <s v="30486204-EJECUCION"/>
    <m/>
    <s v="30486204"/>
    <s v="ADQUISICION CABINA FOTOTERAPIA PARA HOSPITAL BASE DE OSORNO(C33)"/>
    <n v="24857000"/>
    <n v="0"/>
    <n v="24857000"/>
    <n v="0"/>
    <n v="0"/>
    <n v="0"/>
    <n v="0"/>
    <n v="0"/>
    <n v="0"/>
    <n v="24857000"/>
    <n v="0"/>
    <s v="CON CONVENIO"/>
    <s v="RS*"/>
    <x v="3"/>
  </r>
  <r>
    <n v="29"/>
    <s v="N"/>
    <s v="DEFENSA Y SEGURIDAD"/>
    <s v="OSORNO"/>
    <s v="PROV. OSORNO"/>
    <s v="LIBRE"/>
    <s v="EJECUCION"/>
    <n v="40001457"/>
    <s v="40001457-EJECUCION"/>
    <m/>
    <s v="40001457"/>
    <s v="REPOSICION VEHICULOS PDI, PROVINCIA DE OSORNO (C33)"/>
    <n v="249575000"/>
    <n v="0"/>
    <n v="0"/>
    <n v="0"/>
    <n v="0"/>
    <n v="0"/>
    <n v="0"/>
    <n v="0"/>
    <n v="0"/>
    <n v="0"/>
    <n v="249575000"/>
    <s v="CON CONVENIO"/>
    <s v="RS*"/>
    <x v="2"/>
  </r>
  <r>
    <n v="31"/>
    <s v="P"/>
    <s v="TRANSPORTE"/>
    <s v="OSORNO"/>
    <s v="PROV. OSORNO"/>
    <s v="FAR"/>
    <s v="EJECUCION"/>
    <n v="30448275"/>
    <s v="30448275-EJECUCION"/>
    <m/>
    <s v="30448275"/>
    <s v="CONSERVACION CAMINOS VECINALES POR GLOSA 7, ETAPA 1, PROVINCIA OSORNO(C33)"/>
    <n v="328333000"/>
    <n v="0"/>
    <n v="50000000"/>
    <n v="0"/>
    <n v="0"/>
    <n v="0"/>
    <n v="0"/>
    <n v="0"/>
    <n v="0"/>
    <n v="50000000"/>
    <n v="278333000"/>
    <s v="TRAMITE CONVENIO"/>
    <s v="RS*"/>
    <x v="1"/>
  </r>
  <r>
    <n v="31"/>
    <s v="P"/>
    <s v="MULTISECTORIAL"/>
    <s v="OSORNO"/>
    <s v="PROV. OSORNO"/>
    <s v="LIBRE"/>
    <s v="EJECUCION"/>
    <n v="30126075"/>
    <s v="30126075-EJECUCION"/>
    <m/>
    <s v="30126075"/>
    <s v="MEJORAMIENTO INFRAESTRUCTURA PASO CARDENAL SAMORE(PATIO CAMIONES)"/>
    <n v="886118000"/>
    <n v="0"/>
    <n v="300000000"/>
    <n v="0"/>
    <n v="0"/>
    <n v="0"/>
    <n v="0"/>
    <n v="0"/>
    <n v="0"/>
    <n v="300000000"/>
    <n v="586118000"/>
    <s v="TRAMITE CONVENIO"/>
    <s v="RS"/>
    <x v="1"/>
  </r>
  <r>
    <n v="24"/>
    <s v="P"/>
    <s v="EDUCACIÓN Y CULTURA"/>
    <s v="OSORNO"/>
    <s v="PROV. OSORNO"/>
    <s v="LIBRE"/>
    <s v="EJECUCION"/>
    <s v="SUBT 24"/>
    <s v="SUBT 24-EJECUCION"/>
    <m/>
    <s v="SUBT 24"/>
    <s v="ACTIVIDADES CULTURALES"/>
    <n v="359099988.79963976"/>
    <n v="0"/>
    <n v="359099988.79963976"/>
    <n v="0"/>
    <n v="0"/>
    <n v="0"/>
    <n v="0"/>
    <n v="904413"/>
    <n v="904413"/>
    <n v="358195575.79963976"/>
    <n v="0"/>
    <s v="CONCURSO"/>
    <s v="RS***"/>
    <x v="2"/>
  </r>
  <r>
    <n v="24"/>
    <s v="P"/>
    <s v="DEPORTE"/>
    <s v="OSORNO"/>
    <s v="PROV. OSORNO"/>
    <s v="LIBRE"/>
    <s v="EJECUCION"/>
    <s v="SUBT 24"/>
    <s v="SUBT 24-EJECUCION"/>
    <m/>
    <s v="SUBT 24"/>
    <s v="ACTIVIDADES DEPORTIVAS"/>
    <n v="359099988.79963976"/>
    <n v="0"/>
    <n v="359099988.79963976"/>
    <n v="0"/>
    <n v="1350000"/>
    <n v="0"/>
    <n v="1350000"/>
    <n v="0"/>
    <n v="1350000"/>
    <n v="357749988.79963976"/>
    <n v="0"/>
    <s v="CONCURSO"/>
    <s v="RS***"/>
    <x v="2"/>
  </r>
  <r>
    <n v="24"/>
    <s v="P"/>
    <s v="DEFENSA Y SEGURIDAD"/>
    <s v="OSORNO"/>
    <s v="PROV. OSORNO"/>
    <s v="LIBRE"/>
    <s v="EJECUCION"/>
    <s v="SUBT 24"/>
    <s v="SUBT 24-EJECUCION"/>
    <m/>
    <s v="SUBT 24"/>
    <s v="ACTIVIDADES COMUNIDAD ACTIVA"/>
    <n v="359099988.79963976"/>
    <n v="0"/>
    <n v="359099988.79963976"/>
    <n v="0"/>
    <n v="0"/>
    <n v="0"/>
    <n v="0"/>
    <n v="0"/>
    <n v="0"/>
    <n v="359099988.79963976"/>
    <n v="0"/>
    <s v="CONCURSO"/>
    <s v="RS***"/>
    <x v="2"/>
  </r>
  <r>
    <m/>
    <m/>
    <m/>
    <m/>
    <m/>
    <m/>
    <m/>
    <m/>
    <m/>
    <m/>
    <m/>
    <s v="TOTAL DE INICIATIVAS EN CONVENIO Y TRAMITE"/>
    <n v="2566182966.3989191"/>
    <n v="0"/>
    <n v="1452156966.3989191"/>
    <n v="0"/>
    <n v="1350000"/>
    <n v="0"/>
    <n v="1350000"/>
    <n v="904413"/>
    <n v="2254413"/>
    <n v="1449902553.3989191"/>
    <n v="11140260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SIN MOVIMIENTO"/>
    <m/>
    <m/>
    <m/>
    <m/>
    <m/>
    <m/>
    <m/>
    <m/>
    <m/>
    <m/>
    <m/>
    <m/>
    <m/>
    <x v="0"/>
  </r>
  <r>
    <n v="31"/>
    <s v="N"/>
    <s v="SALUD"/>
    <s v="OSORNO"/>
    <s v="PROV. OSORNO"/>
    <s v="LIBRE"/>
    <s v="EJECUCION"/>
    <n v="30324573"/>
    <s v="30324573-EJECUCION"/>
    <s v="30324573-FNDR"/>
    <s v="30324573"/>
    <s v="CONSTRUCCION CENTRO DE DESPACHO Y BASE SAMU PROVINCIA DE OSORNO"/>
    <n v="1496798000"/>
    <n v="0"/>
    <n v="10000000"/>
    <n v="0"/>
    <n v="0"/>
    <n v="0"/>
    <n v="0"/>
    <n v="0"/>
    <n v="0"/>
    <n v="10000000"/>
    <n v="1486798000"/>
    <s v="SOLICITUD"/>
    <s v="RS"/>
    <x v="2"/>
  </r>
  <r>
    <n v="31"/>
    <s v="P"/>
    <s v="AGUA POTABLE Y ALCANTARILLADO"/>
    <s v="OSORNO"/>
    <s v="PROV. OSORNO"/>
    <s v="LIBRE"/>
    <s v="EJECUCION"/>
    <n v="30358072"/>
    <s v="30358072-EJECUCION"/>
    <m/>
    <s v="30358072"/>
    <s v="CONSERVACION SISTEMA DE AGUAS PREDIALES COMUNIDADES INDIGENAS (C33)"/>
    <n v="100000000"/>
    <n v="0"/>
    <n v="10000000"/>
    <n v="0"/>
    <n v="0"/>
    <n v="0"/>
    <n v="0"/>
    <n v="0"/>
    <n v="0"/>
    <n v="10000000"/>
    <n v="90000000"/>
    <s v="SOLICITUD"/>
    <s v="RS*"/>
    <x v="2"/>
  </r>
  <r>
    <n v="31"/>
    <s v="N"/>
    <s v="TRANSPORTE"/>
    <s v="OSORNO"/>
    <s v="PROV. OSORNO"/>
    <s v="FAR"/>
    <s v="EJECUCION"/>
    <s v="S/C"/>
    <s v="S/C-EJECUCION"/>
    <m/>
    <s v="S/C"/>
    <s v="CONSERVACION CAMINOS RURALES INDIGENA, GLOSA 10 (C33)"/>
    <n v="300000000"/>
    <n v="0"/>
    <n v="50000000"/>
    <n v="0"/>
    <n v="0"/>
    <n v="0"/>
    <n v="0"/>
    <n v="0"/>
    <n v="0"/>
    <n v="50000000"/>
    <n v="250000000"/>
    <s v="SOLICITUD"/>
    <s v="SR*"/>
    <x v="2"/>
  </r>
  <r>
    <m/>
    <m/>
    <m/>
    <m/>
    <m/>
    <m/>
    <m/>
    <m/>
    <m/>
    <m/>
    <m/>
    <s v="TOTAL DE INICIATIVAS SIN MOVIMIENTO"/>
    <n v="1896798000"/>
    <n v="0"/>
    <n v="70000000"/>
    <n v="0"/>
    <n v="0"/>
    <n v="0"/>
    <n v="0"/>
    <n v="0"/>
    <n v="0"/>
    <n v="70000000"/>
    <n v="18267980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TOTAL PROVINCIALES"/>
    <n v="35464142315.398918"/>
    <n v="4672731927"/>
    <n v="13984119435.398918"/>
    <n v="31077847"/>
    <n v="253942897"/>
    <n v="386662130"/>
    <n v="671682874"/>
    <n v="323059560"/>
    <n v="994742434"/>
    <n v="12989377001.398918"/>
    <n v="16807290953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TOTAL PROVINCIA DE OSORNO"/>
    <n v="99614795111.398926"/>
    <n v="17299582711"/>
    <n v="24948295823.398918"/>
    <n v="615372306"/>
    <n v="635145662"/>
    <n v="1154460475"/>
    <n v="2404978443"/>
    <n v="954414942"/>
    <n v="3359393385"/>
    <n v="21588902438.398918"/>
    <n v="57366916577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COMUNA DE PUERTO MONTT"/>
    <m/>
    <m/>
    <m/>
    <m/>
    <m/>
    <m/>
    <m/>
    <m/>
    <m/>
    <m/>
    <m/>
    <m/>
    <m/>
    <x v="0"/>
  </r>
  <r>
    <m/>
    <m/>
    <m/>
    <m/>
    <m/>
    <m/>
    <m/>
    <m/>
    <m/>
    <m/>
    <m/>
    <s v="INICIATIVAS EN EJECUCION"/>
    <m/>
    <m/>
    <m/>
    <m/>
    <m/>
    <m/>
    <m/>
    <m/>
    <m/>
    <m/>
    <m/>
    <m/>
    <m/>
    <x v="0"/>
  </r>
  <r>
    <n v="31"/>
    <s v="A"/>
    <s v="TRANSPORTE"/>
    <s v="LLANQUIHUE"/>
    <s v="P. MONTT"/>
    <s v="FAR"/>
    <s v="EJECUCION"/>
    <n v="30356933"/>
    <s v="30356933-EJECUCION"/>
    <m/>
    <s v="30356933"/>
    <s v="MEJORAMIENTO CALLE BARROS ARANA"/>
    <n v="892628000"/>
    <n v="1147000"/>
    <n v="676106875"/>
    <n v="1560000"/>
    <n v="1560000"/>
    <n v="38682638"/>
    <n v="41802638"/>
    <n v="51616006"/>
    <n v="93418644"/>
    <n v="582688231"/>
    <n v="215374125"/>
    <s v="EN EJECUCION"/>
    <s v="RS"/>
    <x v="6"/>
  </r>
  <r>
    <n v="31"/>
    <s v="A"/>
    <s v="MULTISECTORIAL"/>
    <s v="LLANQUIHUE"/>
    <s v="P. MONTT"/>
    <s v="FAR"/>
    <s v="EJECUCION"/>
    <n v="30129273"/>
    <s v="30129273-EJECUCION"/>
    <m/>
    <s v="30129273"/>
    <s v="CONSTRUCCION HOSPEDERIA HOGAR DE CRISTO"/>
    <n v="2021937012"/>
    <n v="2014383699"/>
    <n v="7553313"/>
    <n v="0"/>
    <n v="0"/>
    <n v="1198372"/>
    <n v="1198372"/>
    <n v="381705"/>
    <n v="1580077"/>
    <n v="5973236"/>
    <n v="0"/>
    <s v="EN EJECUCION"/>
    <s v="RS"/>
    <x v="6"/>
  </r>
  <r>
    <n v="31"/>
    <s v="A"/>
    <s v="DEPORTE"/>
    <s v="LLANQUIHUE"/>
    <s v="P. MONTT"/>
    <s v="LIBRE"/>
    <s v="EJECUCION"/>
    <n v="30199074"/>
    <s v="30199074-EJECUCION"/>
    <m/>
    <s v="30199074"/>
    <s v="REPOSICION ESTADIO VIEJOS CRACK CHINQUIHUE"/>
    <n v="1816198434"/>
    <n v="1751057725"/>
    <n v="5595475"/>
    <n v="0"/>
    <n v="2015116"/>
    <n v="0"/>
    <n v="2015116"/>
    <n v="3580359"/>
    <n v="5595475"/>
    <n v="0"/>
    <n v="59545234"/>
    <s v="EN EJECUCION"/>
    <s v="RS"/>
    <x v="5"/>
  </r>
  <r>
    <n v="31"/>
    <s v="A"/>
    <s v="EDUCACIÓN Y CULTURA"/>
    <s v="LLANQUIHUE"/>
    <s v="P. MONTT"/>
    <s v="FIE"/>
    <s v="EJECUCION"/>
    <n v="30063478"/>
    <s v="30063478-EJECUCION"/>
    <m/>
    <s v="30063478"/>
    <s v="REPOSICION ESCUELA MAILLEN ESTERO"/>
    <n v="2265125957"/>
    <n v="2214659319"/>
    <n v="17793967"/>
    <n v="0"/>
    <n v="0"/>
    <n v="0"/>
    <n v="0"/>
    <n v="0"/>
    <n v="0"/>
    <n v="17793967"/>
    <n v="32672671"/>
    <s v="EN EJECUCION"/>
    <s v="RS"/>
    <x v="7"/>
  </r>
  <r>
    <n v="31"/>
    <s v="A"/>
    <s v="SALUD"/>
    <s v="LLANQUIHUE"/>
    <s v="P. MONTT"/>
    <s v="LIBRE"/>
    <s v="EJECUCION"/>
    <n v="30034666"/>
    <s v="30034666-EJECUCION"/>
    <m/>
    <s v="30034666"/>
    <s v="REPOSICION POSTA DEL SECTOR RURAL DE CHAICAS"/>
    <n v="262243848"/>
    <n v="242272569"/>
    <n v="19971279"/>
    <n v="0"/>
    <n v="0"/>
    <n v="0"/>
    <n v="0"/>
    <n v="0"/>
    <n v="0"/>
    <n v="19971279"/>
    <n v="0"/>
    <s v="EN EJECUCION"/>
    <s v="RS"/>
    <x v="7"/>
  </r>
  <r>
    <n v="31"/>
    <s v="A"/>
    <s v="EDUCACIÓN Y CULTURA"/>
    <s v="LLANQUIHUE"/>
    <s v="P. MONTT"/>
    <s v="FIE"/>
    <s v="EJECUCION"/>
    <n v="30103446"/>
    <s v="30103446-EJECUCION"/>
    <m/>
    <s v="30103446"/>
    <s v="CONSTRUCCION ESTABLECIMIENTO EDUCACIONAL SEC. ALERCE I ETAPA P MONTT"/>
    <n v="4575910582"/>
    <n v="4513636083"/>
    <n v="62274499"/>
    <n v="0"/>
    <n v="0"/>
    <n v="0"/>
    <n v="0"/>
    <n v="5477422"/>
    <n v="5477422"/>
    <n v="56797077"/>
    <n v="0"/>
    <s v="EN EJECUCION"/>
    <s v="RS"/>
    <x v="7"/>
  </r>
  <r>
    <n v="31"/>
    <s v="A"/>
    <s v="DEPORTE"/>
    <s v="LLANQUIHUE"/>
    <s v="P. MONTT"/>
    <s v="LIBRE"/>
    <s v="EJECUCION"/>
    <n v="30199272"/>
    <s v="30199272-EJECUCION"/>
    <m/>
    <s v="30199272"/>
    <s v="REPOSICION ESTADIO ANTONIO VARAS COMUNA PUERTO MONTT "/>
    <n v="1683911357"/>
    <n v="1673202656"/>
    <n v="10708701"/>
    <n v="2015116"/>
    <n v="0"/>
    <n v="0"/>
    <n v="2015116"/>
    <n v="4400465"/>
    <n v="6415581"/>
    <n v="4293120"/>
    <n v="0"/>
    <s v="EN EJECUCION"/>
    <s v="RS"/>
    <x v="7"/>
  </r>
  <r>
    <n v="31"/>
    <s v="A"/>
    <s v="TRANSPORTE"/>
    <s v="LLANQUIHUE"/>
    <s v="P. MONTT"/>
    <s v="FAR"/>
    <s v="EJECUCION"/>
    <n v="30084978"/>
    <s v="30084978-EJECUCION"/>
    <m/>
    <s v="30084978"/>
    <s v="MEJORAMIENTO CALLES QUEMCHI Y ELEUTERIO RAMIREZ"/>
    <n v="233740051"/>
    <n v="217661768"/>
    <n v="16078283"/>
    <n v="0"/>
    <n v="0"/>
    <n v="0"/>
    <n v="0"/>
    <n v="0"/>
    <n v="0"/>
    <n v="16078283"/>
    <n v="0"/>
    <s v="EN EJECUCION"/>
    <s v="RS"/>
    <x v="2"/>
  </r>
  <r>
    <n v="31"/>
    <s v="A"/>
    <s v="MULTISECTORIAL"/>
    <s v="LLANQUIHUE"/>
    <s v="P. MONTT"/>
    <s v="LIBRE"/>
    <s v="EJECUCION"/>
    <n v="30073367"/>
    <s v="30073367-EJECUCION"/>
    <m/>
    <s v="30073367"/>
    <s v="CONSTRUCCION OFICINA REGISTRO CIVIL E IDENTIF. ALERCE, PUERTO MONTT"/>
    <n v="428305415"/>
    <n v="343624242"/>
    <n v="63950650"/>
    <n v="0"/>
    <n v="5597159"/>
    <n v="4639291"/>
    <n v="10236450"/>
    <n v="0"/>
    <n v="10236450"/>
    <n v="53714200"/>
    <n v="20730523"/>
    <s v="EN EJECUCION"/>
    <s v="RS"/>
    <x v="5"/>
  </r>
  <r>
    <n v="31"/>
    <s v="A"/>
    <s v="SALUD"/>
    <s v="LLANQUIHUE"/>
    <s v="P. MONTT"/>
    <s v="LIBRE"/>
    <s v="EJECUCION"/>
    <n v="20190549"/>
    <s v="20190549-EJECUCION"/>
    <m/>
    <s v="20190549"/>
    <s v="AMPLIACION Y REMODELACION CONSULTORIO ANTONIO VARAS"/>
    <n v="3985138607"/>
    <n v="3955473444"/>
    <n v="29665163"/>
    <n v="0"/>
    <n v="0"/>
    <n v="0"/>
    <n v="0"/>
    <n v="0"/>
    <n v="0"/>
    <n v="29665163"/>
    <n v="0"/>
    <s v="EN EJECUCION"/>
    <s v="RS"/>
    <x v="6"/>
  </r>
  <r>
    <n v="31"/>
    <s v="A"/>
    <s v="DEFENSA Y SEGURIDAD"/>
    <s v="LLANQUIHUE"/>
    <s v="P. MONTT"/>
    <s v="FAR"/>
    <s v="EJECUCION"/>
    <n v="30076941"/>
    <s v="30076941-EJECUCION"/>
    <m/>
    <s v="30076941"/>
    <s v="REPOSICION SUBCOMISARIA ALERCE"/>
    <n v="1774352506"/>
    <n v="1710357726"/>
    <n v="63994780"/>
    <n v="0"/>
    <n v="0"/>
    <n v="0"/>
    <n v="0"/>
    <n v="0"/>
    <n v="0"/>
    <n v="63994780"/>
    <n v="0"/>
    <s v="EN EJECUCION"/>
    <s v="RS"/>
    <x v="2"/>
  </r>
  <r>
    <n v="31"/>
    <s v="P"/>
    <s v="MULTISECTORIAL"/>
    <s v="LLANQUIHUE"/>
    <s v="P. MONTT"/>
    <s v="RSD"/>
    <s v="EJECUCION"/>
    <n v="30104476"/>
    <s v="30104476-EJECUCION"/>
    <m/>
    <s v="30104476"/>
    <s v="CONSTRUCCION CIERRE VERTEDERO MUNICIPAL COMUNA DE PUERTO MONTT"/>
    <n v="1085187000"/>
    <n v="2101000"/>
    <n v="50000000"/>
    <n v="0"/>
    <n v="0"/>
    <n v="0"/>
    <n v="0"/>
    <n v="0"/>
    <n v="0"/>
    <n v="50000000"/>
    <n v="1033086000"/>
    <s v="EN EJECUCION"/>
    <s v="RS"/>
    <x v="5"/>
  </r>
  <r>
    <n v="29"/>
    <s v="P"/>
    <s v="SALUD"/>
    <s v="LLANQUIHUE"/>
    <s v="P. MONTT"/>
    <s v="LIBRE"/>
    <s v="EJECUCION"/>
    <n v="40000194"/>
    <s v="40000194-EJECUCION"/>
    <m/>
    <s v="40000194"/>
    <s v="ADQUISICION EQUIPOS Y EQUIPAMIENTO CENTRO ONCOLOGICO AMBULATORIO (C33)"/>
    <n v="1039322000"/>
    <n v="28247017"/>
    <n v="947080203"/>
    <n v="0"/>
    <n v="0"/>
    <n v="9936055"/>
    <n v="9936055"/>
    <n v="41618281"/>
    <n v="51554336"/>
    <n v="895525867"/>
    <n v="63994780"/>
    <s v="EN EJECUCION"/>
    <s v="RS*"/>
    <x v="5"/>
  </r>
  <r>
    <n v="31"/>
    <s v="A"/>
    <s v="EDUCACIÓN Y CULTURA"/>
    <s v="LLANQUIHUE"/>
    <s v="P. MONTT"/>
    <s v="LIBRE"/>
    <s v="DISEÑO"/>
    <n v="30106468"/>
    <s v="30106468-DISEÑO"/>
    <m/>
    <s v="30106468"/>
    <s v="REPOSICION ESCUELA RURAL LAGUNITAS PUERTO MONTT"/>
    <n v="117000000"/>
    <n v="4200000"/>
    <n v="112799750"/>
    <n v="9588000"/>
    <n v="0"/>
    <n v="19176000"/>
    <n v="28764000"/>
    <n v="0"/>
    <n v="28764000"/>
    <n v="84035750"/>
    <n v="250"/>
    <s v="EN EJECUCION"/>
    <s v="RS"/>
    <x v="2"/>
  </r>
  <r>
    <n v="31"/>
    <s v="N"/>
    <s v="SALUD"/>
    <s v="LLANQUIHUE"/>
    <s v="P. MONTT"/>
    <s v="LIBRE"/>
    <s v="DISEÑO"/>
    <n v="30080729"/>
    <s v="30080729-DISEÑO"/>
    <s v="30080729-FNDR"/>
    <s v="30080729"/>
    <s v="REPOSICION CENTRO SALUD FAMILIAR ANGELMO"/>
    <n v="1438056000"/>
    <n v="0"/>
    <n v="28576250"/>
    <n v="0"/>
    <n v="0"/>
    <n v="0"/>
    <n v="0"/>
    <n v="28576250"/>
    <n v="28576250"/>
    <n v="0"/>
    <n v="1409479750"/>
    <s v="EN EJECUCION"/>
    <s v="RS"/>
    <x v="6"/>
  </r>
  <r>
    <n v="31"/>
    <s v="A"/>
    <s v="EDUCACIÓN Y CULTURA"/>
    <s v="LLANQUIHUE"/>
    <s v="P. MONTT"/>
    <s v="FIE"/>
    <s v="EJECUCION"/>
    <n v="30440174"/>
    <s v="30440174-EJECUCION"/>
    <m/>
    <s v="30440174"/>
    <s v="CONSERVACION MULTICANCHA CUBIERTA LICEO MANUEL MONTT (C33)"/>
    <n v="425709000"/>
    <n v="0"/>
    <n v="301570833"/>
    <n v="0"/>
    <n v="148195484"/>
    <n v="102354097"/>
    <n v="250549581"/>
    <n v="45639828"/>
    <n v="296189409"/>
    <n v="5381424"/>
    <n v="124138167"/>
    <s v="EN EJECUCION"/>
    <s v="RS*"/>
    <x v="6"/>
  </r>
  <r>
    <m/>
    <m/>
    <m/>
    <m/>
    <m/>
    <m/>
    <m/>
    <m/>
    <m/>
    <m/>
    <m/>
    <s v="TOTAL DE INICIATIVAS EN EJECUCION"/>
    <n v="24044765769"/>
    <n v="18672024248"/>
    <n v="2413720021"/>
    <n v="13163116"/>
    <n v="157367759"/>
    <n v="175986453"/>
    <n v="346517328"/>
    <n v="181290316"/>
    <n v="527807644"/>
    <n v="1885912377"/>
    <n v="29590215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TERMINADAS"/>
    <m/>
    <m/>
    <m/>
    <m/>
    <m/>
    <m/>
    <m/>
    <m/>
    <m/>
    <m/>
    <m/>
    <m/>
    <m/>
    <x v="0"/>
  </r>
  <r>
    <n v="31"/>
    <s v="A"/>
    <s v="AGUA POTABLE Y ALCANTARILLADO"/>
    <s v="LLANQUIHUE"/>
    <s v="P. MONTT"/>
    <s v="LIBRE"/>
    <s v="EJECUCION"/>
    <n v="30388872"/>
    <s v="30388872-EJECUCION"/>
    <m/>
    <s v="30388872"/>
    <s v="CONSTRUCCION SERVICIO APR CHINCHIN GRANDE "/>
    <n v="244155487"/>
    <n v="220680329"/>
    <n v="23475158"/>
    <n v="0"/>
    <n v="23475158"/>
    <n v="0"/>
    <n v="23475158"/>
    <n v="0"/>
    <n v="23475158"/>
    <n v="0"/>
    <n v="0"/>
    <s v="TERMINADO"/>
    <s v="RS"/>
    <x v="6"/>
  </r>
  <r>
    <n v="31"/>
    <s v="A"/>
    <s v="DEPORTE"/>
    <s v="LLANQUIHUE"/>
    <s v="P. MONTT"/>
    <s v="LIBRE"/>
    <s v="EJECUCION"/>
    <n v="30097978"/>
    <s v="30097978-EJECUCION"/>
    <m/>
    <s v="30097978"/>
    <s v="AMPLIACION COMPLEJO DEPORTIVO ESTERO LOBOS"/>
    <n v="2184339043"/>
    <n v="2184339043"/>
    <n v="0"/>
    <n v="0"/>
    <n v="0"/>
    <n v="0"/>
    <n v="0"/>
    <n v="0"/>
    <n v="0"/>
    <n v="0"/>
    <n v="0"/>
    <s v="TERMINADO"/>
    <s v="RS"/>
    <x v="6"/>
  </r>
  <r>
    <m/>
    <m/>
    <m/>
    <m/>
    <m/>
    <m/>
    <m/>
    <m/>
    <m/>
    <m/>
    <m/>
    <s v="TOTAL DE INICIATIVAS TERMINADAS"/>
    <n v="2428494530"/>
    <n v="2405019372"/>
    <n v="23475158"/>
    <n v="0"/>
    <n v="23475158"/>
    <n v="0"/>
    <n v="23475158"/>
    <n v="0"/>
    <n v="23475158"/>
    <n v="0"/>
    <n v="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LICITACION/ADJUDICACION"/>
    <m/>
    <m/>
    <m/>
    <m/>
    <m/>
    <m/>
    <m/>
    <m/>
    <m/>
    <m/>
    <m/>
    <m/>
    <m/>
    <x v="0"/>
  </r>
  <r>
    <n v="31"/>
    <s v="P"/>
    <s v="AGUA POTABLE Y ALCANTARILLADO"/>
    <s v="LLANQUIHUE"/>
    <s v="P. MONTT"/>
    <s v="SS"/>
    <s v="EJECUCION"/>
    <n v="30461279"/>
    <s v="30461279-EJECUCION"/>
    <m/>
    <s v="30461279"/>
    <s v="AMPLIACION APR LAS QUEMAS SAN ANTONIO SECTOR CHAQUEIHUA"/>
    <n v="395716000"/>
    <n v="0"/>
    <n v="118714800"/>
    <n v="0"/>
    <n v="0"/>
    <n v="0"/>
    <n v="0"/>
    <n v="0"/>
    <n v="0"/>
    <n v="118714800"/>
    <n v="277001200"/>
    <s v="EN ADJUDICACION"/>
    <s v="RS"/>
    <x v="7"/>
  </r>
  <r>
    <n v="31"/>
    <s v="P"/>
    <s v="TRANSPORTE"/>
    <s v="LLANQUIHUE"/>
    <s v="P. MONTT"/>
    <s v="FAR"/>
    <s v="EJECUCION"/>
    <n v="20195455"/>
    <s v="20195455-EJECUCION"/>
    <m/>
    <s v="20195455"/>
    <s v="MEJORAMIENTO CALLE PADRE HARTER"/>
    <n v="1032398000"/>
    <n v="0"/>
    <n v="211629167"/>
    <n v="0"/>
    <n v="0"/>
    <n v="0"/>
    <n v="0"/>
    <n v="0"/>
    <n v="0"/>
    <n v="211629167"/>
    <n v="820768833"/>
    <s v="EN ADJUDICACION"/>
    <s v="RS"/>
    <x v="7"/>
  </r>
  <r>
    <n v="31"/>
    <s v="P"/>
    <s v="TRANSPORTE"/>
    <s v="LLANQUIHUE"/>
    <s v="P. MONTT"/>
    <s v="FAR"/>
    <s v="EJECUCION"/>
    <n v="30080460"/>
    <s v="30080460-EJECUCION"/>
    <m/>
    <s v="30080460"/>
    <s v="CONSTRUCCION PUENTE EL SARGAZO DE PTO MONTT"/>
    <n v="272533000"/>
    <n v="0"/>
    <n v="20000000"/>
    <n v="0"/>
    <n v="0"/>
    <n v="0"/>
    <n v="0"/>
    <n v="0"/>
    <n v="0"/>
    <n v="20000000"/>
    <n v="252533000"/>
    <s v="EN ADJUDICACION"/>
    <s v="RS"/>
    <x v="5"/>
  </r>
  <r>
    <n v="29"/>
    <s v="P"/>
    <s v="MULTISECTORIAL"/>
    <s v="LLANQUIHUE"/>
    <s v="P. MONTT"/>
    <s v="RSD"/>
    <s v="EJECUCION"/>
    <n v="30481457"/>
    <s v="30481457-EJECUCION"/>
    <m/>
    <s v="30481457"/>
    <s v="ADQUISICION CAMION CARGA LATERAL Y TRANSBORDO MOVIL PARA RECOLECCION RESIDUOS SOLIDOS DOMICILIARIOS (C33)"/>
    <n v="471072000"/>
    <n v="0"/>
    <n v="471072000"/>
    <n v="0"/>
    <n v="0"/>
    <n v="0"/>
    <n v="0"/>
    <n v="0"/>
    <n v="0"/>
    <n v="471072000"/>
    <n v="0"/>
    <s v="EN ADJUDICACION"/>
    <s v="RS*"/>
    <x v="2"/>
  </r>
  <r>
    <n v="31"/>
    <s v="P"/>
    <s v="AGUA POTABLE Y ALCANTARILLADO"/>
    <s v="LLANQUIHUE"/>
    <s v="P. MONTT"/>
    <s v="SS"/>
    <s v="EJECUCION"/>
    <n v="30429872"/>
    <s v="30429872-EJECUCION"/>
    <m/>
    <s v="30429872"/>
    <s v="CONSTRUCCION REDES AGUA POTABLE Y ALCANT VILLA LOS PINOS ALTOS"/>
    <n v="413476000"/>
    <n v="0"/>
    <n v="120000000"/>
    <n v="0"/>
    <n v="0"/>
    <n v="0"/>
    <n v="0"/>
    <n v="0"/>
    <n v="0"/>
    <n v="120000000"/>
    <n v="293476000"/>
    <s v="EN LICITACION"/>
    <s v="RS"/>
    <x v="6"/>
  </r>
  <r>
    <m/>
    <m/>
    <m/>
    <m/>
    <m/>
    <m/>
    <m/>
    <m/>
    <m/>
    <m/>
    <m/>
    <s v="TOTAL DE INICIATIVAS EN LICITACION/ADJUDICACION"/>
    <n v="2585195000"/>
    <n v="0"/>
    <n v="941415967"/>
    <n v="0"/>
    <n v="0"/>
    <n v="0"/>
    <n v="0"/>
    <n v="0"/>
    <n v="0"/>
    <n v="941415967"/>
    <n v="1643779033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CONVENIO Y TRAMITE"/>
    <m/>
    <m/>
    <m/>
    <m/>
    <m/>
    <m/>
    <m/>
    <m/>
    <m/>
    <m/>
    <m/>
    <m/>
    <m/>
    <x v="0"/>
  </r>
  <r>
    <n v="31"/>
    <s v="N"/>
    <s v="SALUD"/>
    <s v="LLANQUIHUE"/>
    <s v="P. MONTT"/>
    <s v="LIBRE"/>
    <s v="EJECUCION"/>
    <n v="30364305"/>
    <s v="30364305-EJECUCION"/>
    <m/>
    <s v="30364305"/>
    <s v="AMPLIACION Y MEJORAMIENTO INSTITUTO TELETON"/>
    <n v="2629279000"/>
    <n v="0"/>
    <n v="262688853"/>
    <n v="0"/>
    <n v="0"/>
    <n v="0"/>
    <n v="0"/>
    <n v="0"/>
    <n v="0"/>
    <n v="262688853"/>
    <n v="2366590147"/>
    <s v="CON CONVENIO"/>
    <s v="RS"/>
    <x v="7"/>
  </r>
  <r>
    <n v="31"/>
    <s v="P"/>
    <s v="DEFENSA Y SEGURIDAD"/>
    <s v="LLANQUIHUE"/>
    <s v="P. MONTT"/>
    <s v="LIBRE"/>
    <s v="EJECUCION"/>
    <n v="30115395"/>
    <s v="30115395-EJECUCION"/>
    <m/>
    <s v="30115395"/>
    <s v="CONSTRUCCION CUARTEL 8° COMPAÑIA DE BOMBEROS"/>
    <n v="790552000"/>
    <n v="0"/>
    <n v="235967228"/>
    <n v="0"/>
    <n v="0"/>
    <n v="0"/>
    <n v="0"/>
    <n v="0"/>
    <n v="0"/>
    <n v="235967228"/>
    <n v="554584772"/>
    <s v="CON CONVENIO"/>
    <s v="RS"/>
    <x v="6"/>
  </r>
  <r>
    <n v="31"/>
    <s v="N"/>
    <s v="TRANSPORTE"/>
    <s v="LLANQUIHUE"/>
    <s v="P. MONTT"/>
    <s v="LIBRE"/>
    <s v="EJECUCION"/>
    <n v="30487413"/>
    <s v="30487413-EJECUCION"/>
    <m/>
    <s v="30487413"/>
    <s v="CONSERVACION VIAS URBANAS PUERTO MONTT (C33)"/>
    <n v="248354000"/>
    <n v="0"/>
    <n v="0"/>
    <n v="0"/>
    <n v="0"/>
    <n v="0"/>
    <n v="0"/>
    <n v="0"/>
    <n v="0"/>
    <n v="0"/>
    <n v="248354000"/>
    <s v="CON CONVENIO"/>
    <s v="RS*"/>
    <x v="7"/>
  </r>
  <r>
    <n v="31"/>
    <s v="P"/>
    <s v="SALUD"/>
    <s v="LLANQUIHUE"/>
    <s v="P. MONTT"/>
    <s v="LIBRE"/>
    <s v="EJECUCION"/>
    <n v="30128140"/>
    <s v="30128140-EJECUCION"/>
    <m/>
    <s v="30128140"/>
    <s v="NORMALIZACION CESFAM ALERCE "/>
    <n v="4090107000"/>
    <n v="4000000"/>
    <n v="1169326927"/>
    <n v="0"/>
    <n v="0"/>
    <n v="0"/>
    <n v="0"/>
    <n v="0"/>
    <n v="0"/>
    <n v="1169326927"/>
    <n v="2916780073"/>
    <s v="CON CONVENIO"/>
    <s v="RS"/>
    <x v="6"/>
  </r>
  <r>
    <n v="31"/>
    <s v="N"/>
    <s v="AGUA POTABLE Y ALCANTARILLADO"/>
    <s v="LLANQUIHUE"/>
    <s v="P. MONTT"/>
    <s v="LIBRE"/>
    <s v="EJECUCION"/>
    <n v="30481304"/>
    <s v="30481304-EJECUCION"/>
    <m/>
    <s v="30481304"/>
    <s v="AMPLIACION SERVICIO APR LAGUNITAS, VALLE CARDONAL "/>
    <n v="597291000"/>
    <n v="0"/>
    <n v="0"/>
    <n v="0"/>
    <n v="0"/>
    <n v="0"/>
    <n v="0"/>
    <n v="0"/>
    <n v="0"/>
    <n v="0"/>
    <n v="597291000"/>
    <s v="TRAMITE CONVENIO"/>
    <s v="RS"/>
    <x v="7"/>
  </r>
  <r>
    <n v="31"/>
    <s v="N"/>
    <s v="ENERGÍA"/>
    <s v="LLANQUIHUE"/>
    <s v="P. MONTT"/>
    <s v="ENERGIZACION"/>
    <s v="EJECUCION"/>
    <n v="30488869"/>
    <s v="30488869-EJECUCION"/>
    <m/>
    <s v="30488869"/>
    <s v="HABILITACION SUMINISTRO DE ENERGIA ELECTRICA SECTOR LA QUEMADA"/>
    <n v="55002000"/>
    <n v="0"/>
    <n v="0"/>
    <n v="0"/>
    <n v="0"/>
    <n v="0"/>
    <n v="0"/>
    <n v="0"/>
    <n v="0"/>
    <n v="0"/>
    <n v="55002000"/>
    <s v="TRAMITE CONVENIO"/>
    <s v="RS"/>
    <x v="2"/>
  </r>
  <r>
    <m/>
    <m/>
    <m/>
    <m/>
    <m/>
    <m/>
    <m/>
    <m/>
    <m/>
    <m/>
    <m/>
    <s v="TOTAL DE INICIATIVAS EN CONVENIO Y TRAMITE"/>
    <n v="8410585000"/>
    <n v="4000000"/>
    <n v="1667983008"/>
    <n v="0"/>
    <n v="0"/>
    <n v="0"/>
    <n v="0"/>
    <n v="0"/>
    <n v="0"/>
    <n v="1667983008"/>
    <n v="6738601992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SIN MOVIMIENTO"/>
    <m/>
    <m/>
    <m/>
    <m/>
    <m/>
    <m/>
    <m/>
    <m/>
    <m/>
    <m/>
    <m/>
    <m/>
    <m/>
    <x v="0"/>
  </r>
  <r>
    <n v="31"/>
    <s v="N"/>
    <s v="TRANSPORTE"/>
    <s v="LLANQUIHUE"/>
    <s v="P. MONTT"/>
    <s v="FAR"/>
    <s v="DISEÑO"/>
    <n v="30480704"/>
    <s v="30480704-DISEÑO"/>
    <m/>
    <s v="30480704"/>
    <s v="CONSERVACION CALLE GRANITICO DE PUERTO MONTT (C33)"/>
    <n v="37736000"/>
    <n v="0"/>
    <n v="37736000"/>
    <n v="0"/>
    <n v="0"/>
    <n v="0"/>
    <n v="0"/>
    <n v="0"/>
    <n v="0"/>
    <n v="37736000"/>
    <n v="0"/>
    <s v="APROBADO CORE"/>
    <s v="RS*"/>
    <x v="2"/>
  </r>
  <r>
    <n v="31"/>
    <s v="N"/>
    <s v="MULTISECTORIAL"/>
    <s v="LLANQUIHUE"/>
    <s v="P. MONTT"/>
    <s v="LIBRE"/>
    <s v="EJECUCION"/>
    <n v="30339322"/>
    <s v="30339322-EJECUCION"/>
    <m/>
    <s v="30339322"/>
    <s v="HABILITACION EDIFICIO EGAÑA 60 PUERTO MONTT REG. LOS LAGOS"/>
    <n v="3500000000"/>
    <n v="0"/>
    <n v="10000000"/>
    <n v="0"/>
    <n v="0"/>
    <n v="0"/>
    <n v="0"/>
    <n v="0"/>
    <n v="0"/>
    <n v="10000000"/>
    <n v="3490000000"/>
    <s v="ARI"/>
    <s v="OT"/>
    <x v="2"/>
  </r>
  <r>
    <n v="31"/>
    <s v="N"/>
    <s v="TRANSPORTE"/>
    <s v="LLANQUIHUE"/>
    <s v="P. MONTT"/>
    <s v="FAR"/>
    <s v="DISEÑO"/>
    <n v="30437675"/>
    <s v="30437675-DISEÑO"/>
    <m/>
    <s v="30437675"/>
    <s v="CONSTRUCCION CONECTIVIDAD INTERTERRAZAS PUERTO MONTT"/>
    <n v="548000000"/>
    <n v="0"/>
    <n v="30000000"/>
    <n v="0"/>
    <n v="0"/>
    <n v="0"/>
    <n v="0"/>
    <n v="0"/>
    <n v="0"/>
    <n v="30000000"/>
    <n v="518000000"/>
    <s v="SOLICITUD TRANSPORTE"/>
    <s v="RS"/>
    <x v="2"/>
  </r>
  <r>
    <n v="31"/>
    <s v="N"/>
    <s v="TRANSPORTE"/>
    <s v="LLANQUIHUE"/>
    <s v="P. MONTT"/>
    <s v="FAR"/>
    <s v="EJECUCION"/>
    <n v="30127010"/>
    <s v="30127010-EJECUCION"/>
    <m/>
    <s v="30127010"/>
    <s v="MEJORAMIENTO CALLE EL TENIENTE, BARRIO INDUSTRIAL"/>
    <n v="2515811000"/>
    <n v="0"/>
    <n v="90064700"/>
    <n v="0"/>
    <n v="0"/>
    <n v="0"/>
    <n v="0"/>
    <n v="0"/>
    <n v="0"/>
    <n v="90064700"/>
    <n v="2425746300"/>
    <s v="SOLICITUD TRANSPORTE"/>
    <s v="RS"/>
    <x v="2"/>
  </r>
  <r>
    <n v="31"/>
    <s v="N"/>
    <s v="TRANSPORTE"/>
    <s v="LLANQUIHUE"/>
    <s v="P. MONTT"/>
    <s v="FAR"/>
    <s v="DISEÑO"/>
    <n v="30092104"/>
    <s v="30092104-DISEÑO"/>
    <m/>
    <s v="30092104"/>
    <s v="MEJORAMIENTO INTERCONEXION VIAL CENTRO-PONIENTE"/>
    <n v="500000000"/>
    <n v="0"/>
    <n v="30000000"/>
    <n v="0"/>
    <n v="0"/>
    <n v="0"/>
    <n v="0"/>
    <n v="0"/>
    <n v="0"/>
    <n v="30000000"/>
    <n v="470000000"/>
    <s v="SOLICITUD TRANSPORTE"/>
    <s v="SR"/>
    <x v="2"/>
  </r>
  <r>
    <n v="31"/>
    <s v="N"/>
    <s v="EDUCACIÓN Y CULTURA"/>
    <s v="LLANQUIHUE"/>
    <s v="P. MONTT"/>
    <s v="PVP"/>
    <s v="EJECUCION"/>
    <n v="30077490"/>
    <s v="30077490-EJECUCION"/>
    <m/>
    <s v="30077490"/>
    <s v="CONSERVACION CASA PAULY PUERTO MONTT (C33)"/>
    <n v="1686871000"/>
    <n v="0"/>
    <n v="84343550"/>
    <n v="0"/>
    <n v="0"/>
    <n v="0"/>
    <n v="0"/>
    <n v="0"/>
    <n v="0"/>
    <n v="84343550"/>
    <n v="1602527450"/>
    <s v="SOLICITUD"/>
    <s v="SR*"/>
    <x v="2"/>
  </r>
  <r>
    <m/>
    <m/>
    <m/>
    <m/>
    <m/>
    <m/>
    <m/>
    <m/>
    <m/>
    <m/>
    <m/>
    <s v="TOTAL DE INICIATIVAS SIN MOVIMIENTO"/>
    <n v="8788418000"/>
    <n v="0"/>
    <n v="282144250"/>
    <n v="0"/>
    <n v="0"/>
    <n v="0"/>
    <n v="0"/>
    <n v="0"/>
    <n v="0"/>
    <n v="282144250"/>
    <n v="850627375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TOTAL COMUNA DE  P. MONTT"/>
    <n v="46257458299"/>
    <n v="21081043620"/>
    <n v="5328738404"/>
    <n v="13163116"/>
    <n v="180842917"/>
    <n v="175986453"/>
    <n v="369992486"/>
    <n v="181290316"/>
    <n v="551282802"/>
    <n v="4777455602"/>
    <n v="19847676275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COMUNA DE CALBUCO"/>
    <m/>
    <m/>
    <m/>
    <m/>
    <m/>
    <m/>
    <m/>
    <m/>
    <m/>
    <m/>
    <m/>
    <m/>
    <m/>
    <x v="0"/>
  </r>
  <r>
    <m/>
    <m/>
    <m/>
    <m/>
    <m/>
    <m/>
    <m/>
    <m/>
    <m/>
    <m/>
    <m/>
    <s v="INICIATIVAS EN EJECUCION"/>
    <m/>
    <m/>
    <m/>
    <m/>
    <m/>
    <m/>
    <m/>
    <m/>
    <m/>
    <m/>
    <m/>
    <m/>
    <m/>
    <x v="0"/>
  </r>
  <r>
    <n v="31"/>
    <s v="A"/>
    <s v="EDUCACIÓN Y CULTURA"/>
    <s v="LLANQUIHUE"/>
    <s v="CALBUCO"/>
    <s v="LIBRE"/>
    <s v="EJECUCION"/>
    <n v="20086686"/>
    <s v="20086686-EJECUCION"/>
    <m/>
    <s v="20086686"/>
    <s v="REPOSICION PARCIAL LICEO POLITECNICO DE CALBUCO"/>
    <n v="7033944000"/>
    <n v="95882250"/>
    <n v="352882250"/>
    <n v="0"/>
    <n v="0"/>
    <n v="0"/>
    <n v="0"/>
    <n v="0"/>
    <n v="0"/>
    <n v="352882250"/>
    <n v="6585179500"/>
    <s v="DISEÑO TERMINADO"/>
    <s v="RS"/>
    <x v="7"/>
  </r>
  <r>
    <n v="31"/>
    <s v="A"/>
    <s v="MULTISECTORIAL"/>
    <s v="LLANQUIHUE"/>
    <s v="CALBUCO"/>
    <s v="RSD"/>
    <s v="DISEÑO"/>
    <n v="30135967"/>
    <s v="30135967-DISEÑO"/>
    <m/>
    <s v="30135967"/>
    <s v="CONSTRUCCION ESTACION DE TRANSFERENCIA LA CAMPANA CALBUCO"/>
    <n v="90000000"/>
    <n v="67500000"/>
    <n v="22500000"/>
    <n v="0"/>
    <n v="0"/>
    <n v="0"/>
    <n v="0"/>
    <n v="0"/>
    <n v="0"/>
    <n v="22500000"/>
    <n v="0"/>
    <s v="EN EJECUCION"/>
    <s v="RS"/>
    <x v="2"/>
  </r>
  <r>
    <n v="31"/>
    <s v="P"/>
    <s v="TRANSPORTE"/>
    <s v="LLANQUIHUE"/>
    <s v="CALBUCO"/>
    <s v="FAR"/>
    <s v="EJECUCION"/>
    <n v="30115349"/>
    <s v="30115349-EJECUCION"/>
    <m/>
    <s v="30115349"/>
    <s v="CONSTRUCCION PAVIMENTOS AVENIDA PRESIDENTE IBAÑEZ, CALBUCO"/>
    <n v="677044000"/>
    <n v="3001000"/>
    <n v="674043000"/>
    <n v="0"/>
    <n v="0"/>
    <n v="149999999"/>
    <n v="149999999"/>
    <n v="142299999"/>
    <n v="292299998"/>
    <n v="381743002"/>
    <n v="0"/>
    <s v="EN EJECUCION"/>
    <s v="RS"/>
    <x v="5"/>
  </r>
  <r>
    <m/>
    <m/>
    <m/>
    <m/>
    <m/>
    <m/>
    <m/>
    <m/>
    <m/>
    <m/>
    <m/>
    <s v="TOTAL DE INICIATIVAS EN EJECUCION"/>
    <n v="7800988000"/>
    <n v="166383250"/>
    <n v="1049425250"/>
    <n v="0"/>
    <n v="0"/>
    <n v="149999999"/>
    <n v="149999999"/>
    <n v="142299999"/>
    <n v="292299998"/>
    <n v="757125252"/>
    <n v="65851795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TERMINADAS"/>
    <m/>
    <m/>
    <m/>
    <m/>
    <m/>
    <m/>
    <m/>
    <m/>
    <m/>
    <m/>
    <m/>
    <m/>
    <m/>
    <x v="0"/>
  </r>
  <r>
    <n v="31"/>
    <s v="A"/>
    <s v="ENERGÍA"/>
    <s v="LLANQUIHUE"/>
    <s v="CALBUCO"/>
    <s v="ENERGIZACION"/>
    <s v="EJECUCION"/>
    <n v="30339483"/>
    <s v="30339483-EJECUCION"/>
    <m/>
    <s v="30339483"/>
    <s v="HABILITACION SUMINISTRO ENERGIA ELECTRICA, QUEULLIN"/>
    <n v="1586863743"/>
    <n v="1586863743"/>
    <n v="0"/>
    <n v="0"/>
    <n v="0"/>
    <n v="0"/>
    <n v="0"/>
    <n v="0"/>
    <n v="0"/>
    <n v="0"/>
    <n v="0"/>
    <s v="TERMINADO"/>
    <s v="RS"/>
    <x v="2"/>
  </r>
  <r>
    <m/>
    <m/>
    <m/>
    <m/>
    <m/>
    <m/>
    <m/>
    <m/>
    <m/>
    <m/>
    <m/>
    <s v="TOTAL DE INICIATIVAS TERMINADAS"/>
    <n v="1586863743"/>
    <n v="1586863743"/>
    <n v="0"/>
    <n v="0"/>
    <n v="0"/>
    <n v="0"/>
    <n v="0"/>
    <n v="0"/>
    <n v="0"/>
    <n v="0"/>
    <n v="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LICITACION/ADJUDICACION"/>
    <m/>
    <m/>
    <m/>
    <m/>
    <m/>
    <m/>
    <m/>
    <m/>
    <m/>
    <m/>
    <m/>
    <m/>
    <m/>
    <x v="0"/>
  </r>
  <r>
    <n v="31"/>
    <s v="A"/>
    <s v="VIVIENDA"/>
    <s v="LLANQUIHUE"/>
    <s v="CALBUCO"/>
    <s v="LIBRE"/>
    <s v="EJECUCION"/>
    <n v="30087299"/>
    <s v="30087299-EJECUCION"/>
    <m/>
    <s v="30087299"/>
    <s v="CONSTRUCCION CEMENTERIO MUNICIPAL DE CALBUCO"/>
    <n v="1136464000"/>
    <n v="0"/>
    <n v="901195000"/>
    <n v="0"/>
    <n v="0"/>
    <n v="0"/>
    <n v="0"/>
    <n v="0"/>
    <n v="0"/>
    <n v="901195000"/>
    <n v="235269000"/>
    <s v="EN ADJUDICACION"/>
    <s v="RS"/>
    <x v="7"/>
  </r>
  <r>
    <m/>
    <m/>
    <m/>
    <m/>
    <m/>
    <m/>
    <m/>
    <m/>
    <m/>
    <m/>
    <m/>
    <s v="TOTAL DE INICIATIVAS EN LICITACION/ADJUDICACION"/>
    <n v="1136464000"/>
    <n v="0"/>
    <n v="901195000"/>
    <n v="0"/>
    <n v="0"/>
    <n v="0"/>
    <n v="0"/>
    <n v="0"/>
    <n v="0"/>
    <n v="901195000"/>
    <n v="2352690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CONVENIO Y TRAMITE"/>
    <m/>
    <m/>
    <m/>
    <m/>
    <m/>
    <m/>
    <m/>
    <m/>
    <m/>
    <m/>
    <m/>
    <m/>
    <m/>
    <x v="0"/>
  </r>
  <r>
    <n v="29"/>
    <s v="N"/>
    <s v="SALUD"/>
    <s v="LLANQUIHUE"/>
    <s v="CALBUCO"/>
    <s v="LIBRE"/>
    <s v="EJECUCION"/>
    <n v="30485663"/>
    <s v="30485663-EJECUCION"/>
    <m/>
    <s v="30485663"/>
    <s v="REPOSICION Y DESTINACION VEHICULOS TRASLADO PACIENTES DIALISIS HOSPITAL DE CALBUCO (C33)"/>
    <n v="65212000"/>
    <n v="0"/>
    <n v="0"/>
    <n v="0"/>
    <n v="0"/>
    <n v="0"/>
    <n v="0"/>
    <n v="0"/>
    <n v="0"/>
    <n v="0"/>
    <n v="65212000"/>
    <s v="CON CONVENIO"/>
    <s v="RS*"/>
    <x v="2"/>
  </r>
  <r>
    <n v="29"/>
    <s v="N"/>
    <s v="VIVIENDA"/>
    <s v="LLANQUIHUE"/>
    <s v="CALBUCO"/>
    <s v="LIBRE"/>
    <s v="EJECUCION"/>
    <n v="30465002"/>
    <s v="30465002-EJECUCION"/>
    <m/>
    <s v="30465002"/>
    <s v="ADQUISICION CAMION MULTIPROPOSITO, COMUNA CALBUCO(C33)"/>
    <n v="218961000"/>
    <n v="0"/>
    <n v="218961000"/>
    <n v="0"/>
    <n v="0"/>
    <n v="0"/>
    <n v="0"/>
    <n v="0"/>
    <n v="0"/>
    <n v="218961000"/>
    <n v="0"/>
    <s v="TRAMITE CONVENIO"/>
    <s v="RS*"/>
    <x v="2"/>
  </r>
  <r>
    <n v="31"/>
    <s v="N"/>
    <s v="SALUD"/>
    <s v="LLANQUIHUE"/>
    <s v="CALBUCO"/>
    <s v="LIBRE"/>
    <s v="EJECUCION"/>
    <n v="30380331"/>
    <s v="30380331-EJECUCION"/>
    <m/>
    <s v="30380331"/>
    <s v="CONSTRUCCION Y HABILITACION CENTRO DE DIALISIS HOSPITAL DE CALBUCO"/>
    <n v="1802409000"/>
    <n v="0"/>
    <n v="0"/>
    <n v="0"/>
    <n v="0"/>
    <n v="0"/>
    <n v="0"/>
    <n v="0"/>
    <n v="0"/>
    <n v="0"/>
    <n v="1802409000"/>
    <s v="TRAMITE CONVENIO"/>
    <s v="RS"/>
    <x v="2"/>
  </r>
  <r>
    <m/>
    <m/>
    <m/>
    <m/>
    <m/>
    <m/>
    <m/>
    <m/>
    <m/>
    <m/>
    <m/>
    <s v="TOTAL DE INICIATIVAS EN CONVENIO Y TRAMITE"/>
    <n v="2086582000"/>
    <n v="0"/>
    <n v="218961000"/>
    <n v="0"/>
    <n v="0"/>
    <n v="0"/>
    <n v="0"/>
    <n v="0"/>
    <n v="0"/>
    <n v="218961000"/>
    <n v="18676210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SIN MOVIMIENTO"/>
    <m/>
    <m/>
    <m/>
    <m/>
    <m/>
    <m/>
    <m/>
    <m/>
    <m/>
    <m/>
    <m/>
    <m/>
    <m/>
    <x v="0"/>
  </r>
  <r>
    <n v="31"/>
    <s v="N"/>
    <s v="TRANSPORTE"/>
    <s v="LLANQUIHUE"/>
    <s v="CALBUCO"/>
    <s v="FAR"/>
    <s v="EJECUCION"/>
    <n v="30480531"/>
    <s v="30480531-EJECUCION"/>
    <m/>
    <s v="30480531"/>
    <s v="CONSTRUCCION PAVIMENTACION CALLES CARLOS CONDELL Y WILLIAM REBOLLEDO"/>
    <n v="469704000"/>
    <n v="0"/>
    <n v="200000000"/>
    <n v="0"/>
    <n v="0"/>
    <n v="0"/>
    <n v="0"/>
    <n v="0"/>
    <n v="0"/>
    <n v="200000000"/>
    <n v="269704000"/>
    <s v="APROBADO CORE"/>
    <s v="RS"/>
    <x v="2"/>
  </r>
  <r>
    <n v="31"/>
    <s v="N"/>
    <s v="AGUA POTABLE Y ALCANTARILLADO"/>
    <s v="LLANQUIHUE"/>
    <s v="CALBUCO"/>
    <s v="SS"/>
    <s v="EJECUCION"/>
    <n v="30427273"/>
    <s v="30427273-EJECUCION"/>
    <m/>
    <s v="30427273"/>
    <s v="CONSTRUCCION INFRAESTRUCTURA SANITARIA LOCALIDAD DE PARGUA"/>
    <n v="1073021000"/>
    <n v="0"/>
    <n v="10000000"/>
    <n v="0"/>
    <n v="0"/>
    <n v="0"/>
    <n v="0"/>
    <n v="0"/>
    <n v="0"/>
    <n v="10000000"/>
    <n v="1063021000"/>
    <s v="ARI"/>
    <s v="SR"/>
    <x v="2"/>
  </r>
  <r>
    <n v="31"/>
    <s v="N"/>
    <s v="DEFENSA Y SEGURIDAD"/>
    <s v="LLANQUIHUE"/>
    <s v="CALBUCO"/>
    <s v="LIBRE"/>
    <s v="EJECUCION"/>
    <n v="30472587"/>
    <s v="30472587-EJECUCION"/>
    <m/>
    <s v="30472587"/>
    <s v="REPOSICION REPOSICION CUARTEL 2° CIA. BOMBEROS CALBUCO"/>
    <n v="617565000"/>
    <n v="0"/>
    <n v="10000000"/>
    <n v="0"/>
    <n v="0"/>
    <n v="0"/>
    <n v="0"/>
    <n v="0"/>
    <n v="0"/>
    <n v="10000000"/>
    <n v="607565000"/>
    <s v="ARI"/>
    <s v="SR"/>
    <x v="2"/>
  </r>
  <r>
    <n v="31"/>
    <s v="N"/>
    <s v="SALUD"/>
    <s v="LLANQUIHUE"/>
    <s v="CALBUCO"/>
    <s v="LIBRE"/>
    <s v="EJECUCION"/>
    <n v="20181416"/>
    <s v="20181416-EJECUCION"/>
    <m/>
    <s v="20181416"/>
    <s v="REPOSICION POSTA DE SALUD PEÑASMO"/>
    <n v="391426000"/>
    <n v="0"/>
    <n v="10000000"/>
    <n v="0"/>
    <n v="0"/>
    <n v="0"/>
    <n v="0"/>
    <n v="0"/>
    <n v="0"/>
    <n v="10000000"/>
    <n v="381426000"/>
    <s v="ARI"/>
    <s v="SR"/>
    <x v="2"/>
  </r>
  <r>
    <m/>
    <m/>
    <m/>
    <m/>
    <m/>
    <m/>
    <m/>
    <m/>
    <m/>
    <m/>
    <m/>
    <s v="TOTAL DE INICIATIVAS SIN MOVIMIENTO"/>
    <n v="2551716000"/>
    <n v="0"/>
    <n v="230000000"/>
    <n v="0"/>
    <n v="0"/>
    <n v="0"/>
    <n v="0"/>
    <n v="0"/>
    <n v="0"/>
    <n v="230000000"/>
    <n v="23217160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TOTAL COMUNA DE  CALBUCO"/>
    <n v="15162613743"/>
    <n v="1753246993"/>
    <n v="2399581250"/>
    <n v="0"/>
    <n v="0"/>
    <n v="149999999"/>
    <n v="149999999"/>
    <n v="142299999"/>
    <n v="292299998"/>
    <n v="2107281252"/>
    <n v="110097855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COMUNA DE COCHAMO"/>
    <m/>
    <m/>
    <m/>
    <m/>
    <m/>
    <m/>
    <m/>
    <m/>
    <m/>
    <m/>
    <m/>
    <m/>
    <m/>
    <x v="0"/>
  </r>
  <r>
    <m/>
    <m/>
    <m/>
    <m/>
    <m/>
    <m/>
    <m/>
    <m/>
    <m/>
    <m/>
    <m/>
    <s v="INICIATIVAS EN EJECUCION"/>
    <m/>
    <m/>
    <m/>
    <m/>
    <m/>
    <m/>
    <m/>
    <m/>
    <m/>
    <m/>
    <m/>
    <m/>
    <m/>
    <x v="0"/>
  </r>
  <r>
    <n v="31"/>
    <s v="A"/>
    <s v="AGUA POTABLE Y ALCANTARILLADO"/>
    <s v="LLANQUIHUE"/>
    <s v="COCHAMO"/>
    <s v="PV"/>
    <s v="DISEÑO"/>
    <n v="30131517"/>
    <s v="30131517-DISEÑO"/>
    <m/>
    <s v="30131517"/>
    <s v="CONSTRUCCION SISTEMA APR EL QUECHE"/>
    <n v="27000000"/>
    <n v="5400000"/>
    <n v="21600000"/>
    <n v="0"/>
    <n v="0"/>
    <n v="0"/>
    <n v="0"/>
    <n v="0"/>
    <n v="0"/>
    <n v="21600000"/>
    <n v="0"/>
    <s v="EN EJECUCION"/>
    <s v="RS"/>
    <x v="5"/>
  </r>
  <r>
    <n v="31"/>
    <s v="A"/>
    <s v="SALUD"/>
    <s v="LLANQUIHUE"/>
    <s v="COCHAMO"/>
    <s v="LIBRE"/>
    <s v="EJECUCION"/>
    <n v="30047349"/>
    <s v="30047349-EJECUCION"/>
    <m/>
    <s v="30047349"/>
    <s v="CONSTRUCCION CENTRO DE SALUD COCHAMO"/>
    <n v="1975000000"/>
    <n v="1946992316"/>
    <n v="14455056"/>
    <n v="0"/>
    <n v="0"/>
    <n v="0"/>
    <n v="0"/>
    <n v="0"/>
    <n v="0"/>
    <n v="14455056"/>
    <n v="13552628"/>
    <s v="EN EJECUCION"/>
    <s v="RS"/>
    <x v="5"/>
  </r>
  <r>
    <n v="31"/>
    <s v="A"/>
    <s v="DEFENSA Y SEGURIDAD"/>
    <s v="LLANQUIHUE"/>
    <s v="COCHAMO"/>
    <s v="PV"/>
    <s v="EJECUCION"/>
    <n v="30046830"/>
    <s v="30046830-EJECUCION"/>
    <m/>
    <s v="30046830"/>
    <s v="REPOSICION RETEN CARABINEROS DE COCHAMO"/>
    <n v="748449085"/>
    <n v="713793031"/>
    <n v="34656054"/>
    <n v="0"/>
    <n v="0"/>
    <n v="4877054"/>
    <n v="4877054"/>
    <n v="0"/>
    <n v="4877054"/>
    <n v="29779000"/>
    <n v="0"/>
    <s v="EN EJECUCION"/>
    <s v="RS"/>
    <x v="2"/>
  </r>
  <r>
    <n v="31"/>
    <s v="A"/>
    <s v="TRANSPORTE"/>
    <s v="LLANQUIHUE"/>
    <s v="COCHAMO"/>
    <s v="PV"/>
    <s v="EJECUCION"/>
    <n v="30342773"/>
    <s v="30342773-EJECUCION"/>
    <m/>
    <s v="30342773"/>
    <s v="MEJORAMIENTO RUTA V 69 SECTOR RALUN COCHAMO"/>
    <n v="7077310000"/>
    <n v="135002990"/>
    <n v="2004763969"/>
    <n v="0"/>
    <n v="6698601"/>
    <n v="614217"/>
    <n v="7312818"/>
    <n v="677550"/>
    <n v="7990368"/>
    <n v="1996773601"/>
    <n v="4937543041"/>
    <s v="EN EJECUCION"/>
    <s v="RS"/>
    <x v="7"/>
  </r>
  <r>
    <m/>
    <m/>
    <m/>
    <m/>
    <m/>
    <m/>
    <m/>
    <m/>
    <m/>
    <m/>
    <m/>
    <s v="TOTAL DE INICIATIVAS EN EJECUCION"/>
    <n v="9827759085"/>
    <n v="2801188337"/>
    <n v="2075475079"/>
    <n v="0"/>
    <n v="6698601"/>
    <n v="5491271"/>
    <n v="12189872"/>
    <n v="677550"/>
    <n v="12867422"/>
    <n v="2062607657"/>
    <n v="4951095669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LICITACION/ADJUDICACION"/>
    <m/>
    <m/>
    <m/>
    <m/>
    <m/>
    <m/>
    <m/>
    <m/>
    <m/>
    <m/>
    <m/>
    <m/>
    <m/>
    <x v="0"/>
  </r>
  <r>
    <n v="31"/>
    <s v="P"/>
    <s v="DEPORTE"/>
    <s v="LLANQUIHUE"/>
    <s v="COCHAMO"/>
    <s v="PV"/>
    <s v="EJECUCION"/>
    <n v="30248522"/>
    <s v="30248522-EJECUCION"/>
    <m/>
    <s v="30248522"/>
    <s v="CONSTRUCCION ESTADIO MUNCIPAL DE COCHAMO"/>
    <n v="1053374000"/>
    <n v="2500000"/>
    <n v="200000000"/>
    <n v="0"/>
    <n v="0"/>
    <n v="0"/>
    <n v="0"/>
    <n v="0"/>
    <n v="0"/>
    <n v="200000000"/>
    <n v="850874000"/>
    <s v="EN ADJUDICACION"/>
    <s v="RE"/>
    <x v="7"/>
  </r>
  <r>
    <m/>
    <m/>
    <m/>
    <m/>
    <m/>
    <m/>
    <m/>
    <m/>
    <m/>
    <m/>
    <m/>
    <s v="TOTAL DE INICIATIVAS EN LICITACION/ADJUDICACION"/>
    <n v="1053374000"/>
    <n v="2500000"/>
    <n v="200000000"/>
    <n v="0"/>
    <n v="0"/>
    <n v="0"/>
    <n v="0"/>
    <n v="0"/>
    <n v="0"/>
    <n v="200000000"/>
    <n v="8508740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TERMINADAS"/>
    <m/>
    <m/>
    <m/>
    <m/>
    <m/>
    <m/>
    <m/>
    <m/>
    <m/>
    <m/>
    <m/>
    <m/>
    <m/>
    <x v="0"/>
  </r>
  <r>
    <n v="29"/>
    <s v="P"/>
    <s v="MULTISECTORIAL"/>
    <s v="LLANQUIHUE"/>
    <s v="COCHAMO"/>
    <s v="LIBRE"/>
    <s v="EJECUCION"/>
    <n v="30188272"/>
    <s v="30188272-EJECUCION"/>
    <m/>
    <s v="30188272"/>
    <s v="REPOSICION BUS DE PASAJEROS DE LA COMUNA DE COCHAMO (C33)"/>
    <n v="115506498"/>
    <n v="0"/>
    <n v="115506498"/>
    <n v="0"/>
    <n v="0"/>
    <n v="0"/>
    <n v="0"/>
    <n v="115506498"/>
    <n v="115506498"/>
    <n v="0"/>
    <n v="0"/>
    <s v="TERMINADO"/>
    <s v="RS*"/>
    <x v="6"/>
  </r>
  <r>
    <m/>
    <m/>
    <m/>
    <m/>
    <m/>
    <m/>
    <m/>
    <m/>
    <m/>
    <m/>
    <m/>
    <s v="TOTAL DE INICIATIVAS TERMINADAS"/>
    <n v="115506498"/>
    <n v="0"/>
    <n v="115506498"/>
    <n v="0"/>
    <n v="0"/>
    <n v="0"/>
    <n v="0"/>
    <n v="115506498"/>
    <n v="115506498"/>
    <n v="0"/>
    <n v="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CONVENIO Y TRAMITE"/>
    <m/>
    <m/>
    <m/>
    <m/>
    <m/>
    <m/>
    <m/>
    <m/>
    <m/>
    <m/>
    <m/>
    <m/>
    <m/>
    <x v="0"/>
  </r>
  <r>
    <n v="29"/>
    <s v="N"/>
    <s v="TRANSPORTE"/>
    <s v="LLANQUIHUE"/>
    <s v="COCHAMO"/>
    <s v="LIBRE"/>
    <s v="EJECUCION"/>
    <n v="40002212"/>
    <s v="40002212-EJECUCION"/>
    <m/>
    <s v="40002212"/>
    <s v="ADQUISICION Y REPOSICION DE CAMIONETAS PARA EL TRANSPORTE MUNICIPAL (C33)"/>
    <n v="420650000"/>
    <n v="0"/>
    <n v="0"/>
    <n v="0"/>
    <n v="0"/>
    <n v="0"/>
    <n v="0"/>
    <n v="0"/>
    <n v="0"/>
    <n v="0"/>
    <n v="420650000"/>
    <s v="CON CONVENIO"/>
    <s v="RS*"/>
    <x v="2"/>
  </r>
  <r>
    <m/>
    <m/>
    <m/>
    <m/>
    <m/>
    <m/>
    <m/>
    <m/>
    <m/>
    <m/>
    <m/>
    <s v="TOTAL DE INICIATIVAS EN CONVENIO Y TRAMITE"/>
    <n v="420650000"/>
    <n v="0"/>
    <n v="0"/>
    <n v="0"/>
    <n v="0"/>
    <n v="0"/>
    <n v="0"/>
    <n v="0"/>
    <n v="0"/>
    <n v="0"/>
    <n v="4206500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SIN MOVIMIENTO"/>
    <m/>
    <m/>
    <m/>
    <m/>
    <m/>
    <m/>
    <m/>
    <m/>
    <m/>
    <m/>
    <m/>
    <m/>
    <m/>
    <x v="0"/>
  </r>
  <r>
    <n v="31"/>
    <s v="N"/>
    <s v="TRANSPORTE"/>
    <s v="LLANQUIHUE"/>
    <s v="COCHAMO"/>
    <s v="FAR"/>
    <s v="EJECUCION"/>
    <n v="30459455"/>
    <s v="30459455-EJECUCION"/>
    <m/>
    <s v="30459455"/>
    <s v="CONSERVACION VARIOS CAMINOS VECINALES GLOSA 7, COMUNA DE COCHAMO (C33)"/>
    <n v="305031000"/>
    <n v="0"/>
    <n v="50000000"/>
    <n v="0"/>
    <n v="0"/>
    <n v="0"/>
    <n v="0"/>
    <n v="0"/>
    <n v="0"/>
    <n v="50000000"/>
    <n v="255031000"/>
    <s v="EVALUADO"/>
    <s v="RS*"/>
    <x v="2"/>
  </r>
  <r>
    <n v="31"/>
    <s v="N"/>
    <s v="AGUA POTABLE Y ALCANTARILLADO"/>
    <s v="LLANQUIHUE"/>
    <s v="COCHAMO"/>
    <s v="PV"/>
    <s v="EJECUCION"/>
    <n v="30116480"/>
    <s v="30116480-EJECUCION"/>
    <m/>
    <s v="30116480"/>
    <s v="CONSTRUCCION SISTEMA APR DE YATES COCHAMO"/>
    <n v="167764000"/>
    <n v="0"/>
    <n v="10000000"/>
    <n v="0"/>
    <n v="0"/>
    <n v="0"/>
    <n v="0"/>
    <n v="0"/>
    <n v="0"/>
    <n v="10000000"/>
    <n v="157764000"/>
    <s v="ARI"/>
    <s v="SR"/>
    <x v="2"/>
  </r>
  <r>
    <n v="31"/>
    <s v="N"/>
    <s v="ENERGÍA"/>
    <s v="LLANQUIHUE"/>
    <s v="COCHAMO"/>
    <s v="PV"/>
    <s v="EJECUCION"/>
    <n v="30328273"/>
    <s v="30328273-EJECUCION"/>
    <m/>
    <s v="30328273"/>
    <s v="CONSTRUCCION MICROCENTRAL HIDROELECTRICA SOTOMO"/>
    <n v="100500000"/>
    <n v="0"/>
    <n v="10000002"/>
    <n v="0"/>
    <n v="0"/>
    <n v="0"/>
    <n v="0"/>
    <n v="0"/>
    <n v="0"/>
    <n v="10000002"/>
    <n v="90499998"/>
    <s v="ARI"/>
    <s v="SR"/>
    <x v="2"/>
  </r>
  <r>
    <n v="31"/>
    <s v="N"/>
    <s v="AGUA POTABLE Y ALCANTARILLADO"/>
    <s v="LLANQUIHUE"/>
    <s v="COCHAMO"/>
    <s v="PV"/>
    <s v="DISEÑO"/>
    <n v="30474433"/>
    <s v="30474433-DISEÑO"/>
    <m/>
    <s v="30474433"/>
    <s v="CONSTRUCCION SISTEMA APR ALTO PUELO, COCHAMO"/>
    <n v="33856000"/>
    <n v="0"/>
    <n v="3385600"/>
    <n v="0"/>
    <n v="0"/>
    <n v="0"/>
    <n v="0"/>
    <n v="0"/>
    <n v="0"/>
    <n v="3385600"/>
    <n v="30470400"/>
    <s v="ARI"/>
    <s v="SR"/>
    <x v="2"/>
  </r>
  <r>
    <m/>
    <m/>
    <m/>
    <m/>
    <m/>
    <m/>
    <m/>
    <m/>
    <m/>
    <m/>
    <m/>
    <s v="TOTAL DE INICIATIVAS SIN MOVIMIENTO"/>
    <n v="607151000"/>
    <n v="0"/>
    <n v="73385602"/>
    <n v="0"/>
    <n v="0"/>
    <n v="0"/>
    <n v="0"/>
    <n v="0"/>
    <n v="0"/>
    <n v="73385602"/>
    <n v="533765398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TOTAL COMUNA DE  COCHAMO"/>
    <n v="12024440583"/>
    <n v="2803688337"/>
    <n v="2464367179"/>
    <n v="0"/>
    <n v="6698601"/>
    <n v="5491271"/>
    <n v="12189872"/>
    <n v="116184048"/>
    <n v="128373920"/>
    <n v="2335993259"/>
    <n v="6756385067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COMUNA DE FRESIA"/>
    <m/>
    <m/>
    <m/>
    <m/>
    <m/>
    <m/>
    <m/>
    <m/>
    <m/>
    <m/>
    <m/>
    <m/>
    <m/>
    <x v="0"/>
  </r>
  <r>
    <m/>
    <m/>
    <m/>
    <m/>
    <m/>
    <m/>
    <m/>
    <m/>
    <m/>
    <m/>
    <m/>
    <s v="INICIATIVAS EN EJECUCION"/>
    <m/>
    <m/>
    <m/>
    <m/>
    <m/>
    <m/>
    <m/>
    <m/>
    <m/>
    <m/>
    <m/>
    <m/>
    <m/>
    <x v="0"/>
  </r>
  <r>
    <n v="31"/>
    <s v="A"/>
    <s v="AGUA POTABLE Y ALCANTARILLADO"/>
    <s v="LLANQUIHUE"/>
    <s v="FRESIA"/>
    <s v="FAR"/>
    <s v="EJECUCION"/>
    <n v="30212372"/>
    <s v="30212372-EJECUCION"/>
    <m/>
    <s v="30212372"/>
    <s v="CONSTRUCCION APR SECTOR RURAL LA VEGA"/>
    <n v="339876608"/>
    <n v="294876608"/>
    <n v="30621463"/>
    <n v="0"/>
    <n v="0"/>
    <n v="0"/>
    <n v="0"/>
    <n v="30621463"/>
    <n v="30621463"/>
    <n v="0"/>
    <n v="14378537"/>
    <s v="EN EJECUCION"/>
    <s v="RS"/>
    <x v="5"/>
  </r>
  <r>
    <n v="31"/>
    <s v="A"/>
    <s v="SALUD"/>
    <s v="LLANQUIHUE"/>
    <s v="FRESIA"/>
    <s v="LIBRE"/>
    <s v="EJECUCION"/>
    <n v="30125825"/>
    <s v="30125825-EJECUCION"/>
    <m/>
    <s v="30125825"/>
    <s v="MEJORAMIENTO INFRAESTRUCTURA HOSPITAL DE FRESIA"/>
    <n v="621915375"/>
    <n v="604331952"/>
    <n v="358690"/>
    <n v="0"/>
    <n v="0"/>
    <n v="0"/>
    <n v="0"/>
    <n v="0"/>
    <n v="0"/>
    <n v="358690"/>
    <n v="17224733"/>
    <s v="EN EJECUCION"/>
    <s v="RS"/>
    <x v="5"/>
  </r>
  <r>
    <n v="31"/>
    <s v="P"/>
    <s v="TRANSPORTE"/>
    <s v="LLANQUIHUE"/>
    <s v="FRESIA"/>
    <s v="FAR"/>
    <s v="EJECUCION"/>
    <n v="30130451"/>
    <s v="30130451-EJECUCION"/>
    <m/>
    <s v="30130451"/>
    <s v="MEJORAMIENTO 03 CALLES LOCALIDAD DE PARGA, FRESIA"/>
    <n v="545873331"/>
    <n v="176857169"/>
    <n v="369016162"/>
    <n v="306849062"/>
    <n v="4500000"/>
    <n v="2400000"/>
    <n v="313749062"/>
    <n v="52967100"/>
    <n v="366716162"/>
    <n v="2300000"/>
    <n v="0"/>
    <s v="EN EJECUCION"/>
    <s v="RS"/>
    <x v="7"/>
  </r>
  <r>
    <n v="29"/>
    <s v="P"/>
    <s v="TRANSPORTE"/>
    <s v="LLANQUIHUE"/>
    <s v="FRESIA"/>
    <s v="FAR"/>
    <s v="EJECUCION"/>
    <n v="30396186"/>
    <s v="30396186-EJECUCION"/>
    <m/>
    <s v="30396186"/>
    <s v="REPOSICION 03 CAMIONES TOLVA Y 01 RETROEXCAVADORA, FRESIA(C33)"/>
    <n v="406262000"/>
    <n v="0"/>
    <n v="199412938"/>
    <n v="0"/>
    <n v="0"/>
    <n v="75268994"/>
    <n v="75268994"/>
    <n v="0"/>
    <n v="75268994"/>
    <n v="124143944"/>
    <n v="206849062"/>
    <s v="EN EJECUCION"/>
    <s v="RS*"/>
    <x v="5"/>
  </r>
  <r>
    <n v="33"/>
    <s v="P"/>
    <s v="AGUA POTABLE Y ALCANTARILLADO"/>
    <s v="LLANQUIHUE"/>
    <s v="FRESIA"/>
    <s v="SS"/>
    <s v="EJECUCION"/>
    <n v="30458130"/>
    <s v="30458130-EJECUCION"/>
    <m/>
    <s v="30458130"/>
    <s v="CONSTRUCCION CASETAS SANITARIAS Y CONEXION SECTOR LOS PRADOS, FRESIA"/>
    <n v="377930000"/>
    <n v="0"/>
    <n v="95500000"/>
    <n v="0"/>
    <n v="0"/>
    <n v="0"/>
    <n v="0"/>
    <n v="82302900"/>
    <n v="82302900"/>
    <n v="13197100"/>
    <n v="282430000"/>
    <s v="EN EJECUCION"/>
    <s v="RS"/>
    <x v="7"/>
  </r>
  <r>
    <n v="31"/>
    <s v="A"/>
    <s v="AGUA POTABLE Y ALCANTARILLADO"/>
    <s v="LLANQUIHUE"/>
    <s v="FRESIA"/>
    <s v="FAR"/>
    <s v="EJECUCION"/>
    <n v="30212472"/>
    <s v="30212472-EJECUCION"/>
    <m/>
    <s v="30212472"/>
    <s v="CONSTRUCCION SERVICIO APR SECTOR RURAL EL MAÑIO"/>
    <n v="451393359"/>
    <n v="424766706"/>
    <n v="0"/>
    <n v="0"/>
    <n v="0"/>
    <n v="0"/>
    <n v="0"/>
    <n v="0"/>
    <n v="0"/>
    <n v="0"/>
    <n v="26626653"/>
    <s v="EN EJECUCION"/>
    <s v="RS"/>
    <x v="6"/>
  </r>
  <r>
    <m/>
    <m/>
    <m/>
    <m/>
    <m/>
    <m/>
    <m/>
    <m/>
    <m/>
    <m/>
    <m/>
    <s v="TOTAL DE INICIATIVAS EN EJECUCION"/>
    <n v="2743250673"/>
    <n v="1500832435"/>
    <n v="694909253"/>
    <n v="306849062"/>
    <n v="4500000"/>
    <n v="77668994"/>
    <n v="389018056"/>
    <n v="165891463"/>
    <n v="554909519"/>
    <n v="139999734"/>
    <n v="547508985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CONVENIO Y TRAMITE"/>
    <m/>
    <m/>
    <m/>
    <m/>
    <m/>
    <m/>
    <m/>
    <m/>
    <m/>
    <m/>
    <m/>
    <m/>
    <m/>
    <x v="0"/>
  </r>
  <r>
    <n v="31"/>
    <s v="A"/>
    <s v="AGUA POTABLE Y ALCANTARILLADO"/>
    <s v="LLANQUIHUE"/>
    <s v="FRESIA"/>
    <s v="PIR"/>
    <s v="EJECUCION"/>
    <n v="30088011"/>
    <s v="30088011-EJECUCION"/>
    <m/>
    <s v="30088011"/>
    <s v="CONSTRUCCION PLANTA DE TRATAMIENTO PARGA"/>
    <n v="608334000"/>
    <n v="0"/>
    <n v="0"/>
    <n v="0"/>
    <n v="0"/>
    <n v="0"/>
    <n v="0"/>
    <n v="0"/>
    <n v="0"/>
    <n v="0"/>
    <n v="608334000"/>
    <s v="CON CONVENIO"/>
    <s v="RS"/>
    <x v="7"/>
  </r>
  <r>
    <n v="31"/>
    <s v="P"/>
    <s v="TRANSPORTE"/>
    <s v="LLANQUIHUE"/>
    <s v="FRESIA"/>
    <s v="FAR"/>
    <s v="EJECUCION"/>
    <n v="30458322"/>
    <s v="30458322-EJECUCION"/>
    <m/>
    <s v="30458322"/>
    <s v="CONSERVACION VARIOS CAMINOS VECINALES GLOSA 7 COMUNA DE FRESIA(C33)"/>
    <n v="313240000"/>
    <n v="7350000"/>
    <n v="30000000"/>
    <n v="0"/>
    <n v="0"/>
    <n v="0"/>
    <n v="0"/>
    <n v="0"/>
    <n v="0"/>
    <n v="30000000"/>
    <n v="275890000"/>
    <s v="CON CONVENIO"/>
    <s v="RS*"/>
    <x v="5"/>
  </r>
  <r>
    <n v="29"/>
    <s v="N"/>
    <s v="MULTISECTORIAL"/>
    <s v="LLANQUIHUE"/>
    <s v="FRESIA"/>
    <s v="LIBRE"/>
    <s v="EJECUCION"/>
    <n v="30377674"/>
    <s v="30377674-EJECUCION"/>
    <m/>
    <s v="30377674"/>
    <s v="ADQUISICION CAMION MULTIPROPOSITO MUNICIPAL (C33)"/>
    <n v="265742000"/>
    <n v="0"/>
    <n v="0"/>
    <n v="0"/>
    <n v="0"/>
    <n v="0"/>
    <n v="0"/>
    <n v="0"/>
    <n v="0"/>
    <n v="0"/>
    <n v="265742000"/>
    <s v="TRAMITE CONVENIO"/>
    <s v="RS*"/>
    <x v="2"/>
  </r>
  <r>
    <m/>
    <m/>
    <m/>
    <m/>
    <m/>
    <m/>
    <m/>
    <m/>
    <m/>
    <m/>
    <m/>
    <s v="TOTAL DE INICIATIVAS EN CONVENIO Y TRAMITE"/>
    <n v="1187316000"/>
    <n v="7350000"/>
    <n v="30000000"/>
    <n v="0"/>
    <n v="0"/>
    <n v="0"/>
    <n v="0"/>
    <n v="0"/>
    <n v="0"/>
    <n v="30000000"/>
    <n v="11499660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SIN MOVIMIENTO"/>
    <m/>
    <m/>
    <m/>
    <m/>
    <m/>
    <m/>
    <m/>
    <m/>
    <m/>
    <m/>
    <m/>
    <m/>
    <m/>
    <x v="0"/>
  </r>
  <r>
    <n v="31"/>
    <s v="N"/>
    <s v="DEPORTE"/>
    <s v="LLANQUIHUE"/>
    <s v="FRESIA"/>
    <s v="LIBRE"/>
    <s v="EJECUCION"/>
    <n v="30134714"/>
    <s v="30134714-EJECUCION"/>
    <m/>
    <s v="30134714"/>
    <s v="CONSTRUCCION ESTADIO MUNICIPAL ANFUR, COMUNA DE FRESIA"/>
    <n v="737484000"/>
    <n v="0"/>
    <n v="42332900"/>
    <n v="0"/>
    <n v="0"/>
    <n v="0"/>
    <n v="0"/>
    <n v="0"/>
    <n v="0"/>
    <n v="42332900"/>
    <n v="695151100"/>
    <s v="ARI"/>
    <s v="FI"/>
    <x v="2"/>
  </r>
  <r>
    <n v="31"/>
    <s v="N"/>
    <s v="SALUD"/>
    <s v="LLANQUIHUE"/>
    <s v="FRESIA"/>
    <s v="LIBRE"/>
    <s v="EJECUCION"/>
    <n v="30282773"/>
    <s v="30282773-EJECUCION"/>
    <m/>
    <s v="30282773"/>
    <s v="REPOSICION POSTA DE SALUD RURAL EL TRAIGUEN, FRESIA"/>
    <n v="484346000"/>
    <n v="0"/>
    <n v="19378537"/>
    <n v="0"/>
    <n v="0"/>
    <n v="0"/>
    <n v="0"/>
    <n v="0"/>
    <n v="0"/>
    <n v="19378537"/>
    <n v="464967463"/>
    <s v="ARI"/>
    <s v="FI"/>
    <x v="2"/>
  </r>
  <r>
    <n v="31"/>
    <s v="N"/>
    <s v="AGUA POTABLE Y ALCANTARILLADO"/>
    <s v="LLANQUIHUE"/>
    <s v="FRESIA"/>
    <s v="LIBRE"/>
    <s v="EJECUCION"/>
    <n v="30397144"/>
    <s v="30397144-EJECUCION"/>
    <m/>
    <s v="30397144"/>
    <s v="CONSTRUCCION SISTEMA APR SECTOR LAS CRUCES, COMUNA DE FRESIA"/>
    <n v="1163589000"/>
    <n v="0"/>
    <n v="10000000"/>
    <n v="0"/>
    <n v="0"/>
    <n v="0"/>
    <n v="0"/>
    <n v="0"/>
    <n v="0"/>
    <n v="10000000"/>
    <n v="1153589000"/>
    <s v="ARI"/>
    <s v="FI"/>
    <x v="2"/>
  </r>
  <r>
    <n v="31"/>
    <s v="N"/>
    <s v="EDUCACIÓN Y CULTURA"/>
    <s v="LLANQUIHUE"/>
    <s v="FRESIA"/>
    <s v="FIE"/>
    <s v="EJECUCION"/>
    <n v="30396276"/>
    <s v="30396276-EJECUCION"/>
    <m/>
    <s v="30396276"/>
    <s v="CONSERVACION EDIFICIO DAEM, FRESIA (C33)"/>
    <n v="326911000"/>
    <n v="0"/>
    <n v="10000000"/>
    <n v="0"/>
    <n v="0"/>
    <n v="0"/>
    <n v="0"/>
    <n v="0"/>
    <n v="0"/>
    <n v="10000000"/>
    <n v="316911000"/>
    <s v="ARI"/>
    <s v="SR*"/>
    <x v="2"/>
  </r>
  <r>
    <n v="31"/>
    <s v="N"/>
    <s v="EDUCACIÓN Y CULTURA"/>
    <s v="LLANQUIHUE"/>
    <s v="FRESIA"/>
    <s v="FIE"/>
    <s v="EJECUCION"/>
    <n v="30435722"/>
    <s v="30435722-EJECUCION"/>
    <m/>
    <s v="30435722"/>
    <s v="CONSTRUCCION CENTRO CULTURAL, COMUNA DE FRESIA"/>
    <n v="1191898000"/>
    <n v="0"/>
    <n v="10000000"/>
    <n v="0"/>
    <n v="0"/>
    <n v="0"/>
    <n v="0"/>
    <n v="0"/>
    <n v="0"/>
    <n v="10000000"/>
    <n v="1181898000"/>
    <s v="ARI"/>
    <s v="SR"/>
    <x v="2"/>
  </r>
  <r>
    <m/>
    <m/>
    <m/>
    <m/>
    <m/>
    <m/>
    <m/>
    <m/>
    <m/>
    <m/>
    <m/>
    <s v="TOTAL DE INICIATIVAS SIN MOVIMIENTO"/>
    <n v="3904228000"/>
    <n v="0"/>
    <n v="91711437"/>
    <n v="0"/>
    <n v="0"/>
    <n v="0"/>
    <n v="0"/>
    <n v="0"/>
    <n v="0"/>
    <n v="91711437"/>
    <n v="3812516563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TOTAL COMUNA DE  FRESIA"/>
    <n v="7834794673"/>
    <n v="1508182435"/>
    <n v="816620690"/>
    <n v="306849062"/>
    <n v="4500000"/>
    <n v="77668994"/>
    <n v="389018056"/>
    <n v="165891463"/>
    <n v="554909519"/>
    <n v="261711171"/>
    <n v="5509991548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COMUNA DE FRUTILLAR"/>
    <m/>
    <m/>
    <m/>
    <m/>
    <m/>
    <m/>
    <m/>
    <m/>
    <m/>
    <m/>
    <m/>
    <m/>
    <m/>
    <x v="0"/>
  </r>
  <r>
    <m/>
    <m/>
    <m/>
    <m/>
    <m/>
    <m/>
    <m/>
    <m/>
    <m/>
    <m/>
    <m/>
    <s v="INICIATIVAS EN EJECUCION"/>
    <m/>
    <m/>
    <m/>
    <m/>
    <m/>
    <m/>
    <m/>
    <m/>
    <m/>
    <m/>
    <m/>
    <m/>
    <m/>
    <x v="0"/>
  </r>
  <r>
    <n v="31"/>
    <s v="A"/>
    <s v="EDUCACIÓN Y CULTURA"/>
    <s v="LLANQUIHUE"/>
    <s v="FRUTILLAR"/>
    <s v="FAR"/>
    <s v="EJECUCION"/>
    <n v="30291172"/>
    <s v="30291172-EJECUCION"/>
    <m/>
    <s v="30291172"/>
    <s v="REPOSICION Y AMPLIACION BIBLIOTECA MUNICIPAL"/>
    <n v="1317857690"/>
    <n v="881409797"/>
    <n v="436447893"/>
    <n v="120507605"/>
    <n v="85164423"/>
    <n v="72174748"/>
    <n v="277846776"/>
    <n v="2275000"/>
    <n v="280121776"/>
    <n v="156326117"/>
    <n v="0"/>
    <s v="EN EJECUCION"/>
    <s v="RS"/>
    <x v="7"/>
  </r>
  <r>
    <n v="31"/>
    <s v="A"/>
    <s v="EDUCACIÓN Y CULTURA"/>
    <s v="LLANQUIHUE"/>
    <s v="FRUTILLAR"/>
    <s v="FIE"/>
    <s v="EJECUCION"/>
    <n v="30073164"/>
    <s v="30073164-EJECUCION"/>
    <m/>
    <s v="30073164"/>
    <s v="CONSTRUCCION ESCUELA ESPECIAL SAN AGUSTIN"/>
    <n v="853219620"/>
    <n v="703219620"/>
    <n v="150000000"/>
    <n v="0"/>
    <n v="0"/>
    <n v="0"/>
    <n v="0"/>
    <n v="0"/>
    <n v="0"/>
    <n v="150000000"/>
    <n v="0"/>
    <s v="EN EJECUCION"/>
    <s v="RS"/>
    <x v="5"/>
  </r>
  <r>
    <n v="31"/>
    <s v="P"/>
    <s v="AGUA POTABLE Y ALCANTARILLADO"/>
    <s v="LLANQUIHUE"/>
    <s v="FRUTILLAR"/>
    <s v="SS"/>
    <s v="EJECUCION"/>
    <n v="30465244"/>
    <s v="30465244-EJECUCION"/>
    <m/>
    <s v="30465244"/>
    <s v="CONSTRUCCION RED APR SECTOR COLONIA SAN MARTIN(C33)"/>
    <n v="362925000"/>
    <n v="1500000"/>
    <n v="150000000"/>
    <n v="0"/>
    <n v="0"/>
    <n v="32238429"/>
    <n v="32238429"/>
    <n v="9628889"/>
    <n v="41867318"/>
    <n v="108132682"/>
    <n v="211425000"/>
    <s v="EN EJECUCION"/>
    <s v="RS"/>
    <x v="7"/>
  </r>
  <r>
    <n v="31"/>
    <s v="P"/>
    <s v="AGUA POTABLE Y ALCANTARILLADO"/>
    <s v="LLANQUIHUE"/>
    <s v="FRUTILLAR"/>
    <s v="SS"/>
    <s v="EJECUCION"/>
    <n v="30465242"/>
    <s v="30465242-EJECUCION"/>
    <m/>
    <s v="30465242"/>
    <s v="CONSTRUCCION RED APR SECTOR CENTINELA LA HUACHA"/>
    <n v="314524000"/>
    <n v="1500000"/>
    <n v="94500000"/>
    <n v="0"/>
    <n v="0"/>
    <n v="2555556"/>
    <n v="2555556"/>
    <n v="43021480"/>
    <n v="45577036"/>
    <n v="48922964"/>
    <n v="218524000"/>
    <s v="EN EJECUCION"/>
    <s v="RS"/>
    <x v="7"/>
  </r>
  <r>
    <n v="31"/>
    <s v="A"/>
    <s v="EDUCACIÓN Y CULTURA"/>
    <s v="LLANQUIHUE"/>
    <s v="FRUTILLAR"/>
    <s v="FIE"/>
    <s v="EJECUCION"/>
    <n v="30113942"/>
    <s v="30113942-EJECUCION"/>
    <m/>
    <s v="30113942"/>
    <s v="REPOSICION INTERNADO LICEO INDUSTRIAL CHILENO ALEMAN FRUTILLAR"/>
    <n v="2832541112"/>
    <n v="2773576112"/>
    <n v="58965000"/>
    <n v="0"/>
    <n v="0"/>
    <n v="0"/>
    <n v="0"/>
    <n v="0"/>
    <n v="0"/>
    <n v="58965000"/>
    <n v="0"/>
    <s v="EN EJECUCION"/>
    <s v="RS"/>
    <x v="5"/>
  </r>
  <r>
    <n v="31"/>
    <s v="A"/>
    <s v="DEPORTE"/>
    <s v="LLANQUIHUE"/>
    <s v="FRUTILLAR"/>
    <s v="LIBRE"/>
    <s v="EJECUCION"/>
    <n v="30085373"/>
    <s v="30085373-EJECUCION"/>
    <m/>
    <s v="30085373"/>
    <s v="REPOSICION ESTADIO MUNICIPAL DE FRUTILLAR"/>
    <n v="1586461807"/>
    <n v="1569445807"/>
    <n v="7286072"/>
    <n v="0"/>
    <n v="0"/>
    <n v="0"/>
    <n v="0"/>
    <n v="0"/>
    <n v="0"/>
    <n v="7286072"/>
    <n v="9729928"/>
    <s v="EN EJECUCION"/>
    <s v="RS"/>
    <x v="2"/>
  </r>
  <r>
    <m/>
    <m/>
    <m/>
    <m/>
    <m/>
    <m/>
    <m/>
    <m/>
    <m/>
    <m/>
    <m/>
    <s v="TOTAL DE INICIATIVAS EN EJECUCION"/>
    <n v="7267529229"/>
    <n v="5930651336"/>
    <n v="897198965"/>
    <n v="120507605"/>
    <n v="85164423"/>
    <n v="106968733"/>
    <n v="312640761"/>
    <n v="54925369"/>
    <n v="367566130"/>
    <n v="529632835"/>
    <n v="439678928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TERMINADAS"/>
    <m/>
    <m/>
    <m/>
    <m/>
    <m/>
    <m/>
    <m/>
    <m/>
    <m/>
    <m/>
    <m/>
    <m/>
    <m/>
    <x v="0"/>
  </r>
  <r>
    <n v="31"/>
    <s v="A"/>
    <s v="MULTISECTORIAL"/>
    <s v="LLANQUIHUE"/>
    <s v="FRUTILLAR"/>
    <s v="FAR"/>
    <s v="DISEÑO"/>
    <n v="30071843"/>
    <s v="30071843-DISEÑO"/>
    <m/>
    <s v="30071843"/>
    <s v="CONSTRUCCION EDIFICIO CONSISTORIAL FRUTILLAR"/>
    <n v="34366000"/>
    <n v="34366000"/>
    <n v="0"/>
    <n v="0"/>
    <n v="0"/>
    <n v="0"/>
    <n v="0"/>
    <n v="0"/>
    <n v="0"/>
    <n v="0"/>
    <n v="0"/>
    <s v="TERMINADO"/>
    <s v="RS"/>
    <x v="7"/>
  </r>
  <r>
    <n v="31"/>
    <s v="A"/>
    <s v="AGUA POTABLE Y ALCANTARILLADO"/>
    <s v="LLANQUIHUE"/>
    <s v="FRUTILLAR"/>
    <s v="PIR"/>
    <s v="EJECUCION"/>
    <n v="30128506"/>
    <s v="30128506-EJECUCION"/>
    <m/>
    <s v="30128506"/>
    <s v="CONSTRUCCION RED DE AGUA POTABLE SECTOR LOS BAJOS, FRUTILLAR"/>
    <n v="278849622"/>
    <n v="278849622"/>
    <n v="0"/>
    <n v="0"/>
    <n v="0"/>
    <n v="0"/>
    <n v="0"/>
    <n v="0"/>
    <n v="0"/>
    <n v="0"/>
    <n v="0"/>
    <s v="TERMINADO"/>
    <s v="RS"/>
    <x v="7"/>
  </r>
  <r>
    <n v="31"/>
    <s v="A"/>
    <s v="SALUD"/>
    <s v="LLANQUIHUE"/>
    <s v="FRUTILLAR"/>
    <s v="LIBRE"/>
    <s v="DISEÑO"/>
    <n v="30219228"/>
    <s v="30219228-DISEÑO"/>
    <s v="30219228-FNDR"/>
    <s v="30219228"/>
    <s v="REPOSICION CENTRO DE SALUD DE ATENCION PRIMARIA FRUTILLAR"/>
    <n v="96233000"/>
    <n v="82343100"/>
    <n v="13889900"/>
    <n v="0"/>
    <n v="0"/>
    <n v="13889900"/>
    <n v="13889900"/>
    <n v="0"/>
    <n v="13889900"/>
    <n v="0"/>
    <n v="0"/>
    <s v="TERMINADO"/>
    <s v="RS"/>
    <x v="7"/>
  </r>
  <r>
    <m/>
    <m/>
    <m/>
    <m/>
    <m/>
    <m/>
    <m/>
    <m/>
    <m/>
    <m/>
    <m/>
    <s v="TOTAL DE INICIATIVAS TERMINADAS"/>
    <n v="409448622"/>
    <n v="395558722"/>
    <n v="13889900"/>
    <n v="0"/>
    <n v="0"/>
    <n v="13889900"/>
    <n v="13889900"/>
    <n v="0"/>
    <n v="13889900"/>
    <n v="0"/>
    <n v="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LICITACION/ADJUDICACION"/>
    <m/>
    <m/>
    <m/>
    <m/>
    <m/>
    <m/>
    <m/>
    <m/>
    <m/>
    <m/>
    <m/>
    <m/>
    <m/>
    <x v="0"/>
  </r>
  <r>
    <n v="31"/>
    <s v="P"/>
    <s v="AGUA POTABLE Y ALCANTARILLADO"/>
    <s v="LLANQUIHUE"/>
    <s v="FRUTILLAR"/>
    <s v="LIBRE"/>
    <s v="EJECUCION"/>
    <n v="30465245"/>
    <s v="30465245-EJECUCION"/>
    <m/>
    <s v="30465245"/>
    <s v="CONSTRUCCION SERVICIO DE APR SECTOR COPIHUE, FRUTILLAR"/>
    <n v="330967000"/>
    <n v="0"/>
    <n v="150177591"/>
    <n v="1500000"/>
    <n v="0"/>
    <n v="0"/>
    <n v="1500000"/>
    <n v="0"/>
    <n v="1500000"/>
    <n v="148677591"/>
    <n v="180789409"/>
    <s v="EN LICITACION"/>
    <s v="RS"/>
    <x v="2"/>
  </r>
  <r>
    <m/>
    <m/>
    <m/>
    <m/>
    <m/>
    <m/>
    <m/>
    <m/>
    <m/>
    <m/>
    <m/>
    <s v="TOTAL DE INICIATIVAS EN LICITACION/ADJUDICACION"/>
    <n v="330967000"/>
    <n v="0"/>
    <n v="150177591"/>
    <n v="1500000"/>
    <n v="0"/>
    <n v="0"/>
    <n v="1500000"/>
    <n v="0"/>
    <n v="1500000"/>
    <n v="148677591"/>
    <n v="180789409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CONVENIO Y TRAMITE"/>
    <m/>
    <m/>
    <m/>
    <m/>
    <m/>
    <m/>
    <m/>
    <m/>
    <m/>
    <m/>
    <m/>
    <m/>
    <m/>
    <x v="0"/>
  </r>
  <r>
    <n v="31"/>
    <s v="P"/>
    <s v="TRANSPORTE"/>
    <s v="LLANQUIHUE"/>
    <s v="FRUTILLAR"/>
    <s v="FAR"/>
    <s v="EJECUCION"/>
    <n v="30077934"/>
    <s v="30077934-EJECUCION"/>
    <m/>
    <s v="30077934"/>
    <s v="CONSTRUCCION CALLE NUEVA NUEVE DE FRUTILLAR"/>
    <n v="1355888000"/>
    <n v="0"/>
    <n v="97294246"/>
    <n v="0"/>
    <n v="0"/>
    <n v="0"/>
    <n v="0"/>
    <n v="0"/>
    <n v="0"/>
    <n v="97294246"/>
    <n v="1258593754"/>
    <s v="CON CONVENIO"/>
    <s v="RS"/>
    <x v="7"/>
  </r>
  <r>
    <n v="31"/>
    <s v="N"/>
    <s v="ENERGÍA"/>
    <s v="LLANQUIHUE"/>
    <s v="FRUTILLAR"/>
    <s v="ENERGIZACION"/>
    <s v="EJECUCION"/>
    <n v="30485158"/>
    <s v="30485158-EJECUCION"/>
    <m/>
    <s v="30485158"/>
    <s v="HABILITACION SUMINISTRO ENERGIA ELECTRICA, SECTOR LA PIEDRA FRUTILLAR"/>
    <n v="133588000"/>
    <n v="0"/>
    <n v="0"/>
    <n v="0"/>
    <n v="0"/>
    <n v="0"/>
    <n v="0"/>
    <n v="0"/>
    <n v="0"/>
    <n v="0"/>
    <n v="133588000"/>
    <s v="TRAMITE CONVENIO"/>
    <s v="RS"/>
    <x v="2"/>
  </r>
  <r>
    <m/>
    <m/>
    <m/>
    <m/>
    <m/>
    <m/>
    <m/>
    <m/>
    <m/>
    <m/>
    <m/>
    <s v="TOTAL DE INICIATIVAS EN CONVENIO Y TRAMITE"/>
    <n v="1489476000"/>
    <n v="0"/>
    <n v="97294246"/>
    <n v="0"/>
    <n v="0"/>
    <n v="0"/>
    <n v="0"/>
    <n v="0"/>
    <n v="0"/>
    <n v="97294246"/>
    <n v="1392181754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SIN MOVIMIENTO"/>
    <m/>
    <m/>
    <m/>
    <m/>
    <m/>
    <m/>
    <m/>
    <m/>
    <m/>
    <m/>
    <m/>
    <m/>
    <m/>
    <x v="0"/>
  </r>
  <r>
    <n v="31"/>
    <s v="N"/>
    <s v="TRANSPORTE"/>
    <s v="LLANQUIHUE"/>
    <s v="FRUTILLAR"/>
    <s v="FAR"/>
    <s v="PREFACTIBILIDAD"/>
    <n v="30077932"/>
    <s v="30077932-PREFACTIBILIDAD"/>
    <m/>
    <s v="30077932"/>
    <s v="MEJORAMIENTO INTERCONEXION VIAL, FRUTILLAR ALTO Y BAJO"/>
    <n v="131500000"/>
    <n v="0"/>
    <n v="30000000"/>
    <n v="0"/>
    <n v="0"/>
    <n v="0"/>
    <n v="0"/>
    <n v="0"/>
    <n v="0"/>
    <n v="30000000"/>
    <n v="101500000"/>
    <s v="ARI"/>
    <s v="RS"/>
    <x v="2"/>
  </r>
  <r>
    <n v="31"/>
    <s v="N"/>
    <s v="AGUA POTABLE Y ALCANTARILLADO"/>
    <s v="LLANQUIHUE"/>
    <s v="FRUTILLAR"/>
    <s v="LIBRE"/>
    <s v="EJECUCION"/>
    <n v="30484262"/>
    <s v="30484262-EJECUCION"/>
    <m/>
    <s v="30484262"/>
    <s v="CONSTRUCCION SERVICIO DE APR LOMA DE LA PIEDRA-LA HUACHA, FRUTILLAR"/>
    <n v="394245000"/>
    <n v="0"/>
    <n v="10000000"/>
    <n v="0"/>
    <n v="0"/>
    <n v="0"/>
    <n v="0"/>
    <n v="0"/>
    <n v="0"/>
    <n v="10000000"/>
    <n v="384245000"/>
    <s v="ARI"/>
    <s v="FI"/>
    <x v="2"/>
  </r>
  <r>
    <n v="31"/>
    <s v="N"/>
    <s v="AGUA POTABLE Y ALCANTARILLADO"/>
    <s v="LLANQUIHUE"/>
    <s v="FRUTILLAR"/>
    <s v="LIBRE"/>
    <s v="EJECUCION"/>
    <n v="30465246"/>
    <s v="30465246-EJECUCION"/>
    <m/>
    <s v="30465246"/>
    <s v="CONSTRUCCION RED DE APR SECTOR VILLA ALEGRE"/>
    <n v="168340000"/>
    <n v="0"/>
    <n v="42713928"/>
    <n v="0"/>
    <n v="0"/>
    <n v="0"/>
    <n v="0"/>
    <n v="0"/>
    <n v="0"/>
    <n v="42713928"/>
    <n v="125626072"/>
    <s v="ARI"/>
    <s v="FI"/>
    <x v="2"/>
  </r>
  <r>
    <m/>
    <m/>
    <m/>
    <m/>
    <m/>
    <m/>
    <m/>
    <m/>
    <m/>
    <m/>
    <m/>
    <s v="TOTAL DE INICIATIVAS SIN MOVIMIENTO"/>
    <n v="694085000"/>
    <n v="0"/>
    <n v="82713928"/>
    <n v="0"/>
    <n v="0"/>
    <n v="0"/>
    <n v="0"/>
    <n v="0"/>
    <n v="0"/>
    <n v="82713928"/>
    <n v="611371072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TOTAL COMUNA DE  FRUTILLAR"/>
    <n v="10191505851"/>
    <n v="6326210058"/>
    <n v="1241274630"/>
    <n v="122007605"/>
    <n v="85164423"/>
    <n v="120858633"/>
    <n v="328030661"/>
    <n v="54925369"/>
    <n v="382956030"/>
    <n v="858318600"/>
    <n v="2624021163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COMUNA DE LLANQUIHUE"/>
    <m/>
    <m/>
    <m/>
    <m/>
    <m/>
    <m/>
    <m/>
    <m/>
    <m/>
    <m/>
    <m/>
    <m/>
    <m/>
    <x v="0"/>
  </r>
  <r>
    <m/>
    <m/>
    <m/>
    <m/>
    <m/>
    <m/>
    <m/>
    <m/>
    <m/>
    <m/>
    <m/>
    <s v="INICIATIVAS EN EJECUCION"/>
    <m/>
    <m/>
    <m/>
    <m/>
    <m/>
    <m/>
    <m/>
    <m/>
    <m/>
    <m/>
    <m/>
    <m/>
    <m/>
    <x v="0"/>
  </r>
  <r>
    <n v="31"/>
    <s v="N"/>
    <s v="MULTISECTORIAL"/>
    <s v="LLANQUIHUE"/>
    <s v="LLANQUIHUE"/>
    <s v="LIBRE"/>
    <s v="EJECUCION"/>
    <n v="30076574"/>
    <s v="30076574-EJECUCION"/>
    <m/>
    <s v="30076574"/>
    <s v="REPOSICION EDIFICIO CONSISTORIAL, LLANQUIHUE"/>
    <n v="2806948000"/>
    <n v="121552095"/>
    <n v="300000000"/>
    <n v="0"/>
    <n v="0"/>
    <n v="3000000"/>
    <n v="3000000"/>
    <n v="0"/>
    <n v="3000000"/>
    <n v="297000000"/>
    <n v="2385395905"/>
    <s v="EN EJECUCION"/>
    <s v="RS"/>
    <x v="7"/>
  </r>
  <r>
    <m/>
    <m/>
    <m/>
    <m/>
    <m/>
    <m/>
    <m/>
    <m/>
    <m/>
    <m/>
    <m/>
    <s v="TOTAL DE INICIATIVAS EN EJECUCION"/>
    <n v="2806948000"/>
    <n v="121552095"/>
    <n v="300000000"/>
    <n v="0"/>
    <n v="0"/>
    <n v="3000000"/>
    <n v="3000000"/>
    <n v="0"/>
    <n v="3000000"/>
    <n v="297000000"/>
    <n v="2385395905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CONVENIO Y TRAMITE"/>
    <m/>
    <m/>
    <m/>
    <m/>
    <m/>
    <m/>
    <m/>
    <m/>
    <m/>
    <m/>
    <m/>
    <m/>
    <m/>
    <x v="0"/>
  </r>
  <r>
    <n v="29"/>
    <s v="N"/>
    <s v="SALUD"/>
    <s v="LLANQUIHUE"/>
    <s v="LLANQUIHUE"/>
    <s v="LIBRE"/>
    <s v="EJECUCION"/>
    <n v="30458984"/>
    <s v="30458984-EJECUCION"/>
    <m/>
    <s v="30458984"/>
    <s v="REPOSICION DE VEHICULOS DESAM COMUNA DE LLANQUIHUE (C33)"/>
    <n v="136057000"/>
    <n v="0"/>
    <n v="0"/>
    <n v="0"/>
    <n v="0"/>
    <n v="0"/>
    <n v="0"/>
    <n v="0"/>
    <n v="0"/>
    <n v="0"/>
    <n v="136057000"/>
    <s v="CON CONVENIO"/>
    <s v="RS*"/>
    <x v="2"/>
  </r>
  <r>
    <m/>
    <m/>
    <m/>
    <m/>
    <m/>
    <m/>
    <m/>
    <m/>
    <m/>
    <m/>
    <m/>
    <s v="TOTAL DE INICIATIVAS EN CONVENIO Y TRAMITE"/>
    <n v="136057000"/>
    <n v="0"/>
    <n v="0"/>
    <n v="0"/>
    <n v="0"/>
    <n v="0"/>
    <n v="0"/>
    <n v="0"/>
    <n v="0"/>
    <n v="0"/>
    <n v="1360570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SIN MOVIMIENTO"/>
    <m/>
    <m/>
    <m/>
    <m/>
    <m/>
    <m/>
    <m/>
    <m/>
    <m/>
    <m/>
    <m/>
    <m/>
    <m/>
    <x v="0"/>
  </r>
  <r>
    <n v="31"/>
    <s v="N"/>
    <s v="EDUCACIÓN Y CULTURA"/>
    <s v="LLANQUIHUE"/>
    <s v="LLANQUIHUE"/>
    <s v="LIBRE"/>
    <s v="DISEÑO"/>
    <n v="30463530"/>
    <s v="30463530-DISEÑO"/>
    <m/>
    <s v="30463530"/>
    <s v="CONSTRUCCION CENTRO CULTURAL COMUNITARIO, LLANQUIHUE"/>
    <n v="159342000"/>
    <n v="0"/>
    <n v="15000000"/>
    <n v="0"/>
    <n v="0"/>
    <n v="0"/>
    <n v="0"/>
    <n v="0"/>
    <n v="0"/>
    <n v="15000000"/>
    <n v="144342000"/>
    <s v="ARI"/>
    <s v="FI"/>
    <x v="2"/>
  </r>
  <r>
    <n v="31"/>
    <s v="N"/>
    <s v="TRANSPORTE"/>
    <s v="LLANQUIHUE"/>
    <s v="LLANQUIHUE"/>
    <s v="FAR"/>
    <s v="DISEÑO"/>
    <n v="30427426"/>
    <s v="30427426-DISEÑO"/>
    <m/>
    <s v="30427426"/>
    <s v="NORMALIZACION PUENTE DE MAULLIN N°1, COMUNA DE LLANQUIHUE."/>
    <n v="252242000"/>
    <n v="0"/>
    <n v="15000000"/>
    <n v="0"/>
    <n v="0"/>
    <n v="0"/>
    <n v="0"/>
    <n v="0"/>
    <n v="0"/>
    <n v="15000000"/>
    <n v="237242000"/>
    <s v="ARI"/>
    <s v="OT"/>
    <x v="2"/>
  </r>
  <r>
    <m/>
    <m/>
    <m/>
    <m/>
    <m/>
    <m/>
    <m/>
    <m/>
    <m/>
    <m/>
    <m/>
    <s v="TOTAL DE INICIATIVAS SIN MOVIMIENTO"/>
    <n v="411584000"/>
    <n v="0"/>
    <n v="30000000"/>
    <n v="0"/>
    <n v="0"/>
    <n v="0"/>
    <n v="0"/>
    <n v="0"/>
    <n v="0"/>
    <n v="30000000"/>
    <n v="3815840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TOTAL COMUNA DE  LLANQUIHUE"/>
    <n v="3354589000"/>
    <n v="121552095"/>
    <n v="330000000"/>
    <n v="0"/>
    <n v="0"/>
    <n v="3000000"/>
    <n v="3000000"/>
    <n v="0"/>
    <n v="3000000"/>
    <n v="327000000"/>
    <n v="2903036905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COMUNA DE LOS MUERMOS"/>
    <m/>
    <m/>
    <m/>
    <m/>
    <m/>
    <m/>
    <m/>
    <m/>
    <m/>
    <m/>
    <m/>
    <m/>
    <m/>
    <x v="0"/>
  </r>
  <r>
    <m/>
    <m/>
    <m/>
    <m/>
    <m/>
    <m/>
    <m/>
    <m/>
    <m/>
    <m/>
    <m/>
    <s v="INICIATIVAS EN EJECUCION"/>
    <m/>
    <m/>
    <m/>
    <m/>
    <m/>
    <m/>
    <m/>
    <m/>
    <m/>
    <m/>
    <m/>
    <m/>
    <m/>
    <x v="0"/>
  </r>
  <r>
    <n v="31"/>
    <s v="A"/>
    <s v="VIVIENDA"/>
    <s v="LLANQUIHUE"/>
    <s v="LOS MUERMOS"/>
    <s v="LIBRE"/>
    <s v="EJECUCION"/>
    <n v="30279673"/>
    <s v="30279673-EJECUCION"/>
    <m/>
    <s v="30279673"/>
    <s v="MEJORAMIENTO Y CONSTRUCCION NICHOS CEMENTERIO LOS MUERMOS"/>
    <n v="589370000"/>
    <n v="1500000"/>
    <n v="517870000"/>
    <n v="25410198"/>
    <n v="25833013"/>
    <n v="30742366"/>
    <n v="81985577"/>
    <n v="37073031"/>
    <n v="119058608"/>
    <n v="398811392"/>
    <n v="70000000"/>
    <s v="EN EJECUCION"/>
    <s v="RS"/>
    <x v="7"/>
  </r>
  <r>
    <n v="31"/>
    <s v="A"/>
    <s v="AGUA POTABLE Y ALCANTARILLADO"/>
    <s v="LLANQUIHUE"/>
    <s v="LOS MUERMOS"/>
    <s v="SS"/>
    <s v="EJECUCION"/>
    <n v="30108787"/>
    <s v="30108787-EJECUCION"/>
    <m/>
    <s v="30108787"/>
    <s v="REPOSICION P.T.A.S. Y REDES AP Y ALCANT, CAÑITAS, LOS MUERMOS"/>
    <n v="1587610000"/>
    <n v="1405679649"/>
    <n v="14458500"/>
    <n v="0"/>
    <n v="0"/>
    <n v="0"/>
    <n v="0"/>
    <n v="14458500"/>
    <n v="14458500"/>
    <n v="0"/>
    <n v="167471851"/>
    <s v="EN EJECUCION"/>
    <s v="RS"/>
    <x v="7"/>
  </r>
  <r>
    <n v="31"/>
    <s v="A"/>
    <s v="DEPORTE"/>
    <s v="LLANQUIHUE"/>
    <s v="LOS MUERMOS"/>
    <s v="LIBRE"/>
    <s v="EJECUCION"/>
    <n v="30071020"/>
    <s v="30071020-EJECUCION"/>
    <m/>
    <s v="30071020"/>
    <s v="CONSTRUCCION CANCHA SINTETICA ESTADIO CHILE DEPORTES"/>
    <n v="1286401095"/>
    <n v="1121478997"/>
    <n v="0"/>
    <n v="0"/>
    <n v="0"/>
    <n v="0"/>
    <n v="0"/>
    <n v="0"/>
    <n v="0"/>
    <n v="0"/>
    <n v="164922098"/>
    <s v="EN EJECUCION"/>
    <s v="RS"/>
    <x v="2"/>
  </r>
  <r>
    <n v="31"/>
    <s v="P"/>
    <s v="SALUD"/>
    <s v="LLANQUIHUE"/>
    <s v="LOS MUERMOS"/>
    <s v="LIBRE"/>
    <s v="EJECUCION"/>
    <n v="30134380"/>
    <s v="30134380-EJECUCION"/>
    <s v="30134380-FNDR"/>
    <s v="30134380"/>
    <s v="REPOSICION DE SALUD RURAL LA PASADA"/>
    <n v="363409000"/>
    <n v="344153769"/>
    <n v="11998789"/>
    <n v="11998789"/>
    <n v="0"/>
    <n v="0"/>
    <n v="11998789"/>
    <n v="0"/>
    <n v="11998789"/>
    <n v="0"/>
    <n v="7256442"/>
    <s v="EN EJECUCION"/>
    <s v="RS"/>
    <x v="2"/>
  </r>
  <r>
    <n v="31"/>
    <s v="A"/>
    <s v="MULTISECTORIAL"/>
    <s v="LLANQUIHUE"/>
    <s v="LOS MUERMOS"/>
    <s v="RSD"/>
    <s v="EJECUCION"/>
    <n v="30103323"/>
    <s v="30103323-EJECUCION"/>
    <m/>
    <s v="30103323"/>
    <s v="CONSTRUCCION CIERRE EX VERTEDERO MUNICIPAL LOS MUERMOS"/>
    <n v="207019710"/>
    <n v="99601553"/>
    <n v="94566157"/>
    <n v="0"/>
    <n v="0"/>
    <n v="0"/>
    <n v="0"/>
    <n v="0"/>
    <n v="0"/>
    <n v="94566157"/>
    <n v="12852000"/>
    <s v="EN EJECUCION"/>
    <s v="RS"/>
    <x v="5"/>
  </r>
  <r>
    <m/>
    <m/>
    <m/>
    <m/>
    <m/>
    <m/>
    <m/>
    <m/>
    <m/>
    <m/>
    <m/>
    <s v="TOTAL DE INICIATIVAS EN EJECUCION"/>
    <n v="4033809805"/>
    <n v="2972413968"/>
    <n v="638893446"/>
    <n v="37408987"/>
    <n v="25833013"/>
    <n v="30742366"/>
    <n v="93984366"/>
    <n v="51531531"/>
    <n v="145515897"/>
    <n v="493377549"/>
    <n v="422502391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LICITACION/ADJUDICACION"/>
    <m/>
    <m/>
    <m/>
    <m/>
    <m/>
    <m/>
    <m/>
    <m/>
    <m/>
    <m/>
    <m/>
    <m/>
    <m/>
    <x v="0"/>
  </r>
  <r>
    <n v="31"/>
    <s v="P"/>
    <s v="MULTISECTORIAL"/>
    <s v="LLANQUIHUE"/>
    <s v="LOS MUERMOS"/>
    <s v="LIBRE"/>
    <s v="EJECUCION"/>
    <n v="30464833"/>
    <s v="30464833-EJECUCION"/>
    <m/>
    <s v="30464833"/>
    <s v="CONSERVACION DE 20,2 KM. DE CAMINOS VECINALES C. DE LOS MUERMOS(C33)"/>
    <n v="547246000"/>
    <n v="0"/>
    <n v="19755110"/>
    <n v="0"/>
    <n v="0"/>
    <n v="0"/>
    <n v="0"/>
    <n v="0"/>
    <n v="0"/>
    <n v="19755110"/>
    <n v="527490890"/>
    <s v="EN ADJUDICACION"/>
    <s v="RS*"/>
    <x v="7"/>
  </r>
  <r>
    <n v="29"/>
    <s v="N"/>
    <s v="ENERGÍA"/>
    <s v="LLANQUIHUE"/>
    <s v="LOS MUERMOS"/>
    <s v="LIBRE"/>
    <s v="EJECUCION"/>
    <n v="30482544"/>
    <s v="30482544-EJECUCION"/>
    <m/>
    <s v="30482544"/>
    <s v="REPOSICION EQUIPOS DE ILUMINACION ESPACIOS PUBLICOS, LOS MUERMOS(C33)"/>
    <n v="192302000"/>
    <n v="0"/>
    <n v="192302000"/>
    <n v="0"/>
    <n v="0"/>
    <n v="0"/>
    <n v="0"/>
    <n v="0"/>
    <n v="0"/>
    <n v="192302000"/>
    <n v="0"/>
    <s v="EN ADJUDICACION"/>
    <s v="RS*"/>
    <x v="2"/>
  </r>
  <r>
    <m/>
    <m/>
    <m/>
    <m/>
    <m/>
    <m/>
    <m/>
    <m/>
    <m/>
    <m/>
    <m/>
    <s v="TOTAL DE INICIATIVAS EN LICITACION/ADJUDICACION"/>
    <n v="739548000"/>
    <n v="0"/>
    <n v="212057110"/>
    <n v="0"/>
    <n v="0"/>
    <n v="0"/>
    <n v="0"/>
    <n v="0"/>
    <n v="0"/>
    <n v="212057110"/>
    <n v="52749089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CONVENIO Y TRAMITE"/>
    <m/>
    <m/>
    <m/>
    <m/>
    <m/>
    <m/>
    <m/>
    <m/>
    <m/>
    <m/>
    <m/>
    <m/>
    <m/>
    <x v="0"/>
  </r>
  <r>
    <n v="29"/>
    <s v="N"/>
    <s v="MULTISECTORIAL"/>
    <s v="LLANQUIHUE"/>
    <s v="LOS MUERMOS"/>
    <s v="LIBRE"/>
    <s v="EJECUCION"/>
    <n v="30427424"/>
    <s v="30427424-EJECUCION"/>
    <m/>
    <s v="30427424"/>
    <s v="REPOSICION CAMIONETAS MUNICIPALES, COMUNA LOS MUERMOS(C33)"/>
    <n v="65441000"/>
    <n v="0"/>
    <n v="5000000"/>
    <n v="0"/>
    <n v="0"/>
    <n v="0"/>
    <n v="0"/>
    <n v="0"/>
    <n v="0"/>
    <n v="5000000"/>
    <n v="60441000"/>
    <s v="CON CONVENIO"/>
    <s v="RS*"/>
    <x v="2"/>
  </r>
  <r>
    <n v="29"/>
    <s v="N"/>
    <s v="MULTISECTORIAL"/>
    <s v="LLANQUIHUE"/>
    <s v="LOS MUERMOS"/>
    <s v="LIBRE"/>
    <s v="EJECUCION"/>
    <n v="30427472"/>
    <s v="30427472-EJECUCION"/>
    <m/>
    <s v="30427472"/>
    <s v="ADQUISICION DOS MINIBUSES PARA CCR LOS MUERMOS(C33)"/>
    <n v="123418000"/>
    <n v="0"/>
    <n v="10000000"/>
    <n v="0"/>
    <n v="0"/>
    <n v="0"/>
    <n v="0"/>
    <n v="0"/>
    <n v="0"/>
    <n v="10000000"/>
    <n v="113418000"/>
    <s v="CON CONVENIO"/>
    <s v="RS*"/>
    <x v="2"/>
  </r>
  <r>
    <n v="31"/>
    <s v="P"/>
    <s v="AGUA POTABLE Y ALCANTARILLADO"/>
    <s v="LLANQUIHUE"/>
    <s v="LOS MUERMOS"/>
    <s v="SS"/>
    <s v="EJECUCION"/>
    <n v="30289473"/>
    <s v="30289473-EJECUCION"/>
    <m/>
    <s v="30289473"/>
    <s v="CONSTRUCCION SERVICIO APR LOS ALAMOS"/>
    <n v="730281000"/>
    <n v="0"/>
    <n v="98246101"/>
    <n v="0"/>
    <n v="0"/>
    <n v="0"/>
    <n v="0"/>
    <n v="0"/>
    <n v="0"/>
    <n v="98246101"/>
    <n v="632034899"/>
    <s v="TRAMITE CONVENIO"/>
    <s v="RS"/>
    <x v="2"/>
  </r>
  <r>
    <n v="29"/>
    <s v="N"/>
    <s v="TRANSPORTE"/>
    <s v="LLANQUIHUE"/>
    <s v="LOS MUERMOS"/>
    <s v="LIBRE"/>
    <s v="EJECUCION"/>
    <n v="30220122"/>
    <s v="30220122-EJECUCION"/>
    <m/>
    <s v="30220122"/>
    <s v="ADQUISICION MAQUINARIA PESADA, COMUNA DE LOS MUERMOS (C33)"/>
    <n v="377417000"/>
    <n v="0"/>
    <n v="0"/>
    <n v="0"/>
    <n v="0"/>
    <n v="0"/>
    <n v="0"/>
    <n v="0"/>
    <n v="0"/>
    <n v="0"/>
    <n v="377417000"/>
    <s v="TRAMITE CONVENIO"/>
    <s v="RS*"/>
    <x v="2"/>
  </r>
  <r>
    <n v="31"/>
    <s v="N"/>
    <s v="ENERGÍA"/>
    <s v="LLANQUIHUE"/>
    <s v="LOS MUERMOS"/>
    <s v="ENERGIZACION"/>
    <s v="EJECUCION"/>
    <n v="40001034"/>
    <s v="40001034-EJECUCION"/>
    <m/>
    <s v="40001034"/>
    <s v="HABILITACION SUMINISTRO ENERGIA ELECTRICA RURAL, LA PALOMA"/>
    <n v="78830000"/>
    <n v="0"/>
    <n v="0"/>
    <n v="0"/>
    <n v="0"/>
    <n v="0"/>
    <n v="0"/>
    <n v="0"/>
    <n v="0"/>
    <n v="0"/>
    <n v="78830000"/>
    <s v="TRAMITE CONVENIO"/>
    <s v="RS"/>
    <x v="2"/>
  </r>
  <r>
    <n v="31"/>
    <s v="P"/>
    <s v="AGUA POTABLE Y ALCANTARILLADO"/>
    <s v="LLANQUIHUE"/>
    <s v="LOS MUERMOS"/>
    <s v="SS"/>
    <s v="DISEÑO"/>
    <n v="30465403"/>
    <s v="30465403-DISEÑO"/>
    <m/>
    <s v="30465403"/>
    <s v="CONSTRUCCION SERVICIO APR SECTOR CUESTA LA VACA, C LOS MUERMOS"/>
    <n v="30000000"/>
    <n v="0"/>
    <n v="3000000"/>
    <n v="0"/>
    <n v="0"/>
    <n v="0"/>
    <n v="0"/>
    <n v="0"/>
    <n v="0"/>
    <n v="3000000"/>
    <n v="27000000"/>
    <s v="TRAMITE CONVENIO"/>
    <s v="RS"/>
    <x v="2"/>
  </r>
  <r>
    <m/>
    <m/>
    <m/>
    <m/>
    <m/>
    <m/>
    <m/>
    <m/>
    <m/>
    <m/>
    <m/>
    <s v="TOTAL DE INICIATIVAS EN CONVENIO Y TRAMITE"/>
    <n v="1405387000"/>
    <n v="0"/>
    <n v="116246101"/>
    <n v="0"/>
    <n v="0"/>
    <n v="0"/>
    <n v="0"/>
    <n v="0"/>
    <n v="0"/>
    <n v="116246101"/>
    <n v="1289140899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SIN MOVIMIENTO"/>
    <m/>
    <m/>
    <m/>
    <m/>
    <m/>
    <m/>
    <m/>
    <m/>
    <m/>
    <m/>
    <m/>
    <m/>
    <m/>
    <x v="0"/>
  </r>
  <r>
    <n v="31"/>
    <s v="N"/>
    <s v="DEPORTE"/>
    <s v="LLANQUIHUE"/>
    <s v="LOS MUERMOS"/>
    <s v="LIBRE"/>
    <s v="EJECUCION"/>
    <n v="30182972"/>
    <s v="30182972-EJECUCION"/>
    <m/>
    <s v="30182972"/>
    <s v="MEJORAMIENTO Y AMPLIACION GIMNASIO MUNICIPAL, COMUNA LOS MUERMOS"/>
    <n v="1575731000"/>
    <n v="0"/>
    <n v="77180050"/>
    <n v="0"/>
    <n v="0"/>
    <n v="0"/>
    <n v="0"/>
    <n v="0"/>
    <n v="0"/>
    <n v="77180050"/>
    <n v="1498550950"/>
    <s v="ARI"/>
    <s v="SR"/>
    <x v="2"/>
  </r>
  <r>
    <n v="31"/>
    <s v="N"/>
    <s v="AGUA POTABLE Y ALCANTARILLADO"/>
    <s v="LLANQUIHUE"/>
    <s v="LOS MUERMOS"/>
    <s v="SS"/>
    <s v="EJECUCION"/>
    <n v="30422722"/>
    <s v="30422722-EJECUCION"/>
    <m/>
    <s v="30422722"/>
    <s v="CONSTRUCCION SERVICIO APR SANTA AMANDA"/>
    <n v="432960000"/>
    <n v="0"/>
    <n v="21648000"/>
    <n v="0"/>
    <n v="0"/>
    <n v="0"/>
    <n v="0"/>
    <n v="0"/>
    <n v="0"/>
    <n v="21648000"/>
    <n v="411312000"/>
    <s v="ARI"/>
    <s v="SR"/>
    <x v="2"/>
  </r>
  <r>
    <m/>
    <m/>
    <m/>
    <m/>
    <m/>
    <m/>
    <m/>
    <m/>
    <m/>
    <m/>
    <m/>
    <s v="TOTAL DE INICIATIVAS SIN MOVIMIENTO"/>
    <n v="2008691000"/>
    <n v="0"/>
    <n v="98828050"/>
    <n v="0"/>
    <n v="0"/>
    <n v="0"/>
    <n v="0"/>
    <n v="0"/>
    <n v="0"/>
    <n v="98828050"/>
    <n v="190986295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TOTAL COMUNA DE  LOS MUERMOS"/>
    <n v="8187435805"/>
    <n v="2972413968"/>
    <n v="1066024707"/>
    <n v="37408987"/>
    <n v="25833013"/>
    <n v="30742366"/>
    <n v="93984366"/>
    <n v="51531531"/>
    <n v="145515897"/>
    <n v="920508810"/>
    <n v="414899713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COMUNA DE MAULLIN"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EJECUCION"/>
    <m/>
    <m/>
    <m/>
    <m/>
    <m/>
    <m/>
    <m/>
    <m/>
    <m/>
    <m/>
    <m/>
    <m/>
    <m/>
    <x v="0"/>
  </r>
  <r>
    <n v="31"/>
    <s v="A"/>
    <s v="TRANSPORTE"/>
    <s v="LLANQUIHUE"/>
    <s v="MAULLIN"/>
    <s v="LIBRE"/>
    <s v="DISEÑO"/>
    <n v="30117895"/>
    <s v="30117895-DISEÑO"/>
    <m/>
    <s v="30117895"/>
    <s v="MEJORAMIENTO SIETE CALLES LOCALIDAD DE QUENUIR, COMUNA DE MAULLIN"/>
    <n v="19000000"/>
    <n v="6470000"/>
    <n v="12530000"/>
    <m/>
    <m/>
    <m/>
    <n v="0"/>
    <n v="0"/>
    <n v="0"/>
    <n v="12530000"/>
    <n v="0"/>
    <s v="EN EJECUCION"/>
    <s v="RS"/>
    <x v="6"/>
  </r>
  <r>
    <m/>
    <m/>
    <m/>
    <m/>
    <m/>
    <m/>
    <m/>
    <m/>
    <m/>
    <m/>
    <m/>
    <s v="TOTAL DE INICIATIVAS EN EJECUCION"/>
    <n v="19000000"/>
    <n v="6470000"/>
    <n v="12530000"/>
    <n v="0"/>
    <n v="0"/>
    <n v="0"/>
    <n v="0"/>
    <n v="0"/>
    <n v="0"/>
    <n v="12530000"/>
    <n v="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CONVENIO Y TRAMITE"/>
    <m/>
    <m/>
    <m/>
    <m/>
    <m/>
    <m/>
    <m/>
    <m/>
    <m/>
    <m/>
    <m/>
    <m/>
    <m/>
    <x v="0"/>
  </r>
  <r>
    <n v="31"/>
    <s v="N"/>
    <s v="ENERGÍA"/>
    <s v="LLANQUIHUE"/>
    <s v="MAULLIN"/>
    <s v="ENERGIZACION"/>
    <s v="EJECUCION"/>
    <n v="30476690"/>
    <s v="30476690-EJECUCION"/>
    <m/>
    <s v="30476690"/>
    <s v="HABILITACION SUMINISTRO ENERGIA ELECTRICA, TRES CUMBRES"/>
    <n v="346786000"/>
    <n v="0"/>
    <n v="346786000"/>
    <n v="0"/>
    <n v="0"/>
    <n v="0"/>
    <n v="0"/>
    <n v="0"/>
    <n v="0"/>
    <n v="346786000"/>
    <n v="0"/>
    <s v="TRAMITE CONVENIO"/>
    <s v="RS"/>
    <x v="2"/>
  </r>
  <r>
    <n v="31"/>
    <s v="N"/>
    <s v="TRANSPORTE"/>
    <s v="LLANQUIHUE"/>
    <s v="MAULLIN"/>
    <s v="FAR"/>
    <s v="EJECUCION"/>
    <n v="30117891"/>
    <s v="30117891-EJECUCION"/>
    <m/>
    <s v="30117891"/>
    <s v="MEJORAMIENTO CINCO CALLES LOCALIDAD DE CARELMAPU"/>
    <n v="183854000"/>
    <n v="0"/>
    <n v="60000000"/>
    <n v="0"/>
    <n v="0"/>
    <n v="0"/>
    <n v="0"/>
    <n v="0"/>
    <n v="0"/>
    <n v="60000000"/>
    <n v="123854000"/>
    <s v="TRAMITE CONVENIO"/>
    <s v="RS"/>
    <x v="5"/>
  </r>
  <r>
    <n v="29"/>
    <s v="N"/>
    <s v="MULTISECTORIAL"/>
    <s v="LLANQUIHUE"/>
    <s v="MAULLIN"/>
    <s v="LIBRE"/>
    <s v="EJECUCION"/>
    <n v="30395773"/>
    <s v="30395773-EJECUCION"/>
    <m/>
    <s v="30395773"/>
    <s v="ADQUISICION 7 CAMIONETAS PARA LA MUNICIPALIDAD DE MAULLIN (C33)"/>
    <n v="137631000"/>
    <n v="0"/>
    <n v="0"/>
    <n v="0"/>
    <n v="0"/>
    <n v="0"/>
    <n v="0"/>
    <n v="0"/>
    <n v="0"/>
    <n v="0"/>
    <n v="137631000"/>
    <s v="TRAMITE CONVENIO"/>
    <s v="RS*"/>
    <x v="2"/>
  </r>
  <r>
    <n v="31"/>
    <s v="P"/>
    <s v="EDUCACIÓN Y CULTURA"/>
    <s v="LLANQUIHUE"/>
    <s v="MAULLIN"/>
    <s v="PVP"/>
    <s v="EJECUCION"/>
    <n v="30077481"/>
    <s v="30077481-EJECUCION"/>
    <m/>
    <s v="30077481"/>
    <s v="RESTAURACION IGLESIA N. SRA. DE LA CANDELARIA (MN), CARELMAPU"/>
    <n v="1829888000"/>
    <n v="0"/>
    <n v="187470000"/>
    <n v="0"/>
    <n v="0"/>
    <n v="0"/>
    <n v="0"/>
    <n v="0"/>
    <n v="0"/>
    <n v="187470000"/>
    <n v="1642418000"/>
    <s v="TRAMITE CONVENIO"/>
    <s v="RS"/>
    <x v="7"/>
  </r>
  <r>
    <m/>
    <m/>
    <m/>
    <m/>
    <m/>
    <m/>
    <m/>
    <m/>
    <m/>
    <m/>
    <m/>
    <s v="TOTAL DE INICIATIVAS EN CONVENIO Y TRAMITE"/>
    <n v="2498159000"/>
    <n v="0"/>
    <n v="594256000"/>
    <n v="0"/>
    <n v="0"/>
    <n v="0"/>
    <n v="0"/>
    <n v="0"/>
    <n v="0"/>
    <n v="594256000"/>
    <n v="19039030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TERMINADAS"/>
    <m/>
    <m/>
    <m/>
    <m/>
    <m/>
    <m/>
    <m/>
    <m/>
    <m/>
    <m/>
    <m/>
    <m/>
    <m/>
    <x v="0"/>
  </r>
  <r>
    <n v="29"/>
    <s v="P"/>
    <s v="EDUCACIÓN Y CULTURA"/>
    <s v="LLANQUIHUE"/>
    <s v="MAULLIN"/>
    <s v="LIBRE"/>
    <s v="EJECUCION"/>
    <n v="30427023"/>
    <s v="30427023-EJECUCION"/>
    <m/>
    <s v="30427023"/>
    <s v="EQUIPAMIENTO TECNOLOGICO PARA EDUCACION PREBASICA MAULLIN(C33)"/>
    <n v="499633783"/>
    <n v="0"/>
    <n v="499633783"/>
    <n v="0"/>
    <n v="0"/>
    <n v="499633783"/>
    <n v="499633783"/>
    <n v="0"/>
    <n v="499633783"/>
    <n v="0"/>
    <n v="0"/>
    <s v="TERMINADO"/>
    <s v="RS*"/>
    <x v="2"/>
  </r>
  <r>
    <m/>
    <m/>
    <m/>
    <m/>
    <m/>
    <m/>
    <m/>
    <m/>
    <m/>
    <m/>
    <m/>
    <s v="TOTAL DE INICIATIVAS TERMINADAS"/>
    <n v="499633783"/>
    <n v="0"/>
    <n v="499633783"/>
    <n v="0"/>
    <n v="0"/>
    <n v="499633783"/>
    <n v="499633783"/>
    <n v="0"/>
    <n v="499633783"/>
    <n v="0"/>
    <n v="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SIN MOVIMIENTO"/>
    <m/>
    <m/>
    <m/>
    <m/>
    <m/>
    <m/>
    <m/>
    <m/>
    <m/>
    <m/>
    <m/>
    <m/>
    <m/>
    <x v="0"/>
  </r>
  <r>
    <n v="29"/>
    <s v="P"/>
    <s v="PESCA"/>
    <s v="LLANQUIHUE"/>
    <s v="MAULLIN"/>
    <s v="LIBRE"/>
    <s v="EJECUCION"/>
    <n v="30482327"/>
    <s v="30482327-EJECUCION"/>
    <m/>
    <s v="30482327"/>
    <s v="EQUIPAMIENTO PARA SISTEMA TERRITORIAL DE VIGILANCIA Y RESGUARDO DE LAS AREAS DE MANEJO DE LA(C33)"/>
    <n v="220000000"/>
    <n v="0"/>
    <n v="220000000"/>
    <n v="0"/>
    <n v="0"/>
    <n v="0"/>
    <n v="0"/>
    <n v="0"/>
    <n v="0"/>
    <n v="220000000"/>
    <n v="0"/>
    <s v="APROBADO CORE"/>
    <s v="RS*"/>
    <x v="2"/>
  </r>
  <r>
    <n v="29"/>
    <s v="N"/>
    <s v="EDUCACIÓN Y CULTURA"/>
    <s v="LLANQUIHUE"/>
    <s v="MAULLIN"/>
    <s v="LIBRE"/>
    <s v="EJECUCION"/>
    <n v="30426972"/>
    <s v="30426972-EJECUCION"/>
    <m/>
    <s v="30426972"/>
    <s v="EQUIPAMIENTO TECNOLOGICO PARA ESTABLECIMIENTO DE EDUCACION MEDIA (C33)"/>
    <n v="339981000"/>
    <n v="0"/>
    <n v="0"/>
    <m/>
    <m/>
    <m/>
    <n v="0"/>
    <n v="0"/>
    <n v="0"/>
    <n v="0"/>
    <n v="339981000"/>
    <s v="APROBADO CORE"/>
    <s v="RS*"/>
    <x v="2"/>
  </r>
  <r>
    <n v="31"/>
    <s v="N"/>
    <s v="MULTISECTORIAL"/>
    <s v="LLANQUIHUE"/>
    <s v="MAULLIN"/>
    <s v="LIBRE"/>
    <s v="EJECUCION"/>
    <n v="30399945"/>
    <s v="30399945-EJECUCION"/>
    <m/>
    <s v="30399945"/>
    <s v="CONSTRUCCION CENTRO COMUNITARIO QUENUIR, COMUNA DE MAULLIN"/>
    <n v="978513000"/>
    <n v="0"/>
    <n v="30000000"/>
    <n v="0"/>
    <n v="0"/>
    <n v="0"/>
    <n v="0"/>
    <n v="0"/>
    <n v="0"/>
    <n v="30000000"/>
    <n v="948513000"/>
    <s v="ARI"/>
    <s v="SR"/>
    <x v="2"/>
  </r>
  <r>
    <n v="31"/>
    <s v="N"/>
    <s v="EDUCACIÓN Y CULTURA"/>
    <s v="LLANQUIHUE"/>
    <s v="MAULLIN"/>
    <s v="LIBRE"/>
    <s v="DISEÑO"/>
    <n v="30396077"/>
    <s v="30396077-DISEÑO"/>
    <m/>
    <s v="30396077"/>
    <s v="CONSTRUCCION BIBLIOTECA MUNICIPAL, COMUNA DE MAULLIN"/>
    <n v="21934000"/>
    <n v="0"/>
    <n v="5002217"/>
    <n v="0"/>
    <n v="0"/>
    <n v="0"/>
    <n v="0"/>
    <n v="0"/>
    <n v="0"/>
    <n v="5002217"/>
    <n v="16931783"/>
    <s v="ARI"/>
    <s v="SR"/>
    <x v="2"/>
  </r>
  <r>
    <m/>
    <m/>
    <m/>
    <m/>
    <m/>
    <m/>
    <m/>
    <m/>
    <m/>
    <m/>
    <m/>
    <s v="TOTAL DE INICIATIVAS SIN MOVIMIENTO"/>
    <n v="1560428000"/>
    <n v="0"/>
    <n v="255002217"/>
    <n v="0"/>
    <n v="0"/>
    <n v="0"/>
    <n v="0"/>
    <n v="0"/>
    <n v="0"/>
    <n v="255002217"/>
    <n v="1305425783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TOTAL COMUNA DE  MAULLIN"/>
    <n v="4577220783"/>
    <n v="6470000"/>
    <n v="1361422000"/>
    <n v="0"/>
    <n v="0"/>
    <n v="499633783"/>
    <n v="499633783"/>
    <n v="0"/>
    <n v="499633783"/>
    <n v="861788217"/>
    <n v="3209328783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COMUNA DE PUERTO VARAS"/>
    <m/>
    <m/>
    <m/>
    <m/>
    <m/>
    <m/>
    <m/>
    <m/>
    <m/>
    <m/>
    <m/>
    <m/>
    <m/>
    <x v="0"/>
  </r>
  <r>
    <m/>
    <m/>
    <m/>
    <m/>
    <m/>
    <m/>
    <m/>
    <m/>
    <m/>
    <m/>
    <m/>
    <s v="INICIATIVAS EN EJECUCION"/>
    <m/>
    <m/>
    <m/>
    <m/>
    <m/>
    <m/>
    <m/>
    <m/>
    <m/>
    <m/>
    <m/>
    <m/>
    <m/>
    <x v="0"/>
  </r>
  <r>
    <n v="31"/>
    <s v="A"/>
    <s v="DEPORTE"/>
    <s v="LLANQUIHUE"/>
    <s v="P.VARAS"/>
    <s v="FAR"/>
    <s v="EJECUCION"/>
    <n v="30064230"/>
    <s v="30064230-EJECUCION"/>
    <m/>
    <s v="30064230"/>
    <s v="REPOSICION ESTADIO EWALDO KLEIN DE PUERTO VARAS"/>
    <n v="2741174000"/>
    <n v="66844620"/>
    <n v="1204289536"/>
    <n v="1650000"/>
    <n v="0"/>
    <n v="0"/>
    <n v="1650000"/>
    <n v="0"/>
    <n v="1650000"/>
    <n v="1202639536"/>
    <n v="1470039844"/>
    <s v="EN EJECUCION"/>
    <s v="RS"/>
    <x v="7"/>
  </r>
  <r>
    <n v="31"/>
    <s v="A"/>
    <s v="SALUD"/>
    <s v="LLANQUIHUE"/>
    <s v="P.VARAS"/>
    <s v="LIBRE"/>
    <s v="EJECUCION"/>
    <n v="30063734"/>
    <s v="30063734-EJECUCION"/>
    <m/>
    <s v="30063734"/>
    <s v="NORMALIZACION CESFAM PUERTO VARAS"/>
    <n v="4391201000"/>
    <n v="4216256148"/>
    <n v="43413551"/>
    <n v="0"/>
    <n v="0"/>
    <n v="0"/>
    <n v="0"/>
    <n v="0"/>
    <n v="0"/>
    <n v="43413551"/>
    <n v="131531301"/>
    <s v="EN EJECUCION"/>
    <s v="RS"/>
    <x v="6"/>
  </r>
  <r>
    <n v="31"/>
    <s v="A"/>
    <s v="DEFENSA Y SEGURIDAD"/>
    <s v="LLANQUIHUE"/>
    <s v="P.VARAS"/>
    <s v="LIBRE"/>
    <s v="DISEÑO"/>
    <n v="30204522"/>
    <s v="30204522-DISEÑO"/>
    <m/>
    <s v="30204522"/>
    <s v="REPOSICION CUARTEL SEXTA COMPAÑIA DE BOMBEROS PUERTO VARAS"/>
    <n v="37001001"/>
    <n v="21008145"/>
    <n v="15992856"/>
    <n v="0"/>
    <n v="0"/>
    <n v="11908270"/>
    <n v="11908270"/>
    <n v="0"/>
    <n v="11908270"/>
    <n v="4084586"/>
    <n v="0"/>
    <s v="EN EJECUCION"/>
    <s v="RS"/>
    <x v="7"/>
  </r>
  <r>
    <n v="31"/>
    <s v="A"/>
    <s v="EDUCACIÓN Y CULTURA"/>
    <s v="LLANQUIHUE"/>
    <s v="P.VARAS"/>
    <s v="FIE"/>
    <s v="EJECUCION"/>
    <n v="30066636"/>
    <s v="30066636-EJECUCION"/>
    <m/>
    <s v="30066636"/>
    <s v="REPOSICION ESCUELA EPSON ENSENADA"/>
    <n v="2161821134"/>
    <n v="1693260845"/>
    <n v="454559935"/>
    <n v="0"/>
    <n v="0"/>
    <n v="0"/>
    <n v="0"/>
    <n v="0"/>
    <n v="0"/>
    <n v="454559935"/>
    <n v="14000354"/>
    <s v="EN EJECUCION"/>
    <s v="RS"/>
    <x v="5"/>
  </r>
  <r>
    <m/>
    <m/>
    <m/>
    <m/>
    <m/>
    <m/>
    <m/>
    <m/>
    <m/>
    <m/>
    <m/>
    <s v="TOTAL DE INICIATIVAS EN EJECUCION"/>
    <n v="9331197135"/>
    <n v="5997369758"/>
    <n v="1718255878"/>
    <n v="1650000"/>
    <n v="0"/>
    <n v="11908270"/>
    <n v="13558270"/>
    <n v="0"/>
    <n v="13558270"/>
    <n v="1704697608"/>
    <n v="1615571499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TERMINADAS"/>
    <m/>
    <m/>
    <m/>
    <m/>
    <m/>
    <m/>
    <m/>
    <m/>
    <m/>
    <m/>
    <m/>
    <m/>
    <m/>
    <x v="0"/>
  </r>
  <r>
    <n v="31"/>
    <s v="A"/>
    <s v="VIVIENDA"/>
    <s v="LLANQUIHUE"/>
    <s v="P.VARAS"/>
    <s v="LIBRE"/>
    <s v="EJECUCION"/>
    <n v="30136720"/>
    <s v="30136720-EJECUCION"/>
    <m/>
    <s v="30136720"/>
    <s v="RESTAURACION FACHADAS ZONAS TIPICAS P. VARAS"/>
    <n v="44893010"/>
    <n v="41002546"/>
    <n v="3890464"/>
    <n v="0"/>
    <n v="3890464"/>
    <n v="0"/>
    <n v="3890464"/>
    <n v="0"/>
    <n v="3890464"/>
    <n v="0"/>
    <n v="0"/>
    <s v="TERMINADO"/>
    <s v="RS"/>
    <x v="7"/>
  </r>
  <r>
    <m/>
    <m/>
    <m/>
    <m/>
    <m/>
    <m/>
    <m/>
    <m/>
    <m/>
    <m/>
    <m/>
    <s v="TOTAL DE INICIATIVAS TERMINADAS"/>
    <n v="44893010"/>
    <n v="41002546"/>
    <n v="3890464"/>
    <n v="0"/>
    <n v="3890464"/>
    <n v="0"/>
    <n v="3890464"/>
    <n v="0"/>
    <n v="3890464"/>
    <n v="0"/>
    <n v="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CONVENIO Y TRAMITE"/>
    <m/>
    <m/>
    <m/>
    <m/>
    <m/>
    <m/>
    <m/>
    <m/>
    <m/>
    <m/>
    <m/>
    <m/>
    <m/>
    <x v="0"/>
  </r>
  <r>
    <n v="31"/>
    <s v="P"/>
    <s v="DEFENSA Y SEGURIDAD"/>
    <s v="LLANQUIHUE"/>
    <s v="P.VARAS"/>
    <s v="LIBRE"/>
    <s v="EJECUCION"/>
    <n v="30077182"/>
    <s v="30077182-EJECUCION"/>
    <m/>
    <s v="30077182"/>
    <s v="REPOSICION CUARTEL INVESTIGACIONES PUERTO VARAS"/>
    <n v="2304945000"/>
    <n v="9000000"/>
    <n v="300000000"/>
    <n v="0"/>
    <n v="0"/>
    <n v="0"/>
    <n v="0"/>
    <n v="0"/>
    <n v="0"/>
    <n v="300000000"/>
    <n v="1995945000"/>
    <s v="CON CONVENIO"/>
    <s v="RS"/>
    <x v="5"/>
  </r>
  <r>
    <n v="29"/>
    <s v="P"/>
    <s v="SALUD"/>
    <s v="LLANQUIHUE"/>
    <s v="P.VARAS"/>
    <s v="LIBRE"/>
    <s v="EJECUCION"/>
    <n v="30361582"/>
    <s v="30361582-EJECUCION"/>
    <m/>
    <s v="30361582"/>
    <s v="ADQUISICION DE CLINICA VETERINARIA MOVIL  P. VARAS(C33)"/>
    <n v="61990000"/>
    <n v="0"/>
    <n v="61990000"/>
    <n v="0"/>
    <n v="0"/>
    <n v="0"/>
    <n v="0"/>
    <n v="0"/>
    <n v="0"/>
    <n v="61990000"/>
    <n v="0"/>
    <s v="CON CONVENIO"/>
    <s v="RS*"/>
    <x v="3"/>
  </r>
  <r>
    <n v="31"/>
    <s v="N"/>
    <s v="ENERGÍA"/>
    <s v="LLANQUIHUE"/>
    <s v="P.VARAS"/>
    <s v="ENERGIZACION"/>
    <s v="EJECUCION"/>
    <n v="30481026"/>
    <s v="30481026-EJECUCION"/>
    <m/>
    <s v="30481026"/>
    <s v="HABILITACION SUMINISTRO ENERGIA ELECTRICA, SECTOR LOS RISCOS"/>
    <n v="240538000"/>
    <n v="0"/>
    <n v="240538000"/>
    <n v="0"/>
    <n v="0"/>
    <n v="0"/>
    <n v="0"/>
    <n v="0"/>
    <n v="0"/>
    <n v="240538000"/>
    <n v="0"/>
    <s v="TRAMITE CONVENIO"/>
    <s v="RS"/>
    <x v="2"/>
  </r>
  <r>
    <n v="29"/>
    <s v="N"/>
    <s v="EDUCACIÓN Y CULTURA"/>
    <s v="LLANQUIHUE"/>
    <s v="P.VARAS"/>
    <s v="LIBRE"/>
    <s v="EJECUCION"/>
    <n v="30436694"/>
    <s v="30436694-EJECUCION"/>
    <m/>
    <s v="30436694"/>
    <s v="ADQUISICION EQUIPAMIENTO ESTABLECIMIENTOS EDUCACIONALES, PTO VARAS(C33)"/>
    <n v="485981000"/>
    <n v="0"/>
    <n v="485981000"/>
    <n v="0"/>
    <n v="0"/>
    <n v="0"/>
    <n v="0"/>
    <n v="0"/>
    <n v="0"/>
    <n v="485981000"/>
    <n v="0"/>
    <s v="TRAMITE CONVENIO"/>
    <s v="RS*"/>
    <x v="2"/>
  </r>
  <r>
    <m/>
    <m/>
    <m/>
    <m/>
    <m/>
    <m/>
    <m/>
    <m/>
    <m/>
    <m/>
    <m/>
    <s v="TOTAL DE INICIATIVAS EN CONVENIO Y TRAMITE"/>
    <n v="3093454000"/>
    <n v="9000000"/>
    <n v="1088509000"/>
    <n v="0"/>
    <n v="0"/>
    <n v="0"/>
    <n v="0"/>
    <n v="0"/>
    <n v="0"/>
    <n v="1088509000"/>
    <n v="19959450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SIN MOVIMIENTO"/>
    <m/>
    <m/>
    <m/>
    <m/>
    <m/>
    <m/>
    <m/>
    <m/>
    <m/>
    <m/>
    <m/>
    <m/>
    <m/>
    <x v="0"/>
  </r>
  <r>
    <n v="29"/>
    <s v="P"/>
    <s v="MULTISECTORIAL"/>
    <s v="LLANQUIHUE"/>
    <s v="P.VARAS"/>
    <s v="LIBRE"/>
    <s v="EJECUCION"/>
    <n v="30465984"/>
    <s v="30465984-EJECUCION"/>
    <m/>
    <s v="30465984"/>
    <s v="ADQUISICION CEMENTERIO PARQUE   LAS ROSAS(C33)"/>
    <n v="1655606000"/>
    <n v="0"/>
    <n v="1655606000"/>
    <n v="0"/>
    <n v="0"/>
    <n v="0"/>
    <n v="0"/>
    <n v="0"/>
    <n v="0"/>
    <n v="1655606000"/>
    <n v="0"/>
    <s v="APROBADO CORE"/>
    <s v="RS*"/>
    <x v="7"/>
  </r>
  <r>
    <n v="29"/>
    <s v="N"/>
    <s v="ENERGÍA"/>
    <s v="LLANQUIHUE"/>
    <s v="P.VARAS"/>
    <s v="LIBRE"/>
    <s v="EJECUCION"/>
    <n v="30396974"/>
    <s v="30396974-EJECUCION"/>
    <m/>
    <s v="30396974"/>
    <s v="REPOSICION LUMINARIAS LED ALUMBRADO PUBLICO, PUERTO VARAS(C33)"/>
    <n v="2262086000"/>
    <n v="0"/>
    <n v="10000000"/>
    <n v="0"/>
    <n v="0"/>
    <n v="0"/>
    <n v="0"/>
    <n v="0"/>
    <n v="0"/>
    <n v="10000000"/>
    <n v="2252086000"/>
    <s v="ARI"/>
    <s v="SR*"/>
    <x v="2"/>
  </r>
  <r>
    <n v="31"/>
    <s v="N"/>
    <s v="AGUA POTABLE Y ALCANTARILLADO"/>
    <s v="LLANQUIHUE"/>
    <s v="P.VARAS"/>
    <s v="PIR"/>
    <s v="EJECUCION"/>
    <n v="30125885"/>
    <s v="30125885-EJECUCION"/>
    <m/>
    <s v="30125885"/>
    <s v="CONSTRUCCION SERVICIO APR TERMAS DE RALUN, PUERTO VARAS"/>
    <n v="501299000"/>
    <n v="0"/>
    <n v="10000000"/>
    <n v="0"/>
    <n v="0"/>
    <n v="0"/>
    <n v="0"/>
    <n v="0"/>
    <n v="0"/>
    <n v="10000000"/>
    <n v="491299000"/>
    <s v="ARI"/>
    <s v="SR"/>
    <x v="2"/>
  </r>
  <r>
    <n v="31"/>
    <s v="N"/>
    <s v="EDUCACIÓN Y CULTURA"/>
    <s v="LLANQUIHUE"/>
    <s v="P.VARAS"/>
    <s v="PVP"/>
    <s v="EJECUCION"/>
    <n v="30094848"/>
    <s v="30094848-EJECUCION"/>
    <m/>
    <s v="30094848"/>
    <s v="MEJORAMIENTO IGLESIA SAGRADO CORAZON DE JESUS, PUERTO VARAS"/>
    <n v="974259000"/>
    <n v="0"/>
    <n v="48712950"/>
    <n v="0"/>
    <n v="0"/>
    <n v="0"/>
    <n v="0"/>
    <n v="0"/>
    <n v="0"/>
    <n v="48712950"/>
    <n v="925546050"/>
    <s v="ARI"/>
    <s v="SR"/>
    <x v="2"/>
  </r>
  <r>
    <n v="31"/>
    <s v="N"/>
    <s v="DEFENSA Y SEGURIDAD"/>
    <s v="LLANQUIHUE"/>
    <s v="P.VARAS"/>
    <s v="LIBRE"/>
    <s v="DISEÑO"/>
    <n v="30406324"/>
    <s v="30406324-DISEÑO"/>
    <m/>
    <s v="30406324"/>
    <s v="REPOSICION CUARTEL SEGUNDA COMPAÑIA DE BOMBEROS, PUERTO VARAS"/>
    <n v="40578000"/>
    <n v="0"/>
    <n v="4057800"/>
    <n v="0"/>
    <n v="0"/>
    <n v="0"/>
    <n v="0"/>
    <n v="0"/>
    <n v="0"/>
    <n v="4057800"/>
    <n v="36520200"/>
    <s v="ARI"/>
    <s v="SR"/>
    <x v="2"/>
  </r>
  <r>
    <n v="31"/>
    <s v="N"/>
    <s v="VIVIENDA"/>
    <s v="LLANQUIHUE"/>
    <s v="P.VARAS"/>
    <s v="LIBRE"/>
    <s v="EJECUCION"/>
    <n v="30485313"/>
    <s v="30485313-EJECUCION"/>
    <m/>
    <s v="30485313"/>
    <s v="CONSERVACION PLAZA DE ARMAS Y SU ENTORNO, PUERTO VARAS(C33)"/>
    <n v="481258000"/>
    <n v="0"/>
    <n v="25000000"/>
    <n v="0"/>
    <n v="0"/>
    <n v="0"/>
    <n v="0"/>
    <n v="0"/>
    <n v="0"/>
    <n v="25000000"/>
    <n v="456258000"/>
    <s v="ARI"/>
    <s v="SR*"/>
    <x v="2"/>
  </r>
  <r>
    <n v="31"/>
    <s v="N"/>
    <s v="VIVIENDA"/>
    <s v="LLANQUIHUE"/>
    <s v="P.VARAS"/>
    <s v="LIBRE"/>
    <s v="EJECUCION"/>
    <n v="30485342"/>
    <s v="30485342-EJECUCION"/>
    <m/>
    <s v="30485342"/>
    <s v="CONSERVACION ACERAS SECTOR CENTRO DE PUERTO VARAS(C33)"/>
    <n v="500000000"/>
    <n v="0"/>
    <n v="25000000"/>
    <n v="0"/>
    <n v="0"/>
    <n v="0"/>
    <n v="0"/>
    <n v="0"/>
    <n v="0"/>
    <n v="25000000"/>
    <n v="475000000"/>
    <s v="ARI"/>
    <s v="SR*"/>
    <x v="2"/>
  </r>
  <r>
    <n v="31"/>
    <s v="N"/>
    <s v="TRANSPORTE"/>
    <s v="LLANQUIHUE"/>
    <s v="P.VARAS"/>
    <s v="FAR"/>
    <s v="EJECUCION"/>
    <n v="30436172"/>
    <s v="30436172-EJECUCION"/>
    <m/>
    <s v="30436172"/>
    <s v="NORMALIZACION DE SEMAFOROS CIUDAD DE PUERTO VARAS"/>
    <n v="1200000000"/>
    <n v="0"/>
    <n v="0"/>
    <n v="0"/>
    <n v="0"/>
    <n v="0"/>
    <n v="0"/>
    <n v="0"/>
    <n v="0"/>
    <n v="0"/>
    <n v="1200000000"/>
    <s v="SOLICITUD TRANSPORTE"/>
    <s v="RS"/>
    <x v="2"/>
  </r>
  <r>
    <n v="31"/>
    <s v="N"/>
    <s v="EDUCACIÓN Y CULTURA"/>
    <s v="LLANQUIHUE"/>
    <s v="P.VARAS"/>
    <s v="PVP"/>
    <s v="EJECUCION"/>
    <n v="30105246"/>
    <s v="30105246-EJECUCION"/>
    <m/>
    <s v="30105246"/>
    <s v="RESTAURACION IGLESIA LUTERANA COMUNA DE PUERTO VARAS"/>
    <n v="164507000"/>
    <n v="0"/>
    <n v="8225350"/>
    <n v="0"/>
    <n v="0"/>
    <n v="0"/>
    <n v="0"/>
    <n v="0"/>
    <n v="0"/>
    <n v="8225350"/>
    <n v="156281650"/>
    <s v="SOLICITUD"/>
    <s v="SR"/>
    <x v="2"/>
  </r>
  <r>
    <m/>
    <m/>
    <m/>
    <m/>
    <m/>
    <m/>
    <m/>
    <m/>
    <m/>
    <m/>
    <m/>
    <s v="TOTAL DE INICIATIVAS SIN MOVIMIENTO"/>
    <n v="7779593000"/>
    <n v="0"/>
    <n v="1786602100"/>
    <n v="0"/>
    <n v="0"/>
    <n v="0"/>
    <n v="0"/>
    <n v="0"/>
    <n v="0"/>
    <n v="1786602100"/>
    <n v="59929909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TOTAL COMUNA DE  P.VARAS"/>
    <n v="20249137145"/>
    <n v="6047372304"/>
    <n v="4597257442"/>
    <n v="1650000"/>
    <n v="3890464"/>
    <n v="11908270"/>
    <n v="17448734"/>
    <n v="0"/>
    <n v="17448734"/>
    <n v="4579808708"/>
    <n v="9604507399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PROVINCIALES"/>
    <m/>
    <m/>
    <m/>
    <m/>
    <m/>
    <m/>
    <m/>
    <m/>
    <m/>
    <m/>
    <m/>
    <m/>
    <m/>
    <x v="0"/>
  </r>
  <r>
    <m/>
    <m/>
    <m/>
    <m/>
    <m/>
    <m/>
    <m/>
    <m/>
    <m/>
    <m/>
    <m/>
    <s v="INICIATIVAS EN EJECUCION"/>
    <m/>
    <m/>
    <m/>
    <m/>
    <m/>
    <m/>
    <m/>
    <m/>
    <m/>
    <m/>
    <m/>
    <m/>
    <m/>
    <x v="0"/>
  </r>
  <r>
    <n v="31"/>
    <s v="A"/>
    <s v="TRANSPORTE"/>
    <s v="LLANQUIHUE"/>
    <s v="PROV.LLANQUIHUE"/>
    <s v="FAR"/>
    <s v="EJECUCION"/>
    <s v="20144598-3"/>
    <s v="20144598-3-EJECUCION"/>
    <m/>
    <s v="20144598-3"/>
    <s v="CONVENIO PUENTES CAMANCHACA, SIN NOMBRE Y LA PERA"/>
    <n v="577269093"/>
    <n v="242799871"/>
    <n v="296594681"/>
    <n v="0"/>
    <n v="74620129"/>
    <n v="95920543"/>
    <n v="170540672"/>
    <n v="126054009"/>
    <n v="296594681"/>
    <n v="0"/>
    <n v="37874541"/>
    <s v="EN EJECUCION"/>
    <s v="RE"/>
    <x v="7"/>
  </r>
  <r>
    <n v="31"/>
    <s v="A"/>
    <s v="SALUD"/>
    <s v="LLANQUIHUE"/>
    <s v="PROV.LLANQUIHUE"/>
    <s v="LIBRE"/>
    <s v="EJECUCION"/>
    <n v="30125798"/>
    <s v="30125798-EJECUCION"/>
    <m/>
    <s v="30125798"/>
    <s v="MEJORAMIENTO INFRAESTRUCTURA HOSPITAL LLANQUIHUE"/>
    <n v="573500851"/>
    <n v="304082848"/>
    <n v="269418003"/>
    <n v="0"/>
    <n v="0"/>
    <n v="0"/>
    <n v="0"/>
    <n v="0"/>
    <n v="0"/>
    <n v="269418003"/>
    <n v="0"/>
    <s v="EN EJECUCION"/>
    <s v="RE"/>
    <x v="2"/>
  </r>
  <r>
    <n v="31"/>
    <s v="A"/>
    <s v="SALUD"/>
    <s v="LLANQUIHUE"/>
    <s v="PROV.LLANQUIHUE"/>
    <s v="FAR"/>
    <s v="EJECUCION"/>
    <n v="30154323"/>
    <s v="30154323-EJECUCION"/>
    <m/>
    <s v="30154323"/>
    <s v="CONSTRUCCION COMUNIDAD TERAPEUTICA DROGODEPENDIENTES PROVINCIA DE LLANQUIHUE"/>
    <n v="1174047979"/>
    <n v="1075336054"/>
    <n v="98711925"/>
    <n v="0"/>
    <n v="0"/>
    <n v="10944340"/>
    <n v="10944340"/>
    <n v="0"/>
    <n v="10944340"/>
    <n v="87767585"/>
    <n v="0"/>
    <s v="EN EJECUCION"/>
    <s v="RS"/>
    <x v="7"/>
  </r>
  <r>
    <n v="33"/>
    <s v="P"/>
    <s v="MULTISECTORIAL"/>
    <s v="LLANQUIHUE"/>
    <s v="PROV.LLANQUIHUE"/>
    <s v="FRIL"/>
    <s v="EJECUCION"/>
    <s v="S/C"/>
    <s v="S/C-EJECUCION"/>
    <m/>
    <s v="S/C"/>
    <s v="FONDO  REGIONAL DE INICIATIVA LOCAL"/>
    <n v="1700697600"/>
    <n v="0"/>
    <n v="1700697600"/>
    <n v="51208498"/>
    <n v="398617773"/>
    <n v="283987850"/>
    <n v="733814121"/>
    <n v="312041894"/>
    <n v="1045856015"/>
    <n v="654841585"/>
    <n v="0"/>
    <s v="EN EJECUCION"/>
    <s v="RS**"/>
    <x v="2"/>
  </r>
  <r>
    <n v="31"/>
    <s v="A"/>
    <s v="MULTISECTORIAL"/>
    <s v="LLANQUIHUE"/>
    <s v="PROV.LLANQUIHUE"/>
    <s v="LIBRE"/>
    <s v="EJECUCION"/>
    <n v="30137333"/>
    <s v="30137333-EJECUCION"/>
    <m/>
    <s v="30137333"/>
    <s v="CONSERVACION EDIFICIO GOBERNACION PROVINCIAL (C33)"/>
    <n v="624878418"/>
    <n v="10064000"/>
    <n v="406578500"/>
    <n v="0"/>
    <n v="0"/>
    <n v="0"/>
    <n v="0"/>
    <n v="0"/>
    <n v="0"/>
    <n v="406578500"/>
    <n v="208235918"/>
    <s v="EN EJECUCION"/>
    <s v="RS*"/>
    <x v="7"/>
  </r>
  <r>
    <n v="24"/>
    <s v="P"/>
    <s v="ENERGÍA"/>
    <s v="LLANQUIHUE"/>
    <s v="PROV.LLANQUIHUE"/>
    <s v="ENERGIZACION"/>
    <s v="EJECUCION"/>
    <n v="30133915"/>
    <s v="30133915-EJECUCION"/>
    <m/>
    <s v="30133915"/>
    <s v="SUBSIDIO A LA OPERACION SISTEMA DE AUTOGENERACION ISLA QUENU Y TABON"/>
    <n v="200000000"/>
    <n v="0"/>
    <n v="56361061"/>
    <n v="0"/>
    <n v="0"/>
    <n v="28209514"/>
    <n v="28209514"/>
    <n v="28151547"/>
    <n v="56361061"/>
    <n v="0"/>
    <n v="143638939"/>
    <s v="EN EJECUCION"/>
    <s v="RS***"/>
    <x v="4"/>
  </r>
  <r>
    <n v="31"/>
    <s v="A"/>
    <s v="TRANSPORTE"/>
    <s v="LLANQUIHUE"/>
    <s v="PROV.LLANQUIHUE"/>
    <s v="FAR"/>
    <s v="EJECUCION"/>
    <n v="30133755"/>
    <s v="30133755-EJECUCION"/>
    <m/>
    <s v="30133755"/>
    <s v="CONSERVACION RED VIAL DE VARIOS CAMINOS PAVIMENTADOS AÑO 2013 (C33)"/>
    <n v="8508500000"/>
    <n v="3998661000"/>
    <n v="1285132200"/>
    <n v="0"/>
    <n v="0"/>
    <n v="0"/>
    <n v="0"/>
    <n v="0"/>
    <n v="0"/>
    <n v="1285132200"/>
    <n v="3224706800"/>
    <s v="EN EJECUCION"/>
    <s v="RS*"/>
    <x v="6"/>
  </r>
  <r>
    <m/>
    <m/>
    <m/>
    <m/>
    <m/>
    <m/>
    <m/>
    <m/>
    <m/>
    <m/>
    <m/>
    <s v="TOTAL DE INICIATIVAS EN EJECUCION"/>
    <n v="13358893941"/>
    <n v="5630943773"/>
    <n v="4113493970"/>
    <n v="51208498"/>
    <n v="473237902"/>
    <n v="419062247"/>
    <n v="943508647"/>
    <n v="466247450"/>
    <n v="1409756097"/>
    <n v="2703737873"/>
    <n v="3614456198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CONVENIO Y TRAMITE"/>
    <m/>
    <m/>
    <m/>
    <m/>
    <m/>
    <m/>
    <m/>
    <m/>
    <m/>
    <m/>
    <m/>
    <m/>
    <m/>
    <x v="0"/>
  </r>
  <r>
    <n v="31"/>
    <s v="P"/>
    <s v="TRANSPORTE"/>
    <s v="LLANQUIHUE"/>
    <s v="PROV.LLANQUIHUE"/>
    <s v="FAR"/>
    <s v="EJECUCION"/>
    <n v="30396578"/>
    <s v="30396578-EJECUCION"/>
    <m/>
    <s v="30396578"/>
    <s v="CONSERVACION VIAL PUNTOS CONGESTIONADOS (C33)"/>
    <n v="1965875000"/>
    <n v="0"/>
    <n v="887767432"/>
    <n v="0"/>
    <n v="0"/>
    <n v="0"/>
    <n v="0"/>
    <n v="0"/>
    <n v="0"/>
    <n v="887767432"/>
    <n v="1078107568"/>
    <s v="CON CONVENIO"/>
    <s v="RS*"/>
    <x v="7"/>
  </r>
  <r>
    <n v="29"/>
    <s v="P"/>
    <s v="DEFENSA Y SEGURIDAD"/>
    <s v="LLANQUIHUE"/>
    <s v="PROV.LLANQUIHUE"/>
    <s v="LIBRE"/>
    <s v="EJECUCION"/>
    <n v="30488884"/>
    <s v="30488884-EJECUCION"/>
    <m/>
    <s v="30488884"/>
    <s v="REPOSICION VEHICULOS PDI PROVINCIA DE LLANQUIHUE (C33)"/>
    <n v="249188000"/>
    <n v="0"/>
    <n v="0"/>
    <n v="0"/>
    <n v="0"/>
    <n v="0"/>
    <n v="0"/>
    <n v="0"/>
    <n v="0"/>
    <n v="0"/>
    <n v="249188000"/>
    <s v="CON CONVENIO"/>
    <s v="RS*"/>
    <x v="2"/>
  </r>
  <r>
    <n v="24"/>
    <s v="P"/>
    <s v="EDUCACIÓN Y CULTURA"/>
    <s v="LLANQUIHUE"/>
    <s v="PROV.LLANQUIHUE"/>
    <s v="LIBRE"/>
    <s v="EJECUCION"/>
    <s v="SUBT 24"/>
    <s v="SUBT 24-EJECUCION"/>
    <m/>
    <s v="SUBT 24"/>
    <s v="ACTIVIDADES CULTURALES"/>
    <n v="418628558"/>
    <n v="0"/>
    <n v="418628558.37150991"/>
    <n v="0"/>
    <n v="0"/>
    <n v="0"/>
    <n v="0"/>
    <n v="1317274"/>
    <n v="1317274"/>
    <n v="417311284.37150991"/>
    <n v="-0.37150990962982178"/>
    <s v="CONCURSO"/>
    <s v="RS***"/>
    <x v="2"/>
  </r>
  <r>
    <n v="24"/>
    <s v="P"/>
    <s v="DEPORTE"/>
    <s v="LLANQUIHUE"/>
    <s v="PROV.LLANQUIHUE"/>
    <s v="LIBRE"/>
    <s v="EJECUCION"/>
    <s v="SUBT 24"/>
    <s v="SUBT 24-EJECUCION"/>
    <m/>
    <s v="SUBT 24"/>
    <s v="ACTIVIDADES DEPORTIVAS"/>
    <n v="418628558"/>
    <n v="0"/>
    <n v="418628558.37150991"/>
    <n v="0"/>
    <n v="0"/>
    <n v="0"/>
    <n v="0"/>
    <n v="0"/>
    <n v="0"/>
    <n v="418628558.37150991"/>
    <n v="-0.37150990962982178"/>
    <s v="CONCURSO"/>
    <s v="RS***"/>
    <x v="2"/>
  </r>
  <r>
    <n v="24"/>
    <s v="P"/>
    <s v="DEFENSA Y SEGURIDAD"/>
    <s v="LLANQUIHUE"/>
    <s v="PROV.LLANQUIHUE"/>
    <s v="LIBRE"/>
    <s v="EJECUCION"/>
    <s v="SUBT 24"/>
    <s v="SUBT 24-EJECUCION"/>
    <m/>
    <s v="SUBT 24"/>
    <s v="ACTIVIDADES COMUNIDAD ACTIVA"/>
    <n v="418628558"/>
    <n v="0"/>
    <n v="418628558.37150991"/>
    <n v="0"/>
    <n v="0"/>
    <n v="0"/>
    <n v="0"/>
    <n v="0"/>
    <n v="0"/>
    <n v="418628558.37150991"/>
    <n v="-0.37150990962982178"/>
    <s v="CONCURSO"/>
    <s v="RS***"/>
    <x v="2"/>
  </r>
  <r>
    <m/>
    <m/>
    <m/>
    <m/>
    <m/>
    <m/>
    <m/>
    <m/>
    <m/>
    <m/>
    <m/>
    <s v="TOTAL DE INICIATIVAS EN CONVENIO Y TRAMITE"/>
    <n v="3470948674"/>
    <n v="0"/>
    <n v="2143653107.1145301"/>
    <n v="0"/>
    <n v="0"/>
    <n v="0"/>
    <n v="0"/>
    <n v="1317274"/>
    <n v="1317274"/>
    <n v="2142335833.1145301"/>
    <n v="1327295566.8854699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TOTAL PROVINCIALES"/>
    <n v="16829842615"/>
    <n v="5630943773"/>
    <n v="6257147077.1145306"/>
    <n v="51208498"/>
    <n v="473237902"/>
    <n v="419062247"/>
    <n v="943508647"/>
    <n v="467564724"/>
    <n v="1411073371"/>
    <n v="4846073706.1145306"/>
    <n v="4941751764.8854694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TOTAL PROVINCIA DE LLANQUIHUE"/>
    <n v="144669038497"/>
    <n v="48251123583"/>
    <n v="25862433379.114532"/>
    <n v="532287268"/>
    <n v="780167320"/>
    <n v="1494352016"/>
    <n v="2806806604"/>
    <n v="1179687450"/>
    <n v="3986494054"/>
    <n v="21875939325.114532"/>
    <n v="70555481534.885468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COMUNA DE CASTRO"/>
    <m/>
    <m/>
    <m/>
    <m/>
    <m/>
    <m/>
    <m/>
    <m/>
    <m/>
    <m/>
    <m/>
    <m/>
    <m/>
    <x v="0"/>
  </r>
  <r>
    <m/>
    <m/>
    <m/>
    <m/>
    <m/>
    <m/>
    <m/>
    <m/>
    <m/>
    <m/>
    <m/>
    <s v="INICIATIVAS EN EJECUCION"/>
    <m/>
    <m/>
    <m/>
    <m/>
    <m/>
    <m/>
    <m/>
    <m/>
    <m/>
    <m/>
    <m/>
    <m/>
    <m/>
    <x v="0"/>
  </r>
  <r>
    <n v="31"/>
    <s v="P"/>
    <s v="EDUCACIÓN Y CULTURA"/>
    <s v="CHILOE"/>
    <s v="CASTRO"/>
    <s v="FIE"/>
    <s v="EJECUCION"/>
    <n v="30092606"/>
    <s v="30092606-EJECUCION"/>
    <m/>
    <s v="30092606"/>
    <s v="NORMALIZACION  ESCUELA RURAL ANA NELLY OYARZUN"/>
    <n v="1182852000"/>
    <n v="0"/>
    <n v="219195895"/>
    <n v="0"/>
    <n v="52643150"/>
    <n v="96052745"/>
    <n v="148695895"/>
    <n v="0"/>
    <n v="148695895"/>
    <n v="70500000"/>
    <n v="963656105"/>
    <s v="EN EJECUCION"/>
    <s v="RS"/>
    <x v="8"/>
  </r>
  <r>
    <n v="24"/>
    <s v="N"/>
    <s v="ENERGÍA"/>
    <s v="CHILOE"/>
    <s v="CASTRO"/>
    <s v="ENERGIZACION"/>
    <s v="EJECUCION"/>
    <n v="30130843"/>
    <s v="30130843-EJECUCION"/>
    <m/>
    <s v="30130843"/>
    <s v="SUBSIDIO A LA OPERACION SISTEMA DE AUTOGENERACION ISLAS DE CASTRO"/>
    <n v="45000000"/>
    <n v="0"/>
    <n v="45000000"/>
    <n v="0"/>
    <n v="0"/>
    <n v="0"/>
    <n v="0"/>
    <n v="0"/>
    <n v="0"/>
    <n v="45000000"/>
    <n v="0"/>
    <s v="EN EJECUCION"/>
    <s v="RS"/>
    <x v="2"/>
  </r>
  <r>
    <n v="31"/>
    <s v="A"/>
    <s v="AGUA POTABLE Y ALCANTARILLADO"/>
    <s v="CHILOE"/>
    <s v="CASTRO"/>
    <s v="FAR"/>
    <s v="EJECUCION"/>
    <n v="30121787"/>
    <s v="30121787-EJECUCION"/>
    <m/>
    <s v="30121787"/>
    <s v="CONSTRUCCION REDES DE AGUA POTABLE  Y ALCANTARILLADO DIVERSOS SECTORES"/>
    <n v="744201003"/>
    <n v="0"/>
    <n v="549579993"/>
    <n v="0"/>
    <n v="81963368"/>
    <n v="148036300"/>
    <n v="229999668"/>
    <n v="0"/>
    <n v="229999668"/>
    <n v="319580325"/>
    <n v="194621010"/>
    <s v="EN EJECUCION"/>
    <s v="RS"/>
    <x v="9"/>
  </r>
  <r>
    <n v="31"/>
    <s v="A"/>
    <s v="INDUSTRIA, COMERCIO, FINANZAS Y TURISMO"/>
    <s v="CHILOE"/>
    <s v="CASTRO"/>
    <s v="FAR"/>
    <s v="EJECUCION"/>
    <n v="30094891"/>
    <s v="30094891-EJECUCION"/>
    <m/>
    <s v="30094891"/>
    <s v="REPOSICION FERIA YUMBEL DE CASTRO"/>
    <n v="4093774619"/>
    <n v="4077499258"/>
    <n v="16275361"/>
    <n v="0"/>
    <n v="0"/>
    <n v="0"/>
    <n v="0"/>
    <n v="0"/>
    <n v="0"/>
    <n v="16275361"/>
    <n v="0"/>
    <s v="EN LIQUIDACION"/>
    <s v="RS"/>
    <x v="2"/>
  </r>
  <r>
    <m/>
    <m/>
    <m/>
    <m/>
    <m/>
    <m/>
    <m/>
    <m/>
    <m/>
    <m/>
    <m/>
    <s v="TOTAL DE INICIATIVAS EN EJECUCION"/>
    <n v="6065827622"/>
    <n v="4077499258"/>
    <n v="830051249"/>
    <n v="0"/>
    <n v="134606518"/>
    <n v="244089045"/>
    <n v="378695563"/>
    <n v="0"/>
    <n v="378695563"/>
    <n v="451355686"/>
    <n v="1158277115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CONVENIO Y TRAMITE"/>
    <m/>
    <m/>
    <m/>
    <m/>
    <m/>
    <m/>
    <m/>
    <m/>
    <m/>
    <m/>
    <m/>
    <m/>
    <m/>
    <x v="0"/>
  </r>
  <r>
    <n v="29"/>
    <s v="N"/>
    <s v="SALUD"/>
    <s v="CHILOE"/>
    <s v="CASTRO"/>
    <s v="LIBRE"/>
    <s v="EJECUCION"/>
    <n v="40000574"/>
    <s v="40000574-EJECUCION"/>
    <m/>
    <s v="40000574"/>
    <s v="ADQUISICION Y REPOSICION DE EQUIPOS PARA LITIASIS Y ENUCLIACION U DE UROLOGIA HOSPITAL DE CASTRO (C33)"/>
    <n v="272814000"/>
    <n v="0"/>
    <n v="0"/>
    <n v="0"/>
    <n v="0"/>
    <n v="0"/>
    <n v="0"/>
    <n v="0"/>
    <n v="0"/>
    <n v="0"/>
    <n v="272814000"/>
    <s v="CON CONVENIO"/>
    <s v="RS*"/>
    <x v="2"/>
  </r>
  <r>
    <n v="29"/>
    <s v="N"/>
    <s v="ENERGÍA"/>
    <s v="CHILOE"/>
    <s v="CASTRO"/>
    <s v="LIBRE"/>
    <s v="EJECUCION"/>
    <n v="30402076"/>
    <m/>
    <m/>
    <s v="30402076"/>
    <s v="REPOSICION REEMPLAZO DE LUMINARIAS PARQUE URBANO (C33)"/>
    <n v="1211111000"/>
    <n v="0"/>
    <n v="0"/>
    <n v="0"/>
    <n v="0"/>
    <n v="0"/>
    <n v="0"/>
    <n v="0"/>
    <n v="0"/>
    <n v="0"/>
    <n v="1211111000"/>
    <s v="TRAMITE CONVENIO"/>
    <s v="RS*"/>
    <x v="2"/>
  </r>
  <r>
    <m/>
    <m/>
    <m/>
    <m/>
    <m/>
    <m/>
    <m/>
    <m/>
    <m/>
    <m/>
    <m/>
    <s v="TOTAL DE INICIATIVAS EN CONVENIO Y TRAMITE"/>
    <n v="1483925000"/>
    <n v="0"/>
    <n v="0"/>
    <n v="0"/>
    <n v="0"/>
    <n v="0"/>
    <n v="0"/>
    <n v="0"/>
    <n v="0"/>
    <n v="0"/>
    <n v="14839250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SIN MOVIMIENTO"/>
    <m/>
    <m/>
    <m/>
    <m/>
    <m/>
    <m/>
    <m/>
    <m/>
    <m/>
    <m/>
    <m/>
    <m/>
    <m/>
    <x v="0"/>
  </r>
  <r>
    <n v="31"/>
    <s v="N"/>
    <s v="TRANSPORTE"/>
    <s v="CHILOE"/>
    <s v="CASTRO"/>
    <s v="FAR"/>
    <s v="EJECUCION"/>
    <n v="30371775"/>
    <s v="30371775-EJECUCION"/>
    <m/>
    <s v="30371775"/>
    <s v="REPOSICION RAMPA DE CONECTIVIDAD RILAN CASTRO"/>
    <n v="200210000"/>
    <n v="0"/>
    <n v="10000000"/>
    <n v="0"/>
    <n v="0"/>
    <n v="0"/>
    <n v="0"/>
    <n v="0"/>
    <n v="0"/>
    <n v="10000000"/>
    <n v="190210000"/>
    <s v="ARI"/>
    <s v="SR"/>
    <x v="2"/>
  </r>
  <r>
    <n v="31"/>
    <s v="N"/>
    <s v="EDUCACIÓN Y CULTURA"/>
    <s v="CHILOE"/>
    <s v="CASTRO"/>
    <s v="FIE"/>
    <s v="EJECUCION"/>
    <n v="30076949"/>
    <s v="30076949-EJECUCION"/>
    <m/>
    <s v="30076949"/>
    <s v="REPOSICION ESCUELA DE LA CULTURA, FRIDOLINA BARRIENTOS, CASTRO"/>
    <n v="6869766000"/>
    <n v="0"/>
    <n v="10000000"/>
    <n v="0"/>
    <n v="0"/>
    <n v="0"/>
    <n v="0"/>
    <n v="0"/>
    <n v="0"/>
    <n v="10000000"/>
    <n v="6859766000"/>
    <s v="ARI"/>
    <s v="OT"/>
    <x v="2"/>
  </r>
  <r>
    <n v="31"/>
    <s v="N"/>
    <s v="SALUD"/>
    <s v="CHILOE"/>
    <s v="CASTRO"/>
    <s v="LIBRE"/>
    <s v="EJECUCION"/>
    <n v="20140221"/>
    <s v="20140221-EJECUCION"/>
    <s v="20140221-FNDR"/>
    <s v="20140221"/>
    <s v="REPOSICION POSTA DE SALUD RURAL DE LA ISLA CHELIN, CASTRO"/>
    <n v="465211000"/>
    <n v="0"/>
    <n v="16946215"/>
    <n v="0"/>
    <n v="0"/>
    <n v="0"/>
    <n v="0"/>
    <n v="0"/>
    <n v="0"/>
    <n v="16946215"/>
    <n v="448264785"/>
    <s v="ARI"/>
    <s v="FI"/>
    <x v="2"/>
  </r>
  <r>
    <n v="31"/>
    <s v="N"/>
    <s v="INDUSTRIA, COMERCIO, FINANZAS Y TURISMO"/>
    <s v="CHILOE"/>
    <s v="CASTRO"/>
    <s v="LIBRE"/>
    <s v="DISEÑO"/>
    <n v="40001645"/>
    <s v="40001645-DISEÑO"/>
    <m/>
    <s v="40001645"/>
    <s v="CONSTRUCCION MATADERO MUNICiPAL CASTRO"/>
    <n v="62000000"/>
    <n v="0"/>
    <n v="6200000"/>
    <n v="0"/>
    <n v="0"/>
    <n v="0"/>
    <n v="0"/>
    <n v="0"/>
    <n v="0"/>
    <n v="6200000"/>
    <n v="55800000"/>
    <s v="ARI"/>
    <s v="SR"/>
    <x v="2"/>
  </r>
  <r>
    <n v="31"/>
    <s v="N"/>
    <s v="AGUA POTABLE Y ALCANTARILLADO"/>
    <s v="CHILOE"/>
    <s v="CASTRO"/>
    <s v="SS"/>
    <s v="EJECUCION"/>
    <n v="30486273"/>
    <s v="30486273-EJECUCION"/>
    <m/>
    <s v="30486273"/>
    <s v="PROSPECCION HIDROGEOLICO Y SONDAJE COMUNA DE CASTRO"/>
    <n v="240000000"/>
    <n v="0"/>
    <n v="12000000"/>
    <n v="0"/>
    <n v="0"/>
    <n v="0"/>
    <n v="0"/>
    <n v="0"/>
    <n v="0"/>
    <n v="12000000"/>
    <n v="228000000"/>
    <s v="ARI"/>
    <s v="SR"/>
    <x v="2"/>
  </r>
  <r>
    <m/>
    <m/>
    <m/>
    <m/>
    <m/>
    <m/>
    <m/>
    <m/>
    <m/>
    <m/>
    <m/>
    <s v="TOTAL DE INICIATIVAS SIN MOVIMIENTO"/>
    <n v="7837187000"/>
    <n v="0"/>
    <n v="55146215"/>
    <n v="0"/>
    <n v="0"/>
    <n v="0"/>
    <n v="0"/>
    <n v="0"/>
    <n v="0"/>
    <n v="55146215"/>
    <n v="7782040785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TOTAL COMUNA DE  CASTRO"/>
    <n v="15386939622"/>
    <n v="4077499258"/>
    <n v="885197464"/>
    <n v="0"/>
    <n v="134606518"/>
    <n v="244089045"/>
    <n v="378695563"/>
    <n v="0"/>
    <n v="378695563"/>
    <n v="506501901"/>
    <n v="104242429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COMUNA DE ANCUD"/>
    <m/>
    <m/>
    <m/>
    <m/>
    <m/>
    <m/>
    <m/>
    <m/>
    <m/>
    <m/>
    <m/>
    <m/>
    <m/>
    <x v="0"/>
  </r>
  <r>
    <m/>
    <m/>
    <m/>
    <m/>
    <m/>
    <m/>
    <m/>
    <m/>
    <m/>
    <m/>
    <m/>
    <s v="INICIATIVAS EN EJECUCION"/>
    <m/>
    <m/>
    <m/>
    <m/>
    <m/>
    <m/>
    <m/>
    <m/>
    <m/>
    <m/>
    <m/>
    <m/>
    <m/>
    <x v="0"/>
  </r>
  <r>
    <n v="31"/>
    <s v="A"/>
    <s v="SALUD"/>
    <s v="CHILOE"/>
    <s v="ANCUD"/>
    <s v="LIBRE"/>
    <s v="DISEÑO"/>
    <n v="30112093"/>
    <s v="30112093-DISEÑO"/>
    <s v="30112093-FNDR"/>
    <s v="30112093"/>
    <s v="CONSTRUCCION CESFAM CARACOLES"/>
    <n v="145469000"/>
    <n v="95426000"/>
    <n v="50043000"/>
    <n v="0"/>
    <n v="0"/>
    <n v="0"/>
    <n v="0"/>
    <n v="0"/>
    <n v="0"/>
    <n v="50043000"/>
    <n v="0"/>
    <s v="EN EJECUCION"/>
    <s v="RS"/>
    <x v="8"/>
  </r>
  <r>
    <n v="31"/>
    <s v="A"/>
    <s v="EDUCACIÓN Y CULTURA"/>
    <s v="CHILOE"/>
    <s v="ANCUD"/>
    <s v="PVP"/>
    <s v="EJECUCION"/>
    <n v="30083781"/>
    <s v="30083781-EJECUCION"/>
    <m/>
    <s v="30083781"/>
    <s v="DIAGNOSTICO DEL SISTEMA DE FORTIFICACIONES DE ANCUD (C33)"/>
    <n v="118300000"/>
    <n v="93439000"/>
    <n v="0"/>
    <n v="0"/>
    <n v="0"/>
    <n v="0"/>
    <n v="0"/>
    <n v="0"/>
    <n v="0"/>
    <n v="0"/>
    <n v="24861000"/>
    <s v="EN EJECUCION"/>
    <s v="RS"/>
    <x v="2"/>
  </r>
  <r>
    <n v="31"/>
    <s v="P"/>
    <s v="MULTISECTORIAL"/>
    <s v="CHILOE"/>
    <s v="ANCUD"/>
    <s v="LIBRE"/>
    <s v="EJECUCION"/>
    <n v="30103434"/>
    <s v="30103434-EJECUCION"/>
    <m/>
    <s v="30103434"/>
    <s v="REPOSICION EDIFICIO PUBLICO DE CHACAO"/>
    <n v="357112000"/>
    <n v="0"/>
    <n v="357112000"/>
    <n v="0"/>
    <n v="1200000"/>
    <n v="34672023"/>
    <n v="35872023"/>
    <n v="41443866"/>
    <n v="77315889"/>
    <n v="279796111"/>
    <n v="0"/>
    <s v="EN EJECUCION"/>
    <s v="RS"/>
    <x v="8"/>
  </r>
  <r>
    <n v="31"/>
    <s v="A"/>
    <s v="EDUCACIÓN Y CULTURA"/>
    <s v="CHILOE"/>
    <s v="ANCUD"/>
    <s v="FIE"/>
    <s v="EJECUCION"/>
    <n v="30085972"/>
    <s v="30085972-EJECUCION"/>
    <m/>
    <s v="30085972"/>
    <s v="REPOSICION ESCUELA RURAL DE LINAO, ANCUD."/>
    <n v="1805576892"/>
    <n v="133526108"/>
    <n v="473457576"/>
    <n v="71485772"/>
    <n v="94443451"/>
    <n v="155982199"/>
    <n v="321911422"/>
    <n v="57225987"/>
    <n v="379137409"/>
    <n v="94320167"/>
    <n v="1198593208"/>
    <s v="EN EJECUCION"/>
    <s v="RS"/>
    <x v="8"/>
  </r>
  <r>
    <m/>
    <m/>
    <m/>
    <m/>
    <m/>
    <m/>
    <m/>
    <m/>
    <m/>
    <m/>
    <m/>
    <s v="TOTAL DE INICIATIVAS EN EJECUCION"/>
    <n v="2426457892"/>
    <n v="322391108"/>
    <n v="880612576"/>
    <n v="71485772"/>
    <n v="95643451"/>
    <n v="190654222"/>
    <n v="357783445"/>
    <n v="98669853"/>
    <n v="456453298"/>
    <n v="424159278"/>
    <n v="1223454208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TERMINADAS"/>
    <m/>
    <m/>
    <m/>
    <m/>
    <m/>
    <m/>
    <m/>
    <m/>
    <m/>
    <m/>
    <m/>
    <m/>
    <m/>
    <x v="0"/>
  </r>
  <r>
    <n v="31"/>
    <s v="A"/>
    <s v="DEPORTE"/>
    <s v="CHILOE"/>
    <s v="ANCUD"/>
    <s v="LIBRE"/>
    <s v="EJECUCION"/>
    <n v="30210322"/>
    <s v="30210322-EJECUCION"/>
    <m/>
    <s v="30210322"/>
    <s v="MEJORAMIENTO ESTADIO PUDETO, ANCUD"/>
    <n v="79679134"/>
    <n v="79679134"/>
    <n v="0"/>
    <n v="0"/>
    <n v="0"/>
    <n v="0"/>
    <n v="0"/>
    <n v="0"/>
    <n v="0"/>
    <n v="0"/>
    <n v="0"/>
    <s v="TERMINADO"/>
    <s v="RS"/>
    <x v="2"/>
  </r>
  <r>
    <n v="31"/>
    <s v="A"/>
    <s v="AGUA POTABLE Y ALCANTARILLADO"/>
    <s v="CHILOE"/>
    <s v="ANCUD"/>
    <s v="FAR"/>
    <s v="EJECUCION"/>
    <n v="30115252"/>
    <s v="30115252-EJECUCION"/>
    <m/>
    <s v="30115252"/>
    <s v="CONSTRUCCION SISTEMA APR GUAPILACUY"/>
    <n v="456125994"/>
    <n v="454775994"/>
    <n v="1350000"/>
    <n v="1350000"/>
    <n v="0"/>
    <n v="0"/>
    <n v="1350000"/>
    <n v="0"/>
    <n v="1350000"/>
    <n v="0"/>
    <n v="0"/>
    <s v="TERMINADO"/>
    <s v="RS"/>
    <x v="9"/>
  </r>
  <r>
    <n v="29"/>
    <s v="P"/>
    <s v="EDUCACIÓN Y CULTURA"/>
    <s v="CHILOE"/>
    <s v="ANCUD"/>
    <s v="LIBRE"/>
    <s v="EJECUCION"/>
    <n v="30486029"/>
    <s v="30486029-EJECUCION"/>
    <m/>
    <s v="30486029"/>
    <s v="ADQUISICION MINIBUS ESCUELA DIFERENCIAL SAN CARLOS DE ANCUD(C33)"/>
    <n v="66164000"/>
    <n v="0"/>
    <n v="66164000"/>
    <n v="0"/>
    <n v="0"/>
    <n v="66164000"/>
    <n v="66164000"/>
    <n v="0"/>
    <n v="66164000"/>
    <n v="0"/>
    <n v="0"/>
    <s v="TERMINADO"/>
    <s v="RS*"/>
    <x v="2"/>
  </r>
  <r>
    <m/>
    <m/>
    <m/>
    <m/>
    <m/>
    <m/>
    <m/>
    <m/>
    <m/>
    <m/>
    <m/>
    <s v="TOTAL DE INICIATIVAS TERMINADAS"/>
    <n v="601969128"/>
    <n v="534455128"/>
    <n v="67514000"/>
    <n v="1350000"/>
    <n v="0"/>
    <n v="66164000"/>
    <n v="67514000"/>
    <n v="0"/>
    <n v="67514000"/>
    <n v="0"/>
    <n v="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LICITACION/ADJUDICACION"/>
    <m/>
    <m/>
    <m/>
    <m/>
    <m/>
    <m/>
    <m/>
    <m/>
    <m/>
    <m/>
    <m/>
    <m/>
    <m/>
    <x v="0"/>
  </r>
  <r>
    <n v="31"/>
    <s v="P"/>
    <s v="VIVIENDA"/>
    <s v="CHILOE"/>
    <s v="ANCUD"/>
    <s v="FAR"/>
    <s v="EJECUCION"/>
    <n v="30137881"/>
    <s v="30137881-EJECUCION"/>
    <m/>
    <s v="30137881"/>
    <s v="CONSERVACION DE ACERAS EN DIVERSAS CALLES DE ANCUD (C33)"/>
    <n v="460895000"/>
    <n v="0"/>
    <n v="60777635"/>
    <n v="0"/>
    <n v="0"/>
    <n v="0"/>
    <n v="0"/>
    <n v="0"/>
    <n v="0"/>
    <n v="60777635"/>
    <n v="400117365"/>
    <s v="EN LICITACION"/>
    <s v="RS*"/>
    <x v="8"/>
  </r>
  <r>
    <n v="33"/>
    <s v="P"/>
    <s v="AGUA POTABLE Y ALCANTARILLADO"/>
    <s v="CHILOE"/>
    <s v="ANCUD"/>
    <s v="LIBRE"/>
    <s v="EJECUCION"/>
    <n v="30341232"/>
    <s v="30341232-EJECUCION"/>
    <m/>
    <s v="30341232"/>
    <s v="AMPLIACION SERVICIO APR BAHIA LINAO HACIA HUAPILINAO Y R.NEGRO,ANCUD"/>
    <n v="113883000"/>
    <n v="0"/>
    <n v="77515911"/>
    <n v="0"/>
    <n v="0"/>
    <n v="0"/>
    <n v="0"/>
    <n v="0"/>
    <n v="0"/>
    <n v="77515911"/>
    <n v="36367089"/>
    <s v="EN LICITACION"/>
    <s v="RS"/>
    <x v="9"/>
  </r>
  <r>
    <m/>
    <m/>
    <m/>
    <m/>
    <m/>
    <m/>
    <m/>
    <m/>
    <m/>
    <m/>
    <m/>
    <s v="TOTAL DE INICIATIVAS EN LICITACION/ADJUDICACION"/>
    <n v="574778000"/>
    <n v="0"/>
    <n v="138293546"/>
    <n v="0"/>
    <n v="0"/>
    <n v="0"/>
    <n v="0"/>
    <n v="0"/>
    <n v="0"/>
    <n v="138293546"/>
    <n v="436484454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CONVENIO Y TRAMITE"/>
    <m/>
    <m/>
    <m/>
    <m/>
    <m/>
    <m/>
    <m/>
    <m/>
    <m/>
    <m/>
    <m/>
    <m/>
    <m/>
    <x v="0"/>
  </r>
  <r>
    <n v="31"/>
    <s v="N"/>
    <s v="ENERGÍA"/>
    <s v="CHILOE"/>
    <s v="ANCUD"/>
    <s v="ENERGIZACION"/>
    <s v="EJECUCION"/>
    <n v="40000032"/>
    <s v="40000032-EJECUCION"/>
    <m/>
    <s v="40000032"/>
    <s v="HABILITACION SUMINISTRO ENERGIA ELECTRICA, SECTOR PILLUCO"/>
    <n v="88690000"/>
    <n v="0"/>
    <n v="88690000"/>
    <n v="0"/>
    <n v="0"/>
    <n v="0"/>
    <n v="0"/>
    <n v="0"/>
    <n v="0"/>
    <n v="88690000"/>
    <n v="0"/>
    <s v="TRAMITE CONVENIO"/>
    <s v="RS"/>
    <x v="2"/>
  </r>
  <r>
    <m/>
    <m/>
    <m/>
    <m/>
    <m/>
    <m/>
    <m/>
    <m/>
    <m/>
    <m/>
    <m/>
    <s v="TOTAL DE INICIATIVAS EN CONVENIO Y TRAMITE"/>
    <n v="88690000"/>
    <n v="0"/>
    <n v="88690000"/>
    <n v="0"/>
    <n v="0"/>
    <n v="0"/>
    <n v="0"/>
    <n v="0"/>
    <n v="0"/>
    <n v="88690000"/>
    <n v="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SIN MOVIMIENTO"/>
    <m/>
    <m/>
    <m/>
    <m/>
    <m/>
    <m/>
    <m/>
    <m/>
    <m/>
    <m/>
    <m/>
    <m/>
    <m/>
    <x v="0"/>
  </r>
  <r>
    <n v="31"/>
    <s v="N"/>
    <s v="AGUA POTABLE Y ALCANTARILLADO"/>
    <s v="CHILOE"/>
    <s v="ANCUD"/>
    <s v="SS"/>
    <s v="EJECUCION"/>
    <n v="30471852"/>
    <s v="30471852-EJECUCION"/>
    <m/>
    <s v="30471852"/>
    <s v="CONSTRUCCION SISTEMA APR LOCALIDAD RURAL DE AGUAS BUENAS, ANCUD"/>
    <n v="708613000"/>
    <n v="0"/>
    <n v="10000000"/>
    <n v="0"/>
    <n v="0"/>
    <n v="0"/>
    <n v="0"/>
    <n v="0"/>
    <n v="0"/>
    <n v="10000000"/>
    <n v="698613000"/>
    <s v="ARI"/>
    <s v="SR"/>
    <x v="2"/>
  </r>
  <r>
    <n v="31"/>
    <s v="N"/>
    <s v="EDUCACIÓN Y CULTURA"/>
    <s v="CHILOE"/>
    <s v="ANCUD"/>
    <s v="LIBRE"/>
    <s v="EJECUCION"/>
    <n v="40001823"/>
    <s v="40001823-EJECUCION"/>
    <m/>
    <s v="40001823"/>
    <s v="CONSTRUCCION RECINTO MULTIUSO ESCUELA DIF.SAN CARLOS DE ANCUD"/>
    <n v="150000000"/>
    <n v="0"/>
    <n v="20000000"/>
    <n v="0"/>
    <n v="0"/>
    <n v="0"/>
    <n v="0"/>
    <n v="0"/>
    <n v="0"/>
    <n v="20000000"/>
    <n v="130000000"/>
    <s v="ARI"/>
    <s v="SR"/>
    <x v="2"/>
  </r>
  <r>
    <n v="31"/>
    <s v="N"/>
    <s v="MULTISECTORIAL"/>
    <s v="CHILOE"/>
    <s v="ANCUD"/>
    <s v="LIBRE"/>
    <s v="EJECUCION"/>
    <n v="30035122"/>
    <s v="30035122-EJECUCION"/>
    <m/>
    <s v="30035122"/>
    <s v="CONSTRUCCION CENTRO POLIFUNCIONAL INTERCULTURAL DE COÑIMO"/>
    <n v="217000000"/>
    <n v="0"/>
    <n v="20000000"/>
    <n v="0"/>
    <n v="0"/>
    <n v="0"/>
    <n v="0"/>
    <n v="0"/>
    <n v="0"/>
    <n v="20000000"/>
    <n v="197000000"/>
    <s v="ARI"/>
    <s v="SR"/>
    <x v="2"/>
  </r>
  <r>
    <n v="31"/>
    <s v="N"/>
    <s v="SALUD"/>
    <s v="CHILOE"/>
    <s v="ANCUD"/>
    <s v="LIBRE"/>
    <s v="DISEÑO"/>
    <n v="30485368"/>
    <s v="30485368-DISEÑO"/>
    <m/>
    <s v="30485368"/>
    <s v="CONSTRUCCION CENTRO REHABILITACION COMUNA DE ANCUD"/>
    <n v="101500000"/>
    <n v="0"/>
    <n v="10000000"/>
    <n v="0"/>
    <n v="0"/>
    <n v="0"/>
    <n v="0"/>
    <n v="0"/>
    <n v="0"/>
    <n v="10000000"/>
    <n v="91500000"/>
    <s v="ARI"/>
    <s v="SR"/>
    <x v="2"/>
  </r>
  <r>
    <n v="31"/>
    <s v="N"/>
    <s v="MULTISECTORIAL"/>
    <s v="CHILOE"/>
    <s v="ANCUD"/>
    <s v="LIBRE"/>
    <s v="EJECUCION"/>
    <n v="40001654"/>
    <s v="40001654-EJECUCION"/>
    <m/>
    <s v="40001654"/>
    <s v="ACTUALIZACION PLAN DE DESARROLLO COMUNAL DE ANCUD"/>
    <n v="75500000"/>
    <n v="0"/>
    <n v="7500000"/>
    <n v="0"/>
    <n v="0"/>
    <n v="0"/>
    <n v="0"/>
    <n v="0"/>
    <n v="0"/>
    <n v="7500000"/>
    <n v="68000000"/>
    <s v="SOLICITUD"/>
    <s v="SR"/>
    <x v="2"/>
  </r>
  <r>
    <m/>
    <m/>
    <m/>
    <m/>
    <m/>
    <m/>
    <m/>
    <m/>
    <m/>
    <m/>
    <m/>
    <s v="TOTAL DE INICIATIVAS SIN MOVIMIENTO"/>
    <n v="1252613000"/>
    <n v="0"/>
    <n v="67500000"/>
    <n v="0"/>
    <n v="0"/>
    <n v="0"/>
    <n v="0"/>
    <n v="0"/>
    <n v="0"/>
    <n v="67500000"/>
    <n v="11851130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TOTAL COMUNA DE  ANCUD"/>
    <n v="4944508020"/>
    <n v="856846236"/>
    <n v="1242610122"/>
    <n v="72835772"/>
    <n v="95643451"/>
    <n v="256818222"/>
    <n v="425297445"/>
    <n v="98669853"/>
    <n v="523967298"/>
    <n v="718642824"/>
    <n v="2845051662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COMUNA DE CHONCHI"/>
    <m/>
    <m/>
    <m/>
    <m/>
    <m/>
    <m/>
    <m/>
    <m/>
    <m/>
    <m/>
    <m/>
    <m/>
    <m/>
    <x v="0"/>
  </r>
  <r>
    <m/>
    <m/>
    <m/>
    <m/>
    <m/>
    <m/>
    <m/>
    <m/>
    <m/>
    <m/>
    <m/>
    <s v="INICIATIVAS EN EJECUCION"/>
    <m/>
    <m/>
    <m/>
    <m/>
    <m/>
    <m/>
    <m/>
    <m/>
    <m/>
    <m/>
    <m/>
    <m/>
    <m/>
    <x v="0"/>
  </r>
  <r>
    <n v="33"/>
    <s v="A"/>
    <s v="AGUA POTABLE Y ALCANTARILLADO"/>
    <s v="CHILOE"/>
    <s v="CHONCHI"/>
    <s v="SS"/>
    <s v="EJECUCION"/>
    <n v="30091901"/>
    <s v="30091901-EJECUCION"/>
    <m/>
    <s v="30091901"/>
    <s v="MEJORAMIENTO Y AMPLIACION  APR DE HUILLINCO"/>
    <n v="378809664"/>
    <n v="219892030"/>
    <n v="158917634"/>
    <n v="0"/>
    <n v="0"/>
    <n v="0"/>
    <n v="0"/>
    <n v="0"/>
    <n v="0"/>
    <n v="158917634"/>
    <n v="0"/>
    <s v="EN REEVALUACION"/>
    <s v="RE"/>
    <x v="9"/>
  </r>
  <r>
    <n v="31"/>
    <s v="A"/>
    <s v="AGUA POTABLE Y ALCANTARILLADO"/>
    <s v="CHILOE"/>
    <s v="CHONCHI"/>
    <s v="PIR"/>
    <s v="EJECUCION"/>
    <n v="30310674"/>
    <s v="30310674-EJECUCION"/>
    <m/>
    <s v="30310674"/>
    <s v="CONSTRUCCION SERVICIO APR PINDACO QUITRIPULLI"/>
    <n v="746086051"/>
    <n v="610427601"/>
    <n v="120352270"/>
    <n v="0"/>
    <n v="0"/>
    <n v="12483444"/>
    <n v="12483444"/>
    <n v="0"/>
    <n v="12483444"/>
    <n v="107868826"/>
    <n v="15306180"/>
    <s v="EN LIQUIDACION"/>
    <s v="RS"/>
    <x v="8"/>
  </r>
  <r>
    <m/>
    <m/>
    <m/>
    <m/>
    <m/>
    <m/>
    <m/>
    <m/>
    <m/>
    <m/>
    <m/>
    <s v="TOTAL DE INICIATIVAS EN EJECUCION"/>
    <n v="1124895715"/>
    <n v="830319631"/>
    <n v="279269904"/>
    <n v="0"/>
    <n v="0"/>
    <n v="12483444"/>
    <n v="12483444"/>
    <n v="0"/>
    <n v="12483444"/>
    <n v="266786460"/>
    <n v="1530618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TERMINADAS"/>
    <m/>
    <m/>
    <m/>
    <m/>
    <m/>
    <m/>
    <m/>
    <m/>
    <m/>
    <m/>
    <m/>
    <m/>
    <m/>
    <x v="0"/>
  </r>
  <r>
    <n v="31"/>
    <s v="A"/>
    <s v="EDUCACIÓN Y CULTURA"/>
    <s v="CHILOE"/>
    <s v="CHONCHI"/>
    <s v="LIBRE"/>
    <s v="DISEÑO"/>
    <n v="30103252"/>
    <s v="30103252-DISEÑO"/>
    <m/>
    <s v="30103252"/>
    <s v="REPOSICION TEATRO MUNICIPAL DE CHONCHI"/>
    <n v="62160000"/>
    <n v="34165000"/>
    <n v="27995000"/>
    <n v="0"/>
    <n v="0"/>
    <n v="27995000"/>
    <n v="27995000"/>
    <n v="0"/>
    <n v="27995000"/>
    <n v="0"/>
    <n v="0"/>
    <s v="TERMINADO"/>
    <s v="RS"/>
    <x v="2"/>
  </r>
  <r>
    <m/>
    <m/>
    <m/>
    <m/>
    <m/>
    <m/>
    <m/>
    <m/>
    <m/>
    <m/>
    <m/>
    <s v="TOTAL DE INICIATIVAS TERMINADAS"/>
    <n v="62160000"/>
    <n v="34165000"/>
    <n v="27995000"/>
    <n v="0"/>
    <n v="0"/>
    <n v="27995000"/>
    <n v="27995000"/>
    <n v="0"/>
    <n v="27995000"/>
    <n v="0"/>
    <n v="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LICITACION/ADJUDICACION"/>
    <m/>
    <m/>
    <m/>
    <m/>
    <m/>
    <m/>
    <m/>
    <m/>
    <m/>
    <m/>
    <m/>
    <m/>
    <m/>
    <x v="0"/>
  </r>
  <r>
    <n v="31"/>
    <s v="P"/>
    <s v="AGUA POTABLE Y ALCANTARILLADO"/>
    <s v="CHILOE"/>
    <s v="CHONCHI"/>
    <s v="SS"/>
    <s v="EJECUCION"/>
    <n v="30466433"/>
    <s v="30466433-EJECUCION"/>
    <m/>
    <s v="30466433"/>
    <s v="CONSTRUCCION SISTEMA APR QUILIPULLI-ROMAZAL"/>
    <n v="674063000"/>
    <n v="0"/>
    <n v="179005000"/>
    <n v="0"/>
    <n v="0"/>
    <n v="1200000"/>
    <n v="1200000"/>
    <n v="0"/>
    <n v="1200000"/>
    <n v="177805000"/>
    <n v="495058000"/>
    <s v="EN ADJUDICACION"/>
    <s v="RS"/>
    <x v="8"/>
  </r>
  <r>
    <n v="22"/>
    <s v="P"/>
    <s v="VIVIENDA"/>
    <s v="CHILOE"/>
    <s v="CHONCHI"/>
    <s v="LIBRE"/>
    <s v="EJECUCION"/>
    <n v="30126522"/>
    <s v="30126522-EJECUCION"/>
    <m/>
    <s v="30126522"/>
    <s v="ACTUALIZACION PLAN REGULADOR COMUNA DE CHONCHI (C33)"/>
    <n v="120000000"/>
    <n v="0"/>
    <n v="40000000"/>
    <n v="0"/>
    <n v="0"/>
    <n v="0"/>
    <n v="0"/>
    <n v="0"/>
    <n v="0"/>
    <n v="40000000"/>
    <n v="80000000"/>
    <s v="EN ADJUDICACION"/>
    <s v="RS"/>
    <x v="8"/>
  </r>
  <r>
    <n v="31"/>
    <s v="P"/>
    <s v="EDUCACIÓN Y CULTURA"/>
    <s v="CHILOE"/>
    <s v="CHONCHI"/>
    <s v="LIBRE"/>
    <s v="DISEÑO"/>
    <n v="20157700"/>
    <s v="20157700-DISEÑO"/>
    <m/>
    <s v="20157700"/>
    <s v="REPOSICION ESCUELA RURAL DE QUITRIPULLI"/>
    <n v="63638000"/>
    <n v="0"/>
    <n v="19000000"/>
    <n v="0"/>
    <n v="0"/>
    <n v="0"/>
    <n v="0"/>
    <n v="2761000"/>
    <n v="2761000"/>
    <n v="16239000"/>
    <n v="44638000"/>
    <s v="EN LICITACION"/>
    <s v="RS"/>
    <x v="9"/>
  </r>
  <r>
    <m/>
    <m/>
    <m/>
    <m/>
    <m/>
    <m/>
    <m/>
    <m/>
    <m/>
    <m/>
    <m/>
    <s v="TOTAL DE INICIATIVAS EN LICITACION/ADJUDICACION"/>
    <n v="857701000"/>
    <n v="0"/>
    <n v="238005000"/>
    <n v="0"/>
    <n v="0"/>
    <n v="1200000"/>
    <n v="1200000"/>
    <n v="2761000"/>
    <n v="3961000"/>
    <n v="234044000"/>
    <n v="6196960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CONVENIO Y TRAMITE"/>
    <m/>
    <m/>
    <m/>
    <m/>
    <m/>
    <m/>
    <m/>
    <m/>
    <m/>
    <m/>
    <m/>
    <m/>
    <m/>
    <x v="0"/>
  </r>
  <r>
    <n v="29"/>
    <s v="N"/>
    <s v="TRANSPORTE"/>
    <s v="CHILOE"/>
    <s v="CHONCHI"/>
    <s v="LIBRE"/>
    <s v="EJECUCION"/>
    <n v="40000775"/>
    <s v="40000775-EJECUCION"/>
    <m/>
    <s v="40000775"/>
    <s v="REPOSICION MAQUINARIA MUNICIPAL COMUNA DE CHONCHI (C33)"/>
    <n v="447721000"/>
    <n v="0"/>
    <n v="0"/>
    <n v="0"/>
    <n v="0"/>
    <n v="0"/>
    <n v="0"/>
    <n v="0"/>
    <n v="0"/>
    <n v="0"/>
    <n v="447721000"/>
    <s v="TRAMITE CONVENIO"/>
    <s v="RS*"/>
    <x v="2"/>
  </r>
  <r>
    <n v="31"/>
    <s v="N"/>
    <s v="AGUA POTABLE Y ALCANTARILLADO"/>
    <s v="CHILOE"/>
    <s v="CHONCHI"/>
    <s v="SS"/>
    <s v="EJECUCION"/>
    <n v="30466394"/>
    <s v="30466394-EJECUCION"/>
    <m/>
    <s v="30466394"/>
    <s v="CONSTRUCCION SISTEMA APR DE TARAHUIN, CHONCHI"/>
    <n v="483702000"/>
    <n v="0"/>
    <n v="100000000"/>
    <n v="0"/>
    <n v="0"/>
    <n v="0"/>
    <n v="0"/>
    <n v="0"/>
    <n v="0"/>
    <n v="100000000"/>
    <n v="383702000"/>
    <s v="TRAMITE CONVENIO"/>
    <s v="RS"/>
    <x v="2"/>
  </r>
  <r>
    <n v="29"/>
    <s v="N"/>
    <s v="TRANSPORTE"/>
    <s v="CHILOE"/>
    <s v="CHONCHI"/>
    <s v="LIBRE"/>
    <s v="EJECUCION"/>
    <n v="40000008"/>
    <s v="40000008-EJECUCION"/>
    <m/>
    <s v="40000008"/>
    <s v="REPOSICION Y ADQUISICION CAMIONETAS PARA TRANSPORTE MUNICIPAL (C33)"/>
    <n v="107107000"/>
    <n v="0"/>
    <n v="0"/>
    <n v="0"/>
    <n v="0"/>
    <n v="0"/>
    <n v="0"/>
    <n v="0"/>
    <n v="0"/>
    <n v="0"/>
    <n v="107107000"/>
    <s v="TRAMITE CONVENIO"/>
    <s v="RS*"/>
    <x v="2"/>
  </r>
  <r>
    <m/>
    <m/>
    <m/>
    <m/>
    <m/>
    <m/>
    <m/>
    <m/>
    <m/>
    <m/>
    <m/>
    <s v="TOTAL DE INICIATIVAS EN CONVENIO Y TRAMITE"/>
    <n v="1038530000"/>
    <n v="0"/>
    <n v="100000000"/>
    <n v="0"/>
    <n v="0"/>
    <n v="0"/>
    <n v="0"/>
    <n v="0"/>
    <n v="0"/>
    <n v="100000000"/>
    <n v="9385300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SIN MOVIMIENTO"/>
    <m/>
    <m/>
    <m/>
    <m/>
    <m/>
    <m/>
    <m/>
    <m/>
    <m/>
    <m/>
    <m/>
    <m/>
    <m/>
    <x v="0"/>
  </r>
  <r>
    <n v="31"/>
    <s v="N"/>
    <s v="EDUCACIÓN Y CULTURA"/>
    <s v="CHILOE"/>
    <s v="CHONCHI"/>
    <s v="LIBRE"/>
    <s v="DISEÑO"/>
    <n v="30126487"/>
    <s v="30126487-DISEÑO"/>
    <m/>
    <s v="30126487"/>
    <s v="REPOSICION ESCUELA RURAL DE HUILLINCO COMUNA DE CHONCHI"/>
    <n v="60467000"/>
    <n v="0"/>
    <n v="10000000"/>
    <n v="0"/>
    <n v="0"/>
    <n v="0"/>
    <n v="0"/>
    <n v="0"/>
    <n v="0"/>
    <n v="10000000"/>
    <n v="50467000"/>
    <s v="ARI"/>
    <s v="FI"/>
    <x v="2"/>
  </r>
  <r>
    <n v="31"/>
    <s v="N"/>
    <s v="DEFENSA Y SEGURIDAD"/>
    <s v="CHILOE"/>
    <s v="CHONCHI"/>
    <s v="LIBRE"/>
    <s v="EJECUCION"/>
    <n v="30126506"/>
    <s v="30126506-EJECUCION"/>
    <m/>
    <s v="30126506"/>
    <s v="CONSTRUCCION CUARTEL 2° COMPAÑIA BOMBEROS DE LA COMUNA DE CHONCHI"/>
    <n v="599792000"/>
    <n v="0"/>
    <n v="100000000"/>
    <n v="0"/>
    <n v="0"/>
    <n v="0"/>
    <n v="0"/>
    <n v="0"/>
    <n v="0"/>
    <n v="100000000"/>
    <n v="499792000"/>
    <s v="ARI"/>
    <s v="FI"/>
    <x v="2"/>
  </r>
  <r>
    <n v="31"/>
    <s v="N"/>
    <s v="MULTISECTORIAL"/>
    <s v="CHILOE"/>
    <s v="CHONCHI"/>
    <s v="LIBRE"/>
    <s v="DISEÑO"/>
    <n v="30484393"/>
    <s v="30484393-DISEÑO"/>
    <m/>
    <s v="30484393"/>
    <s v="CONSTRUCCION CENTRO ADULTO MAYOR COMUNA DE CHONCHI"/>
    <n v="52500000"/>
    <n v="0"/>
    <n v="5000000"/>
    <n v="0"/>
    <n v="0"/>
    <n v="0"/>
    <n v="0"/>
    <n v="0"/>
    <n v="0"/>
    <n v="5000000"/>
    <n v="47500000"/>
    <s v="ARI"/>
    <s v="SR"/>
    <x v="2"/>
  </r>
  <r>
    <m/>
    <m/>
    <m/>
    <m/>
    <m/>
    <m/>
    <m/>
    <m/>
    <m/>
    <m/>
    <m/>
    <s v="TOTAL DE INICIATIVAS SIN MOVIMIENTO"/>
    <n v="712759000"/>
    <n v="0"/>
    <n v="115000000"/>
    <n v="0"/>
    <n v="0"/>
    <n v="0"/>
    <n v="0"/>
    <n v="0"/>
    <n v="0"/>
    <n v="115000000"/>
    <n v="5977590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TOTAL COMUNA DE  CHONCHI"/>
    <n v="3796045715"/>
    <n v="864484631"/>
    <n v="760269904"/>
    <n v="0"/>
    <n v="0"/>
    <n v="41678444"/>
    <n v="41678444"/>
    <n v="2761000"/>
    <n v="44439444"/>
    <n v="715830460"/>
    <n v="217129118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COMUNA DE CURACO DE VELEZ"/>
    <m/>
    <m/>
    <m/>
    <m/>
    <m/>
    <m/>
    <m/>
    <m/>
    <m/>
    <m/>
    <m/>
    <m/>
    <m/>
    <x v="0"/>
  </r>
  <r>
    <m/>
    <m/>
    <m/>
    <m/>
    <m/>
    <m/>
    <m/>
    <m/>
    <m/>
    <m/>
    <m/>
    <s v="INICIATIVAS EN EJECUCION"/>
    <m/>
    <m/>
    <m/>
    <m/>
    <m/>
    <m/>
    <m/>
    <m/>
    <m/>
    <m/>
    <m/>
    <m/>
    <m/>
    <x v="0"/>
  </r>
  <r>
    <n v="31"/>
    <s v="A"/>
    <s v="DEPORTE"/>
    <s v="CHILOE"/>
    <s v="CURACO DE VÉLEZ"/>
    <s v="LIBRE"/>
    <s v="DISEÑO"/>
    <n v="30095333"/>
    <s v="30095333-DISEÑO"/>
    <m/>
    <s v="30095333"/>
    <s v="REPOSICION ESTADIO MUNICIPAL DE CURACO DE VELEZ"/>
    <n v="178850000"/>
    <n v="94201000"/>
    <n v="84649000"/>
    <n v="0"/>
    <n v="0"/>
    <n v="0"/>
    <n v="0"/>
    <n v="0"/>
    <n v="0"/>
    <n v="84649000"/>
    <n v="0"/>
    <s v="EN EJECUCION"/>
    <s v="RS"/>
    <x v="8"/>
  </r>
  <r>
    <n v="31"/>
    <s v="A"/>
    <s v="EDUCACIÓN Y CULTURA"/>
    <s v="CHILOE"/>
    <s v="CURACO DE VÉLEZ"/>
    <s v="FIE"/>
    <s v="EJECUCION"/>
    <n v="30093309"/>
    <s v="30093309-EJECUCION"/>
    <m/>
    <s v="30093309"/>
    <s v="REPOSICION LICEO ALFREDO BARRIA OYARZUN"/>
    <n v="6706907019"/>
    <n v="6264393668"/>
    <n v="261842350"/>
    <n v="0"/>
    <n v="0"/>
    <n v="0"/>
    <n v="0"/>
    <n v="0"/>
    <n v="0"/>
    <n v="261842350"/>
    <n v="180671001"/>
    <s v="EN EJECUCION"/>
    <s v="RS"/>
    <x v="9"/>
  </r>
  <r>
    <m/>
    <m/>
    <m/>
    <m/>
    <m/>
    <m/>
    <m/>
    <m/>
    <m/>
    <m/>
    <m/>
    <s v="TOTAL DE INICIATIVAS EN EJECUCION"/>
    <n v="6885757019"/>
    <n v="6358594668"/>
    <n v="346491350"/>
    <n v="0"/>
    <n v="0"/>
    <n v="0"/>
    <n v="0"/>
    <n v="0"/>
    <n v="0"/>
    <n v="346491350"/>
    <n v="180671001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CONVENIO Y TRAMITE"/>
    <m/>
    <m/>
    <m/>
    <m/>
    <m/>
    <m/>
    <m/>
    <m/>
    <m/>
    <m/>
    <m/>
    <m/>
    <m/>
    <x v="0"/>
  </r>
  <r>
    <n v="29"/>
    <s v="N"/>
    <s v="EDUCACIÓN Y CULTURA"/>
    <s v="CHILOE"/>
    <s v="CURACO DE VÉLEZ"/>
    <s v="LIBRE"/>
    <s v="EJECUCION"/>
    <n v="30427781"/>
    <s v="30427781-EJECUCION"/>
    <m/>
    <s v="30427781"/>
    <s v="ADQUISICION EQUIPAMIENTO ESCUELA SAN JAVIER (C33)"/>
    <n v="199006000"/>
    <n v="0"/>
    <n v="0"/>
    <n v="0"/>
    <n v="0"/>
    <n v="0"/>
    <n v="0"/>
    <n v="0"/>
    <n v="0"/>
    <n v="0"/>
    <n v="199006000"/>
    <s v="TRAMITE CONVENIO"/>
    <s v="RS*"/>
    <x v="2"/>
  </r>
  <r>
    <n v="29"/>
    <s v="N"/>
    <s v="EDUCACIÓN Y CULTURA"/>
    <s v="CHILOE"/>
    <s v="CURACO DE VÉLEZ"/>
    <s v="LIBRE"/>
    <s v="EJECUCION"/>
    <n v="30427823"/>
    <s v="30427823-EJECUCION"/>
    <m/>
    <s v="30427823"/>
    <s v="ADQUISICION EQUIPAMIENTO ESCUELA HUYAR ALTO (C33)"/>
    <n v="199646000"/>
    <n v="0"/>
    <n v="0"/>
    <n v="0"/>
    <n v="0"/>
    <n v="0"/>
    <n v="0"/>
    <n v="0"/>
    <n v="0"/>
    <n v="0"/>
    <n v="199646000"/>
    <s v="TRAMITE CONVENIO"/>
    <s v="RS*"/>
    <x v="2"/>
  </r>
  <r>
    <m/>
    <m/>
    <m/>
    <m/>
    <m/>
    <m/>
    <m/>
    <m/>
    <m/>
    <m/>
    <m/>
    <s v="TOTAL DE INICIATIVAS EN CONVENIO Y TRAMITE"/>
    <n v="398652000"/>
    <n v="0"/>
    <n v="0"/>
    <n v="0"/>
    <n v="0"/>
    <n v="0"/>
    <n v="0"/>
    <n v="0"/>
    <n v="0"/>
    <n v="0"/>
    <n v="3986520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SIN MOVIMIENTO"/>
    <m/>
    <m/>
    <m/>
    <m/>
    <m/>
    <m/>
    <m/>
    <m/>
    <m/>
    <m/>
    <m/>
    <m/>
    <m/>
    <x v="0"/>
  </r>
  <r>
    <n v="31"/>
    <s v="N"/>
    <s v="SALUD"/>
    <s v="CHILOE"/>
    <s v="CURACO DE VÉLEZ"/>
    <s v="LIBRE"/>
    <s v="EJECUCION"/>
    <n v="30135738"/>
    <s v="30135738-EJECUCION"/>
    <s v="30135738-FNDR"/>
    <s v="30135738"/>
    <s v="REPOSICION POSTA DE SALUD HUYAR ALTO"/>
    <n v="645578000"/>
    <n v="0"/>
    <n v="64557800"/>
    <n v="0"/>
    <n v="0"/>
    <n v="0"/>
    <n v="0"/>
    <n v="0"/>
    <n v="0"/>
    <n v="64557800"/>
    <n v="581020200"/>
    <s v="ARI"/>
    <s v="FI"/>
    <x v="2"/>
  </r>
  <r>
    <n v="31"/>
    <s v="N"/>
    <s v="SALUD"/>
    <s v="CHILOE"/>
    <s v="CURACO DE VÉLEZ"/>
    <s v="LIBRE"/>
    <s v="EJECUCION"/>
    <n v="30135739"/>
    <s v="30135739-EJECUCION"/>
    <s v="30135739-FNDR"/>
    <s v="30135739"/>
    <s v="REPOSICION POSTA DE SALUD DE PALQUI"/>
    <n v="420194000"/>
    <n v="0"/>
    <n v="21009700"/>
    <n v="0"/>
    <n v="0"/>
    <n v="0"/>
    <n v="0"/>
    <n v="0"/>
    <n v="0"/>
    <n v="21009700"/>
    <n v="399184300"/>
    <s v="ARI"/>
    <s v="SR"/>
    <x v="2"/>
  </r>
  <r>
    <n v="31"/>
    <s v="N"/>
    <s v="AGUA POTABLE Y ALCANTARILLADO"/>
    <s v="CHILOE"/>
    <s v="CURACO DE VÉLEZ"/>
    <s v="SS"/>
    <s v="DISEÑO"/>
    <n v="30485181"/>
    <s v="30485181-DISEÑO"/>
    <m/>
    <s v="30485181"/>
    <s v="HABILITACION INSTALACION SERVICIO DE APR DE TOLQUIEN"/>
    <n v="41000000"/>
    <n v="0"/>
    <n v="5000000"/>
    <n v="0"/>
    <n v="0"/>
    <n v="0"/>
    <n v="0"/>
    <n v="0"/>
    <n v="0"/>
    <n v="5000000"/>
    <n v="36000000"/>
    <s v="ARI"/>
    <s v="SR"/>
    <x v="2"/>
  </r>
  <r>
    <n v="31"/>
    <s v="N"/>
    <s v="TRANSPORTE"/>
    <s v="CHILOE"/>
    <s v="CURACO DE VÉLEZ"/>
    <s v="FAR"/>
    <s v="EJECUCION"/>
    <n v="30135731"/>
    <s v="30135731-EJECUCION"/>
    <m/>
    <s v="30135731"/>
    <s v="MEJORAMIENTO CAMINOS COMUNALES DE CURACO DE VELEZ"/>
    <n v="900001000"/>
    <n v="0"/>
    <n v="40000000"/>
    <n v="0"/>
    <n v="0"/>
    <n v="0"/>
    <n v="0"/>
    <n v="0"/>
    <n v="0"/>
    <n v="40000000"/>
    <n v="860001000"/>
    <s v="ARI"/>
    <s v="SR"/>
    <x v="2"/>
  </r>
  <r>
    <n v="29"/>
    <s v="N"/>
    <s v="MULTISECTORIAL"/>
    <s v="CHILOE"/>
    <s v="CURACO DE VÉLEZ"/>
    <s v="FAR"/>
    <s v="EJECUCION"/>
    <n v="40001806"/>
    <s v="40001806-EJECUCION"/>
    <m/>
    <s v="40001806"/>
    <s v="REPOSICION CAMION TOLVA(C33)"/>
    <n v="90000000"/>
    <n v="0"/>
    <n v="5000000"/>
    <n v="0"/>
    <n v="0"/>
    <n v="0"/>
    <n v="0"/>
    <n v="0"/>
    <n v="0"/>
    <n v="5000000"/>
    <n v="85000000"/>
    <s v="SOLICITUD"/>
    <s v="SR*"/>
    <x v="2"/>
  </r>
  <r>
    <m/>
    <m/>
    <m/>
    <m/>
    <m/>
    <m/>
    <m/>
    <m/>
    <m/>
    <m/>
    <m/>
    <s v="TOTAL DE INICIATIVAS SIN MOVIMIENTO"/>
    <n v="2096773000"/>
    <n v="0"/>
    <n v="135567500"/>
    <n v="0"/>
    <n v="0"/>
    <n v="0"/>
    <n v="0"/>
    <n v="0"/>
    <n v="0"/>
    <n v="135567500"/>
    <n v="19612055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TOTAL COMUNA DE  C.VELEZ"/>
    <n v="9381182019"/>
    <n v="6358594668"/>
    <n v="482058850"/>
    <n v="0"/>
    <n v="0"/>
    <n v="0"/>
    <n v="0"/>
    <n v="0"/>
    <n v="0"/>
    <n v="482058850"/>
    <n v="2540528501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COMUNA DE DALCAHUE"/>
    <m/>
    <m/>
    <m/>
    <m/>
    <m/>
    <m/>
    <m/>
    <m/>
    <m/>
    <m/>
    <m/>
    <m/>
    <m/>
    <x v="0"/>
  </r>
  <r>
    <m/>
    <m/>
    <m/>
    <m/>
    <m/>
    <m/>
    <m/>
    <m/>
    <m/>
    <m/>
    <m/>
    <s v="INICIATIVAS EN EJECUCION"/>
    <m/>
    <m/>
    <m/>
    <m/>
    <m/>
    <m/>
    <m/>
    <m/>
    <m/>
    <m/>
    <m/>
    <m/>
    <m/>
    <x v="0"/>
  </r>
  <r>
    <n v="31"/>
    <s v="A"/>
    <s v="DEPORTE"/>
    <s v="CHILOE"/>
    <s v="DALCAHUE"/>
    <s v="FAR"/>
    <s v="EJECUCION"/>
    <n v="30094005"/>
    <s v="30094005-EJECUCION"/>
    <m/>
    <s v="30094005"/>
    <s v="MEJORAMIENTO INTEGRAL GIMNASIO FISCAL DE DALCAHUE"/>
    <n v="746000000"/>
    <n v="683623581"/>
    <n v="55116237"/>
    <n v="0"/>
    <n v="0"/>
    <n v="38383418"/>
    <n v="38383418"/>
    <n v="732819"/>
    <n v="39116237"/>
    <n v="16000000"/>
    <n v="7260182"/>
    <s v="EN EJECUCION"/>
    <s v="RS"/>
    <x v="8"/>
  </r>
  <r>
    <n v="31"/>
    <s v="A"/>
    <s v="MULTISECTORIAL"/>
    <s v="CHILOE"/>
    <s v="DALCAHUE"/>
    <s v="LIBRE"/>
    <s v="EJECUCION"/>
    <n v="30129912"/>
    <s v="30129912-EJECUCION"/>
    <m/>
    <s v="30129912"/>
    <s v="CONSTRUCCION CENTRO CIVICO DE DALCAHUE"/>
    <n v="93394000"/>
    <n v="30129912"/>
    <n v="32129200"/>
    <n v="0"/>
    <n v="0"/>
    <n v="0"/>
    <n v="0"/>
    <n v="0"/>
    <n v="0"/>
    <n v="32129200"/>
    <n v="31134888"/>
    <s v="EN EJECUCION"/>
    <s v="RS"/>
    <x v="9"/>
  </r>
  <r>
    <m/>
    <m/>
    <m/>
    <m/>
    <m/>
    <m/>
    <m/>
    <m/>
    <m/>
    <m/>
    <m/>
    <s v="TOTAL DE INICIATIVAS EN EJECUCION"/>
    <n v="839394000"/>
    <n v="713753493"/>
    <n v="87245437"/>
    <n v="0"/>
    <n v="0"/>
    <n v="38383418"/>
    <n v="38383418"/>
    <n v="732819"/>
    <n v="39116237"/>
    <n v="48129200"/>
    <n v="3839507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LICITACION/ADJUDICACION"/>
    <m/>
    <m/>
    <m/>
    <m/>
    <m/>
    <m/>
    <m/>
    <m/>
    <m/>
    <m/>
    <m/>
    <m/>
    <m/>
    <x v="0"/>
  </r>
  <r>
    <n v="31"/>
    <s v="P"/>
    <s v="AGUA POTABLE Y ALCANTARILLADO"/>
    <s v="CHILOE"/>
    <s v="DALCAHUE"/>
    <s v="SS"/>
    <s v="EJECUCION"/>
    <n v="30395727"/>
    <s v="30395727-EJECUCION"/>
    <m/>
    <s v="30395727"/>
    <s v="CONSTRUCCION REDES AGUA POTABLE Y ALC ST VISTA HERMOSA"/>
    <n v="566452000"/>
    <n v="0"/>
    <n v="113290400"/>
    <n v="0"/>
    <n v="0"/>
    <n v="0"/>
    <n v="0"/>
    <n v="0"/>
    <n v="0"/>
    <n v="113290400"/>
    <n v="453161600"/>
    <s v="EN LICITACION"/>
    <s v="RS"/>
    <x v="8"/>
  </r>
  <r>
    <n v="31"/>
    <s v="P"/>
    <s v="DEPORTE"/>
    <s v="CHILOE"/>
    <s v="DALCAHUE"/>
    <s v="LIBRE"/>
    <s v="EJECUCION"/>
    <n v="30134014"/>
    <s v="30134014-EJECUCION"/>
    <m/>
    <s v="30134014"/>
    <s v="CONSTRUCCION GIMNASIO TENAUN"/>
    <n v="370366000"/>
    <n v="0"/>
    <n v="100000000"/>
    <n v="0"/>
    <n v="0"/>
    <n v="0"/>
    <n v="0"/>
    <n v="0"/>
    <n v="0"/>
    <n v="100000000"/>
    <n v="270366000"/>
    <s v="EN LICITACION"/>
    <s v="RS"/>
    <x v="9"/>
  </r>
  <r>
    <m/>
    <m/>
    <m/>
    <m/>
    <m/>
    <m/>
    <m/>
    <m/>
    <m/>
    <m/>
    <m/>
    <s v="TOTAL DE INICIATIVAS EN LICITACION/ADJUDICACION"/>
    <n v="936818000"/>
    <n v="0"/>
    <n v="213290400"/>
    <n v="0"/>
    <n v="0"/>
    <n v="0"/>
    <n v="0"/>
    <n v="0"/>
    <n v="0"/>
    <n v="213290400"/>
    <n v="7235276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CONVENIO Y TRAMITE"/>
    <m/>
    <m/>
    <m/>
    <m/>
    <m/>
    <m/>
    <m/>
    <m/>
    <m/>
    <m/>
    <m/>
    <m/>
    <m/>
    <x v="0"/>
  </r>
  <r>
    <n v="29"/>
    <s v="N"/>
    <s v="TRANSPORTE"/>
    <s v="CHILOE"/>
    <s v="DALCAHUE"/>
    <s v="FAR"/>
    <s v="EJECUCION"/>
    <n v="30485210"/>
    <s v="30485210-EJECUCION"/>
    <m/>
    <s v="30485210"/>
    <s v="REPOSICION DE MAQUINAS Y EQUIPOS MEJORAMIENTO DE CAMINOS(C33)"/>
    <n v="266381000"/>
    <n v="0"/>
    <n v="266381000"/>
    <n v="0"/>
    <n v="0"/>
    <n v="0"/>
    <n v="0"/>
    <n v="0"/>
    <n v="0"/>
    <n v="266381000"/>
    <n v="0"/>
    <s v="TRAMITE CONVENIO"/>
    <s v="RS*"/>
    <x v="2"/>
  </r>
  <r>
    <m/>
    <m/>
    <m/>
    <m/>
    <m/>
    <m/>
    <m/>
    <m/>
    <m/>
    <m/>
    <m/>
    <s v="TOTAL DE INICIATIVAS EN CONVENIO Y TRAMITE"/>
    <n v="266381000"/>
    <n v="0"/>
    <n v="266381000"/>
    <n v="0"/>
    <n v="0"/>
    <n v="0"/>
    <n v="0"/>
    <n v="0"/>
    <n v="0"/>
    <n v="266381000"/>
    <n v="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SIN MOVIMIENTO"/>
    <m/>
    <m/>
    <m/>
    <m/>
    <m/>
    <m/>
    <m/>
    <m/>
    <m/>
    <m/>
    <m/>
    <m/>
    <m/>
    <x v="0"/>
  </r>
  <r>
    <n v="29"/>
    <s v="N"/>
    <s v="MULTISECTORIAL"/>
    <s v="CHILOE"/>
    <s v="DALCAHUE"/>
    <s v="RSD"/>
    <s v="EJECUCION"/>
    <n v="30438574"/>
    <s v="30438574-EJECUCION"/>
    <m/>
    <s v="30438574"/>
    <s v="REPOSICION DE EQUIPAMIENTO PARA LA RECOLECCION DE RSD DALCAHUE(C33)"/>
    <n v="348663000"/>
    <n v="0"/>
    <n v="30000000"/>
    <n v="0"/>
    <n v="0"/>
    <n v="0"/>
    <n v="0"/>
    <n v="0"/>
    <n v="0"/>
    <n v="30000000"/>
    <n v="318663000"/>
    <s v="ARI"/>
    <s v="SR*"/>
    <x v="2"/>
  </r>
  <r>
    <n v="31"/>
    <s v="N"/>
    <s v="EDUCACIÓN Y CULTURA"/>
    <s v="CHILOE"/>
    <s v="DALCAHUE"/>
    <s v="FIE"/>
    <s v="EJECUCION"/>
    <n v="30134013"/>
    <s v="30134013-EJECUCION"/>
    <m/>
    <s v="30134013"/>
    <s v="REPOSICION ESCUELA TEHUACO-QUETALCO COOMUNA DALCAHUE"/>
    <n v="695821000"/>
    <n v="0"/>
    <n v="0"/>
    <n v="0"/>
    <n v="0"/>
    <n v="0"/>
    <n v="0"/>
    <n v="0"/>
    <n v="0"/>
    <n v="0"/>
    <n v="695821000"/>
    <s v="ARI"/>
    <s v="SR"/>
    <x v="2"/>
  </r>
  <r>
    <n v="31"/>
    <s v="N"/>
    <s v="AGUA POTABLE Y ALCANTARILLADO"/>
    <s v="CHILOE"/>
    <s v="DALCAHUE"/>
    <s v="SS"/>
    <s v="EJECUCION"/>
    <n v="30485152"/>
    <s v="30485152-EJECUCION"/>
    <m/>
    <s v="30485152"/>
    <s v="CONSTRUCCION REDES DE AGUA POTABLE Y ALCANT. DIVERSOS SECTORES CIUDAD DALCAHUE"/>
    <n v="279810000"/>
    <n v="0"/>
    <n v="13990500"/>
    <n v="0"/>
    <n v="0"/>
    <n v="0"/>
    <n v="0"/>
    <n v="0"/>
    <n v="0"/>
    <n v="13990500"/>
    <n v="265819500"/>
    <s v="ARI"/>
    <s v="SR"/>
    <x v="2"/>
  </r>
  <r>
    <n v="31"/>
    <s v="N"/>
    <s v="DEPORTE"/>
    <s v="CHILOE"/>
    <s v="DALCAHUE"/>
    <s v="LIBRE"/>
    <s v="DISEÑO"/>
    <n v="40001662"/>
    <s v="40001662-DISEÑO"/>
    <m/>
    <s v="40001662"/>
    <s v="CONSTRUCCION CANCHA SINTETICA DE FUTBOL SECTOR MOCOPULLI"/>
    <n v="30000000"/>
    <n v="0"/>
    <n v="3000000"/>
    <n v="0"/>
    <n v="0"/>
    <n v="0"/>
    <n v="0"/>
    <n v="0"/>
    <n v="0"/>
    <n v="3000000"/>
    <n v="27000000"/>
    <s v="SOLICITUD"/>
    <s v="SR"/>
    <x v="2"/>
  </r>
  <r>
    <m/>
    <m/>
    <m/>
    <m/>
    <m/>
    <m/>
    <m/>
    <m/>
    <m/>
    <m/>
    <m/>
    <s v="TOTAL DE INICIATIVAS SIN MOVIMIENTO"/>
    <n v="1354294000"/>
    <n v="0"/>
    <n v="46990500"/>
    <n v="0"/>
    <n v="0"/>
    <n v="0"/>
    <n v="0"/>
    <n v="0"/>
    <n v="0"/>
    <n v="46990500"/>
    <n v="13073035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TOTAL COMUNA DE  DALCAHUE"/>
    <n v="3396887000"/>
    <n v="713753493"/>
    <n v="613907337"/>
    <n v="0"/>
    <n v="0"/>
    <n v="38383418"/>
    <n v="38383418"/>
    <n v="732819"/>
    <n v="39116237"/>
    <n v="574791100"/>
    <n v="206922617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COMUNA DE PUQUELDON"/>
    <m/>
    <m/>
    <m/>
    <m/>
    <m/>
    <m/>
    <m/>
    <m/>
    <m/>
    <m/>
    <m/>
    <m/>
    <m/>
    <x v="0"/>
  </r>
  <r>
    <m/>
    <m/>
    <m/>
    <m/>
    <m/>
    <m/>
    <m/>
    <m/>
    <m/>
    <m/>
    <m/>
    <s v="INICIATIVAS EN EJECUCION"/>
    <m/>
    <m/>
    <m/>
    <m/>
    <m/>
    <m/>
    <m/>
    <m/>
    <m/>
    <m/>
    <m/>
    <m/>
    <m/>
    <x v="0"/>
  </r>
  <r>
    <n v="31"/>
    <s v="A"/>
    <s v="SALUD"/>
    <s v="CHILOE"/>
    <s v="PUQUELDON"/>
    <s v="FAR"/>
    <s v="EJECUCION"/>
    <n v="30042613"/>
    <s v="30042613-EJECUCION"/>
    <s v="30042613-FNDR"/>
    <s v="30042613"/>
    <s v="NORMALIZACION CONSULTORIO RURAL PUQUELDON"/>
    <n v="3472101337"/>
    <n v="1786871036"/>
    <n v="1605198377"/>
    <n v="176294160"/>
    <n v="234125658"/>
    <n v="246039930"/>
    <n v="656459748"/>
    <n v="109391780"/>
    <n v="765851528"/>
    <n v="839346849"/>
    <n v="80031924"/>
    <s v="EN EJECUCION"/>
    <s v="RS"/>
    <x v="10"/>
  </r>
  <r>
    <m/>
    <m/>
    <m/>
    <m/>
    <m/>
    <m/>
    <m/>
    <m/>
    <m/>
    <m/>
    <m/>
    <s v="TOTAL DE INICIATIVAS EN EJECUCION"/>
    <n v="3472101337"/>
    <n v="1786871036"/>
    <n v="1605198377"/>
    <n v="176294160"/>
    <n v="234125658"/>
    <n v="246039930"/>
    <n v="656459748"/>
    <n v="109391780"/>
    <n v="765851528"/>
    <n v="839346849"/>
    <n v="80031924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TERMINADAS"/>
    <m/>
    <m/>
    <m/>
    <m/>
    <m/>
    <m/>
    <m/>
    <m/>
    <m/>
    <m/>
    <m/>
    <m/>
    <m/>
    <x v="0"/>
  </r>
  <r>
    <n v="31"/>
    <s v="A"/>
    <s v="TRANSPORTE"/>
    <s v="CHILOE"/>
    <s v="PUQUELDON"/>
    <s v="PIR"/>
    <s v="EJECUCION"/>
    <n v="30365273"/>
    <s v="30365273-EJECUCION"/>
    <m/>
    <s v="30365273"/>
    <s v="CONSERVACION DIVERSOS CAMINOS  RURALES COMUNA DE PUQUELDON (C33)"/>
    <n v="236080268"/>
    <n v="144981756"/>
    <n v="91098512"/>
    <n v="0"/>
    <n v="0"/>
    <n v="91098512"/>
    <n v="91098512"/>
    <n v="0"/>
    <n v="91098512"/>
    <n v="0"/>
    <n v="0"/>
    <s v="TERMINADO"/>
    <s v="RS*"/>
    <x v="2"/>
  </r>
  <r>
    <m/>
    <m/>
    <m/>
    <m/>
    <m/>
    <m/>
    <m/>
    <m/>
    <m/>
    <m/>
    <m/>
    <s v="TOTAL DE INICIATIVAS TERMINADAS"/>
    <n v="236080268"/>
    <n v="144981756"/>
    <n v="91098512"/>
    <n v="0"/>
    <n v="0"/>
    <n v="91098512"/>
    <n v="91098512"/>
    <n v="0"/>
    <n v="91098512"/>
    <n v="0"/>
    <n v="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SIN MOVIMIENTO"/>
    <m/>
    <m/>
    <m/>
    <m/>
    <m/>
    <m/>
    <m/>
    <m/>
    <m/>
    <m/>
    <m/>
    <m/>
    <m/>
    <x v="0"/>
  </r>
  <r>
    <n v="29"/>
    <s v="N"/>
    <s v="TRANSPORTE"/>
    <s v="CHILOE"/>
    <s v="PUQUELDON"/>
    <s v="FAR"/>
    <s v="EJECUCION"/>
    <n v="30466153"/>
    <s v="30466153-EJECUCION"/>
    <m/>
    <s v="30466153"/>
    <s v="ADQUISICION CAMION MULIPROPOSITO MUNICIPALIDAD DE PUQUELDON(C33)"/>
    <n v="131605000"/>
    <n v="0"/>
    <n v="40000000"/>
    <n v="0"/>
    <n v="0"/>
    <n v="0"/>
    <n v="0"/>
    <n v="0"/>
    <n v="0"/>
    <n v="40000000"/>
    <n v="91605000"/>
    <s v="ARI"/>
    <s v="SR*"/>
    <x v="2"/>
  </r>
  <r>
    <n v="31"/>
    <s v="N"/>
    <s v="MULTISECTORIAL"/>
    <s v="CHILOE"/>
    <s v="PUQUELDON"/>
    <s v="LIBRE"/>
    <s v="DISEÑO"/>
    <n v="30395772"/>
    <s v="30395772-DISEÑO"/>
    <m/>
    <s v="30395772"/>
    <s v="CONSTRUCCION CENTRO COMUNITARIO DEL ADULTO MAYOR - COMUNA PUQUELDON"/>
    <n v="78786000"/>
    <n v="0"/>
    <n v="21094488"/>
    <n v="0"/>
    <n v="0"/>
    <n v="0"/>
    <n v="0"/>
    <n v="0"/>
    <n v="0"/>
    <n v="21094488"/>
    <n v="57691512"/>
    <s v="ARI"/>
    <s v="SR"/>
    <x v="2"/>
  </r>
  <r>
    <n v="31"/>
    <s v="N"/>
    <s v="DEPORTE"/>
    <s v="CHILOE"/>
    <s v="PUQUELDON"/>
    <s v="LIBRE"/>
    <s v="EJECUCION"/>
    <n v="30485160"/>
    <s v="30485160-EJECUCION"/>
    <m/>
    <s v="30485160"/>
    <s v="CONSERVACION ESTADIO MUNICIPAL DE PUQUELDON(C33)"/>
    <n v="199700000"/>
    <n v="0"/>
    <n v="30000000"/>
    <n v="0"/>
    <n v="0"/>
    <n v="0"/>
    <n v="0"/>
    <n v="0"/>
    <n v="0"/>
    <n v="30000000"/>
    <n v="169700000"/>
    <s v="ARI"/>
    <s v="SR*"/>
    <x v="2"/>
  </r>
  <r>
    <m/>
    <m/>
    <m/>
    <m/>
    <m/>
    <m/>
    <m/>
    <m/>
    <m/>
    <m/>
    <m/>
    <s v="TOTAL DE INICIATIVAS SIN MOVIMIENTO"/>
    <n v="410091000"/>
    <n v="0"/>
    <n v="91094488"/>
    <n v="0"/>
    <n v="0"/>
    <n v="0"/>
    <n v="0"/>
    <n v="0"/>
    <n v="0"/>
    <n v="91094488"/>
    <n v="318996512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TOTAL COMUNA DE  PUQUELDON"/>
    <n v="4118272605"/>
    <n v="1931852792"/>
    <n v="1787391377"/>
    <n v="176294160"/>
    <n v="234125658"/>
    <n v="337138442"/>
    <n v="747558260"/>
    <n v="109391780"/>
    <n v="856950040"/>
    <n v="930441337"/>
    <n v="399028436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COMUNA DE QUELLON"/>
    <m/>
    <m/>
    <m/>
    <m/>
    <m/>
    <m/>
    <m/>
    <m/>
    <m/>
    <m/>
    <m/>
    <m/>
    <m/>
    <x v="0"/>
  </r>
  <r>
    <m/>
    <m/>
    <m/>
    <m/>
    <m/>
    <m/>
    <m/>
    <m/>
    <m/>
    <m/>
    <m/>
    <s v="INICIATIVAS EN EJECUCION"/>
    <m/>
    <m/>
    <m/>
    <m/>
    <m/>
    <m/>
    <m/>
    <m/>
    <m/>
    <m/>
    <m/>
    <m/>
    <m/>
    <x v="0"/>
  </r>
  <r>
    <n v="31"/>
    <s v="P"/>
    <s v="TRANSPORTE"/>
    <s v="CHILOE"/>
    <s v="QUELLON"/>
    <s v="PIR"/>
    <s v="EJECUCION"/>
    <n v="30428525"/>
    <s v="30428525-EJECUCION"/>
    <m/>
    <s v="30428525"/>
    <s v="CONSERVACION CAMINOS NO ENROLADOS QUELLON CONTINENTAL (C33)"/>
    <n v="460050000"/>
    <n v="0"/>
    <n v="460050000"/>
    <n v="0"/>
    <n v="82343181"/>
    <n v="109322152"/>
    <n v="191665333"/>
    <n v="103554276"/>
    <n v="295219609"/>
    <n v="164830391"/>
    <n v="0"/>
    <s v="EN EJECUCION"/>
    <s v="RS*"/>
    <x v="8"/>
  </r>
  <r>
    <m/>
    <m/>
    <m/>
    <m/>
    <m/>
    <m/>
    <m/>
    <m/>
    <m/>
    <m/>
    <m/>
    <s v="TOTAL DE INICIATIVAS EN EJECUCION"/>
    <n v="460050000"/>
    <n v="0"/>
    <n v="460050000"/>
    <n v="0"/>
    <n v="82343181"/>
    <n v="109322152"/>
    <n v="191665333"/>
    <n v="103554276"/>
    <n v="295219609"/>
    <n v="164830391"/>
    <n v="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TERMINADAS"/>
    <m/>
    <m/>
    <m/>
    <m/>
    <m/>
    <m/>
    <m/>
    <m/>
    <m/>
    <m/>
    <m/>
    <m/>
    <m/>
    <x v="0"/>
  </r>
  <r>
    <n v="31"/>
    <s v="A"/>
    <s v="VIVIENDA"/>
    <s v="CHILOE"/>
    <s v="QUELLON"/>
    <s v="LIBRE"/>
    <s v="EJECUCION"/>
    <n v="30090907"/>
    <s v="30090907-EJECUCION"/>
    <m/>
    <s v="30090907"/>
    <s v="ACTUALIZACION Y DIAGNOSTICO PLAN REGULADOR COMUNA QUELLON"/>
    <n v="57000000"/>
    <n v="57000000"/>
    <n v="0"/>
    <n v="0"/>
    <n v="0"/>
    <n v="0"/>
    <n v="0"/>
    <n v="0"/>
    <n v="0"/>
    <n v="0"/>
    <n v="0"/>
    <s v="TERMINADO"/>
    <s v="RS"/>
    <x v="8"/>
  </r>
  <r>
    <m/>
    <m/>
    <m/>
    <m/>
    <m/>
    <m/>
    <m/>
    <m/>
    <m/>
    <m/>
    <m/>
    <s v="TOTAL DE INICIATIVAS TERMINADAS"/>
    <n v="57000000"/>
    <n v="57000000"/>
    <n v="0"/>
    <n v="0"/>
    <n v="0"/>
    <n v="0"/>
    <n v="0"/>
    <n v="0"/>
    <n v="0"/>
    <n v="0"/>
    <n v="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LICITACION/ADJUDICACION"/>
    <m/>
    <m/>
    <m/>
    <m/>
    <m/>
    <m/>
    <m/>
    <m/>
    <m/>
    <m/>
    <m/>
    <m/>
    <m/>
    <x v="0"/>
  </r>
  <r>
    <n v="29"/>
    <s v="N"/>
    <s v="MULTISECTORIAL"/>
    <s v="CHILOE"/>
    <s v="QUELLON"/>
    <s v="LIBRE"/>
    <s v="EJECUCION"/>
    <n v="30375772"/>
    <s v="30375772-EJECUCION"/>
    <m/>
    <s v="30375772"/>
    <s v="ADQUISICION MAQUINARIA CAMION MULTIPROPOSITO DE EMERGENCIA MUNICIPAL(C33)"/>
    <n v="359065000"/>
    <n v="0"/>
    <n v="359065000"/>
    <n v="0"/>
    <n v="0"/>
    <n v="0"/>
    <n v="0"/>
    <n v="0"/>
    <n v="0"/>
    <n v="359065000"/>
    <n v="0"/>
    <s v="EN ADJUDICACION"/>
    <s v="RS*"/>
    <x v="2"/>
  </r>
  <r>
    <m/>
    <m/>
    <m/>
    <m/>
    <m/>
    <m/>
    <m/>
    <m/>
    <m/>
    <m/>
    <m/>
    <s v="TOTAL DE INICIATIVAS EN LICITACION/ADJUDICACION"/>
    <n v="359065000"/>
    <n v="0"/>
    <n v="359065000"/>
    <n v="0"/>
    <n v="0"/>
    <n v="0"/>
    <n v="0"/>
    <n v="0"/>
    <n v="0"/>
    <n v="359065000"/>
    <n v="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CONVENIO Y TRAMITE"/>
    <m/>
    <m/>
    <m/>
    <m/>
    <m/>
    <m/>
    <m/>
    <m/>
    <m/>
    <m/>
    <m/>
    <m/>
    <m/>
    <x v="0"/>
  </r>
  <r>
    <n v="31"/>
    <s v="P"/>
    <s v="EDUCACIÓN Y CULTURA"/>
    <s v="CHILOE"/>
    <s v="QUELLON"/>
    <s v="FAR"/>
    <s v="EJECUCION"/>
    <n v="30472589"/>
    <s v="30472589-EJECUCION"/>
    <m/>
    <s v="30472589"/>
    <s v="REPOSICION ESCUELA RURAL DE COINCO"/>
    <n v="2492785000"/>
    <n v="25770000"/>
    <n v="100000000"/>
    <n v="0"/>
    <n v="0"/>
    <n v="0"/>
    <n v="0"/>
    <n v="0"/>
    <n v="0"/>
    <n v="100000000"/>
    <n v="2367015000"/>
    <s v="EN LICITACION"/>
    <s v="RS"/>
    <x v="9"/>
  </r>
  <r>
    <n v="31"/>
    <s v="P"/>
    <s v="ENERGÍA"/>
    <s v="CHILOE"/>
    <s v="QUELLON"/>
    <s v="ENERGIZACION"/>
    <s v="EJECUCION"/>
    <n v="30118591"/>
    <s v="30118591-EJECUCION"/>
    <m/>
    <s v="30118591"/>
    <s v="HABILITACION SUMINISTRO ENERGIA ELECTRICA, SECTOR CURANUE SUR, QUELLON"/>
    <n v="237928000"/>
    <n v="0"/>
    <n v="237928000"/>
    <n v="0"/>
    <n v="0"/>
    <n v="0"/>
    <n v="0"/>
    <n v="0"/>
    <n v="0"/>
    <n v="237928000"/>
    <n v="0"/>
    <s v="TRAMITE CONVENIO"/>
    <s v="RS"/>
    <x v="2"/>
  </r>
  <r>
    <m/>
    <m/>
    <m/>
    <m/>
    <m/>
    <m/>
    <m/>
    <m/>
    <m/>
    <m/>
    <m/>
    <s v="TOTAL DE INICIATIVAS EN CONVENIO Y TRAMITE"/>
    <n v="2730713000"/>
    <n v="25770000"/>
    <n v="337928000"/>
    <n v="0"/>
    <n v="0"/>
    <n v="0"/>
    <n v="0"/>
    <n v="0"/>
    <n v="0"/>
    <n v="337928000"/>
    <n v="23670150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SIN MOVIMIENTO"/>
    <m/>
    <m/>
    <m/>
    <m/>
    <m/>
    <m/>
    <m/>
    <m/>
    <m/>
    <m/>
    <m/>
    <m/>
    <m/>
    <x v="0"/>
  </r>
  <r>
    <n v="31"/>
    <s v="N"/>
    <s v="EDUCACIÓN Y CULTURA"/>
    <s v="CHILOE"/>
    <s v="QUELLON"/>
    <s v="FIE"/>
    <s v="EJECUCION"/>
    <n v="30069919"/>
    <s v="30069919-EJECUCION"/>
    <m/>
    <s v="30069919"/>
    <s v="CONSTRUCCION GIMNASIO ESCUELA ORIENTE"/>
    <n v="1080359000"/>
    <n v="0"/>
    <n v="0"/>
    <n v="0"/>
    <n v="0"/>
    <n v="0"/>
    <n v="0"/>
    <n v="0"/>
    <n v="0"/>
    <n v="0"/>
    <n v="1080359000"/>
    <s v="ARI"/>
    <s v="OT"/>
    <x v="2"/>
  </r>
  <r>
    <n v="31"/>
    <s v="N"/>
    <s v="EDUCACIÓN Y CULTURA"/>
    <s v="CHILOE"/>
    <s v="QUELLON"/>
    <s v="FIE"/>
    <s v="EJECUCION"/>
    <n v="30135630"/>
    <s v="30135630-EJECUCION"/>
    <m/>
    <s v="30135630"/>
    <s v="REPOSICION ESCUELA RURAL DE COMPU, COMUNA DE QUELLON"/>
    <n v="1143510000"/>
    <n v="0"/>
    <n v="10000000"/>
    <n v="0"/>
    <n v="0"/>
    <n v="0"/>
    <n v="0"/>
    <n v="0"/>
    <n v="0"/>
    <n v="10000000"/>
    <n v="1133510000"/>
    <s v="ARI"/>
    <s v="OT"/>
    <x v="2"/>
  </r>
  <r>
    <n v="31"/>
    <s v="N"/>
    <s v="DEPORTE"/>
    <s v="CHILOE"/>
    <s v="QUELLON"/>
    <s v="LIBRE"/>
    <s v="EJECUCION"/>
    <n v="30125850"/>
    <s v="30125850-EJECUCION"/>
    <m/>
    <s v="30125850"/>
    <s v="CONSTRUCCION MULTICANCHA CERRADA FRANCISCO COLOANE COMUNA DE QUELLON"/>
    <n v="295030000"/>
    <n v="0"/>
    <n v="40000000"/>
    <n v="0"/>
    <n v="0"/>
    <n v="0"/>
    <n v="0"/>
    <n v="0"/>
    <n v="0"/>
    <n v="40000000"/>
    <n v="255030000"/>
    <s v="ARI"/>
    <s v="FI"/>
    <x v="2"/>
  </r>
  <r>
    <m/>
    <m/>
    <m/>
    <m/>
    <m/>
    <m/>
    <m/>
    <m/>
    <m/>
    <m/>
    <m/>
    <s v="TOTAL DE INICIATIVAS SIN MOVIMIENTO"/>
    <n v="2518899000"/>
    <n v="0"/>
    <n v="50000000"/>
    <n v="0"/>
    <n v="0"/>
    <n v="0"/>
    <n v="0"/>
    <n v="0"/>
    <n v="0"/>
    <n v="50000000"/>
    <n v="24688990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TOTAL COMUNA DE  QUELLON"/>
    <n v="6125727000"/>
    <n v="82770000"/>
    <n v="1207043000"/>
    <n v="0"/>
    <n v="82343181"/>
    <n v="109322152"/>
    <n v="191665333"/>
    <n v="103554276"/>
    <n v="295219609"/>
    <n v="911823391"/>
    <n v="48359140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COMUNA DE QUEILEN"/>
    <m/>
    <m/>
    <m/>
    <m/>
    <m/>
    <m/>
    <m/>
    <m/>
    <m/>
    <m/>
    <m/>
    <m/>
    <m/>
    <x v="0"/>
  </r>
  <r>
    <m/>
    <m/>
    <m/>
    <m/>
    <m/>
    <m/>
    <m/>
    <m/>
    <m/>
    <m/>
    <m/>
    <s v="INICIATIVAS EN EJECUCION"/>
    <m/>
    <m/>
    <m/>
    <m/>
    <m/>
    <m/>
    <m/>
    <m/>
    <m/>
    <m/>
    <m/>
    <m/>
    <m/>
    <x v="0"/>
  </r>
  <r>
    <n v="31"/>
    <s v="A"/>
    <s v="EDUCACIÓN Y CULTURA"/>
    <s v="CHILOE"/>
    <s v="QUEILEN"/>
    <s v="FIE"/>
    <s v="EJECUCION"/>
    <n v="30343540"/>
    <s v="30343540-EJECUCION"/>
    <m/>
    <s v="30343540"/>
    <s v="REPOSICION INTERNADO MIXTO LICEO POLIVALENTE DE QUEILEN"/>
    <n v="1125337000"/>
    <n v="196238450"/>
    <n v="900337000"/>
    <n v="52183058"/>
    <n v="72633349"/>
    <n v="121953178"/>
    <n v="246769585"/>
    <n v="81461674"/>
    <n v="328231259"/>
    <n v="572105741"/>
    <n v="28761550"/>
    <s v="EN EJECUCION"/>
    <s v="RS"/>
    <x v="8"/>
  </r>
  <r>
    <m/>
    <m/>
    <m/>
    <m/>
    <m/>
    <m/>
    <m/>
    <m/>
    <m/>
    <m/>
    <m/>
    <s v="TOTAL DE INICIATIVAS EN EJECUCION"/>
    <n v="1125337000"/>
    <n v="196238450"/>
    <n v="900337000"/>
    <n v="52183058"/>
    <n v="72633349"/>
    <n v="121953178"/>
    <n v="246769585"/>
    <n v="81461674"/>
    <n v="328231259"/>
    <n v="572105741"/>
    <n v="2876155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CONVENIO Y TRAMITE"/>
    <m/>
    <m/>
    <m/>
    <m/>
    <m/>
    <m/>
    <m/>
    <m/>
    <m/>
    <m/>
    <m/>
    <m/>
    <m/>
    <x v="0"/>
  </r>
  <r>
    <n v="31"/>
    <s v="N"/>
    <s v="ENERGÍA"/>
    <s v="CHILOE"/>
    <s v="QUEILEN"/>
    <s v="ENERGIZACION"/>
    <s v="EJECUCION"/>
    <n v="30388222"/>
    <s v="30388222-EJECUCION"/>
    <m/>
    <s v="30388222"/>
    <s v="HABILITACION SUMINISTRO ENERGIA ELECTRICA, SECTOR COLO COLO"/>
    <n v="103744000"/>
    <n v="0"/>
    <n v="103744000"/>
    <n v="0"/>
    <n v="0"/>
    <n v="0"/>
    <n v="0"/>
    <n v="0"/>
    <n v="0"/>
    <n v="103744000"/>
    <n v="0"/>
    <s v="TRAMITE CONVENIO"/>
    <s v="RS"/>
    <x v="2"/>
  </r>
  <r>
    <m/>
    <m/>
    <m/>
    <m/>
    <m/>
    <m/>
    <m/>
    <m/>
    <m/>
    <m/>
    <m/>
    <s v="TOTAL DE INICIATIVAS EN CONVENIO Y TRAMITE"/>
    <n v="103744000"/>
    <n v="0"/>
    <n v="103744000"/>
    <n v="0"/>
    <n v="0"/>
    <n v="0"/>
    <n v="0"/>
    <n v="0"/>
    <n v="0"/>
    <n v="103744000"/>
    <n v="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SIN MOVIMIENTO"/>
    <m/>
    <m/>
    <m/>
    <m/>
    <m/>
    <m/>
    <m/>
    <m/>
    <m/>
    <m/>
    <m/>
    <m/>
    <m/>
    <x v="0"/>
  </r>
  <r>
    <n v="31"/>
    <s v="N"/>
    <s v="DEPORTE"/>
    <s v="CHILOE"/>
    <s v="QUEILEN"/>
    <s v="LIBRE"/>
    <s v="DISEÑO"/>
    <n v="30135053"/>
    <s v="30135053-DISEÑO"/>
    <m/>
    <s v="30135053"/>
    <s v="CONSTRUCCION ESTADIO MUNICIPAL DE QUEILEN, COMUNA DE QUEILEN"/>
    <n v="74568000"/>
    <n v="0"/>
    <n v="10000000"/>
    <n v="0"/>
    <n v="0"/>
    <n v="0"/>
    <n v="0"/>
    <n v="0"/>
    <n v="0"/>
    <n v="10000000"/>
    <n v="64568000"/>
    <s v="ARI"/>
    <s v="SR"/>
    <x v="2"/>
  </r>
  <r>
    <n v="31"/>
    <s v="N"/>
    <s v="SALUD"/>
    <s v="CHILOE"/>
    <s v="QUEILEN"/>
    <s v="LIBRE"/>
    <s v="EJECUCION"/>
    <n v="30078798"/>
    <s v="30078798-EJECUCION"/>
    <s v="30078798-FNDR"/>
    <s v="30078798"/>
    <s v="REPOSICION POSTA DE SALUD RURAL DE PIO PIO, COMUNA DE QUEILEN"/>
    <n v="450505000"/>
    <n v="0"/>
    <n v="30000000"/>
    <n v="0"/>
    <n v="0"/>
    <n v="0"/>
    <n v="0"/>
    <n v="0"/>
    <n v="0"/>
    <n v="30000000"/>
    <n v="420505000"/>
    <s v="ARI"/>
    <s v="FI"/>
    <x v="2"/>
  </r>
  <r>
    <n v="31"/>
    <s v="N"/>
    <s v="DEPORTE"/>
    <s v="CHILOE"/>
    <s v="QUEILEN"/>
    <s v="LIBRE"/>
    <s v="EJECUCION"/>
    <n v="30480757"/>
    <s v="30480757-EJECUCION"/>
    <m/>
    <s v="30480757"/>
    <s v="CONSERVACION COMPLEJO DEPORTIVO COMUNA DE QUEILEN(C33)"/>
    <n v="314000000"/>
    <n v="0"/>
    <n v="30000000"/>
    <n v="0"/>
    <n v="0"/>
    <n v="0"/>
    <n v="0"/>
    <n v="0"/>
    <n v="0"/>
    <n v="30000000"/>
    <n v="284000000"/>
    <s v="ARI"/>
    <s v="SR*"/>
    <x v="2"/>
  </r>
  <r>
    <n v="31"/>
    <s v="N"/>
    <s v="ENERGÍA"/>
    <s v="CHILOE"/>
    <s v="QUEILEN"/>
    <s v="LIBRE"/>
    <s v="EJECUCION"/>
    <n v="40001184"/>
    <s v="40001184-EJECUCION"/>
    <m/>
    <s v="40001184"/>
    <s v="HABILITACION SUMINISTRO ENERGIA ELECTRICA, CAMINO EL ROBLE DE DETICO"/>
    <n v="109664000"/>
    <n v="0"/>
    <n v="20000000"/>
    <n v="0"/>
    <n v="0"/>
    <n v="0"/>
    <n v="0"/>
    <n v="0"/>
    <n v="0"/>
    <n v="20000000"/>
    <n v="89664000"/>
    <s v="SOLICITUD CAMBIO"/>
    <s v="OT"/>
    <x v="2"/>
  </r>
  <r>
    <n v="31"/>
    <s v="N"/>
    <s v="ENERGÍA"/>
    <s v="CHILOE"/>
    <s v="QUEILEN"/>
    <s v="LIBRE"/>
    <s v="EJECUCION"/>
    <n v="40002388"/>
    <s v="40002388-EJECUCION"/>
    <m/>
    <s v="40002388"/>
    <s v="HABILITACION SUMINISTRO ENERGIA ELECTRICA, AGONI ALTO, QUEILEN"/>
    <n v="160100000"/>
    <n v="0"/>
    <n v="20000000"/>
    <n v="0"/>
    <n v="0"/>
    <n v="0"/>
    <n v="0"/>
    <n v="0"/>
    <n v="0"/>
    <n v="20000000"/>
    <n v="140100000"/>
    <s v="SOLICITUD CAMBIO"/>
    <s v="SR"/>
    <x v="2"/>
  </r>
  <r>
    <n v="31"/>
    <s v="N"/>
    <s v="DEPORTE"/>
    <s v="CHILOE"/>
    <s v="QUEILEN"/>
    <s v="LIBRE"/>
    <s v="EJECUCION"/>
    <n v="40002386"/>
    <s v="40002386-EJECUCION"/>
    <m/>
    <s v="40002386"/>
    <s v="MEJORAMIENTO INTEGRAL ESTADIO MUNICIPAL DE QUEILEN"/>
    <n v="438741000"/>
    <n v="0"/>
    <n v="20000000"/>
    <n v="0"/>
    <n v="0"/>
    <n v="0"/>
    <n v="0"/>
    <n v="0"/>
    <n v="0"/>
    <n v="20000000"/>
    <n v="418741000"/>
    <s v="SOLICITUD CAMBIO"/>
    <s v="SR"/>
    <x v="2"/>
  </r>
  <r>
    <m/>
    <m/>
    <m/>
    <m/>
    <m/>
    <m/>
    <m/>
    <m/>
    <m/>
    <m/>
    <m/>
    <s v="TOTAL DE INICIATIVAS SIN MOVIMIENTO"/>
    <n v="1547578000"/>
    <n v="0"/>
    <n v="130000000"/>
    <n v="0"/>
    <n v="0"/>
    <n v="0"/>
    <n v="0"/>
    <n v="0"/>
    <n v="0"/>
    <n v="130000000"/>
    <n v="14175780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TOTAL COMUNA DE  QUEILEN"/>
    <n v="2776659000"/>
    <n v="196238450"/>
    <n v="1134081000"/>
    <n v="52183058"/>
    <n v="72633349"/>
    <n v="121953178"/>
    <n v="246769585"/>
    <n v="81461674"/>
    <n v="328231259"/>
    <n v="805849741"/>
    <n v="144633955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COMUNA DE QUEMCHI"/>
    <m/>
    <m/>
    <m/>
    <m/>
    <m/>
    <m/>
    <m/>
    <m/>
    <m/>
    <m/>
    <m/>
    <m/>
    <m/>
    <x v="0"/>
  </r>
  <r>
    <m/>
    <m/>
    <m/>
    <m/>
    <m/>
    <m/>
    <m/>
    <m/>
    <m/>
    <m/>
    <m/>
    <s v="INICIATIVAS EN EJECUCION"/>
    <m/>
    <m/>
    <m/>
    <m/>
    <m/>
    <m/>
    <m/>
    <m/>
    <m/>
    <m/>
    <m/>
    <m/>
    <m/>
    <x v="0"/>
  </r>
  <r>
    <n v="31"/>
    <s v="A"/>
    <s v="DEPORTE"/>
    <s v="CHILOE"/>
    <s v="QUEMCHI"/>
    <s v="FAR"/>
    <s v="EJECUCION"/>
    <n v="30133125"/>
    <s v="30133125-EJECUCION"/>
    <m/>
    <s v="30133125"/>
    <s v="CONSTRUCCION ESTADIO MUNICIPAL DE QUEMCHI"/>
    <n v="1500000000"/>
    <n v="1224005772"/>
    <n v="250000000"/>
    <n v="0"/>
    <n v="0"/>
    <n v="0"/>
    <n v="0"/>
    <n v="0"/>
    <n v="0"/>
    <n v="250000000"/>
    <n v="25994228"/>
    <s v="EN EJECUCION"/>
    <s v="RS"/>
    <x v="8"/>
  </r>
  <r>
    <n v="31"/>
    <s v="P"/>
    <s v="EDUCACIÓN Y CULTURA"/>
    <s v="CHILOE"/>
    <s v="QUEMCHI"/>
    <s v="FIE"/>
    <s v="EJECUCION"/>
    <n v="30185572"/>
    <s v="30185572-EJECUCION"/>
    <m/>
    <s v="30185572"/>
    <s v="REPOSICION ESCUELA BASICA LLIUCO "/>
    <n v="2375649000"/>
    <n v="0"/>
    <n v="356000000"/>
    <n v="0"/>
    <n v="0"/>
    <n v="165892765"/>
    <n v="165892765"/>
    <n v="78595013"/>
    <n v="244487778"/>
    <n v="111512222"/>
    <n v="2019649000"/>
    <s v="EN EJECUCION"/>
    <s v="RS"/>
    <x v="9"/>
  </r>
  <r>
    <m/>
    <m/>
    <m/>
    <m/>
    <m/>
    <m/>
    <m/>
    <m/>
    <m/>
    <m/>
    <m/>
    <s v="TOTAL DE INICIATIVAS EN EJECUCION"/>
    <n v="3875649000"/>
    <n v="1224005772"/>
    <n v="606000000"/>
    <n v="0"/>
    <n v="0"/>
    <n v="165892765"/>
    <n v="165892765"/>
    <n v="78595013"/>
    <n v="244487778"/>
    <n v="361512222"/>
    <n v="2045643228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TERMINADAS"/>
    <m/>
    <m/>
    <m/>
    <m/>
    <m/>
    <m/>
    <m/>
    <m/>
    <m/>
    <m/>
    <m/>
    <m/>
    <m/>
    <x v="0"/>
  </r>
  <r>
    <n v="31"/>
    <s v="A"/>
    <s v="SALUD"/>
    <s v="CHILOE"/>
    <s v="QUEMCHI"/>
    <s v="LIBRE"/>
    <s v="EJECUCION"/>
    <n v="30083106"/>
    <s v="30083106-EJECUCION"/>
    <m/>
    <s v="30083106"/>
    <s v="REPOSICION CENTRO DE SALUD DE QUEMCHI"/>
    <n v="2551974126"/>
    <n v="2551974126"/>
    <n v="0"/>
    <n v="0"/>
    <n v="0"/>
    <n v="0"/>
    <n v="0"/>
    <n v="0"/>
    <n v="0"/>
    <n v="0"/>
    <n v="0"/>
    <s v="TERMINADO"/>
    <s v="RS"/>
    <x v="9"/>
  </r>
  <r>
    <n v="24"/>
    <s v="A"/>
    <s v="ENERGÍA"/>
    <s v="CHILOE"/>
    <s v="QUEMCHI"/>
    <s v="ENERGIZACION"/>
    <s v="EJECUCION"/>
    <n v="30137258"/>
    <s v="30137258-EJECUCION"/>
    <m/>
    <s v="30137258"/>
    <s v="SUBSIDIO A LA OPERACION SISTEMA DE AUTOGENERACION ISLA DE QUEMCHI"/>
    <n v="594572327"/>
    <n v="288493398"/>
    <n v="306078929"/>
    <n v="0"/>
    <n v="0"/>
    <n v="0"/>
    <n v="0"/>
    <n v="306078929"/>
    <n v="306078929"/>
    <n v="0"/>
    <n v="0"/>
    <s v="TERMINADO"/>
    <s v="RS***"/>
    <x v="4"/>
  </r>
  <r>
    <n v="31"/>
    <s v="P"/>
    <s v="ENERGÍA"/>
    <s v="CHILOE"/>
    <s v="QUEMCHI"/>
    <s v="ENERGIZACION"/>
    <s v="EJECUCION"/>
    <n v="30288528"/>
    <s v="30288528-EJECUCION"/>
    <m/>
    <s v="30288528"/>
    <s v="HABILITACION Y MEJORAMIENTO SUMINISTRO ENERGIA ELECTRICA, TUBILDAD MONTAÑA"/>
    <n v="104688000"/>
    <n v="104688000"/>
    <n v="0"/>
    <n v="0"/>
    <n v="0"/>
    <n v="0"/>
    <n v="0"/>
    <n v="0"/>
    <n v="0"/>
    <n v="0"/>
    <n v="0"/>
    <s v="TERMINADO"/>
    <s v="RS"/>
    <x v="2"/>
  </r>
  <r>
    <m/>
    <m/>
    <m/>
    <m/>
    <m/>
    <m/>
    <m/>
    <m/>
    <m/>
    <m/>
    <m/>
    <s v="TOTAL DE INICIATIVAS TERMINADAS"/>
    <n v="3251234453"/>
    <n v="2945155524"/>
    <n v="306078929"/>
    <n v="0"/>
    <n v="0"/>
    <n v="0"/>
    <n v="0"/>
    <n v="306078929"/>
    <n v="306078929"/>
    <n v="0"/>
    <n v="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LICITACION/ADJUDICACION"/>
    <m/>
    <m/>
    <m/>
    <m/>
    <m/>
    <m/>
    <m/>
    <m/>
    <m/>
    <m/>
    <m/>
    <m/>
    <m/>
    <x v="0"/>
  </r>
  <r>
    <n v="31"/>
    <s v="P"/>
    <s v="TRANSPORTE"/>
    <s v="CHILOE"/>
    <s v="QUEMCHI"/>
    <s v="FAR"/>
    <s v="EJECUCION"/>
    <n v="30430173"/>
    <s v="30430173-EJECUCION"/>
    <m/>
    <s v="30430173"/>
    <s v="CONSERVACION CAMINOS ISLA BUTACHAUQUES (C33)"/>
    <n v="547411000"/>
    <n v="0"/>
    <n v="54741100"/>
    <n v="0"/>
    <n v="0"/>
    <n v="0"/>
    <n v="0"/>
    <n v="0"/>
    <n v="0"/>
    <n v="54741100"/>
    <n v="492669900"/>
    <s v="EN LICITACION"/>
    <s v="RS*"/>
    <x v="8"/>
  </r>
  <r>
    <m/>
    <m/>
    <m/>
    <m/>
    <m/>
    <m/>
    <m/>
    <m/>
    <m/>
    <m/>
    <m/>
    <s v="TOTAL DE INICIATIVAS EN LICITACION/ADJUDICACION"/>
    <n v="547411000"/>
    <n v="0"/>
    <n v="54741100"/>
    <n v="0"/>
    <n v="0"/>
    <n v="0"/>
    <n v="0"/>
    <n v="0"/>
    <n v="0"/>
    <n v="54741100"/>
    <n v="4926699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CONVENIO Y TRAMITE"/>
    <m/>
    <m/>
    <m/>
    <m/>
    <m/>
    <m/>
    <m/>
    <m/>
    <m/>
    <m/>
    <m/>
    <m/>
    <m/>
    <x v="0"/>
  </r>
  <r>
    <n v="33"/>
    <s v="P"/>
    <s v="AGUA POTABLE Y ALCANTARILLADO"/>
    <s v="CHILOE"/>
    <s v="QUEMCHI"/>
    <s v="SS"/>
    <s v="EJECUCION"/>
    <n v="30101055"/>
    <s v="30101055-EJECUCION"/>
    <m/>
    <s v="30101055"/>
    <s v="CONSTRUCCION INFRAESTRUCTURA  AGUA POTABLE Y ALCANTARILLADO"/>
    <n v="5352777000"/>
    <n v="0"/>
    <n v="1002438109"/>
    <n v="0"/>
    <n v="0"/>
    <n v="0"/>
    <n v="0"/>
    <n v="0"/>
    <n v="0"/>
    <n v="1002438109"/>
    <n v="4350338891"/>
    <s v="CON CONVENIO"/>
    <s v="RS"/>
    <x v="9"/>
  </r>
  <r>
    <n v="31"/>
    <s v="P"/>
    <s v="TRANSPORTE"/>
    <s v="CHILOE"/>
    <s v="QUEMCHI"/>
    <s v="FAR"/>
    <s v="EJECUCION"/>
    <n v="30396026"/>
    <s v="30396026-EJECUCION"/>
    <m/>
    <s v="30396026"/>
    <s v="CONSERVACION CAMINOS RURALES SECTOR SUR (C33)"/>
    <n v="532121000"/>
    <n v="0"/>
    <n v="40000000"/>
    <n v="0"/>
    <n v="0"/>
    <n v="0"/>
    <n v="0"/>
    <n v="0"/>
    <n v="0"/>
    <n v="40000000"/>
    <n v="492121000"/>
    <s v="EN LICITACION"/>
    <s v="RS*"/>
    <x v="2"/>
  </r>
  <r>
    <n v="31"/>
    <s v="N"/>
    <s v="ENERGÍA"/>
    <s v="CHILOE"/>
    <s v="QUEMCHI"/>
    <s v="LIBRE"/>
    <s v="EJECUCION"/>
    <n v="30486081"/>
    <s v="30486081-EJECUCION"/>
    <m/>
    <s v="30486081"/>
    <s v="HABILITACION Y MEJORAMIENTO SUMINISTRO ELECTRICO, SECTOR AUCHO ALTO TUBILDAD"/>
    <n v="128907000"/>
    <n v="0"/>
    <n v="30000000"/>
    <n v="0"/>
    <n v="0"/>
    <n v="0"/>
    <n v="0"/>
    <n v="0"/>
    <n v="0"/>
    <n v="30000000"/>
    <n v="98907000"/>
    <s v="TRAMITE CONVENIO"/>
    <s v="RS"/>
    <x v="2"/>
  </r>
  <r>
    <m/>
    <m/>
    <m/>
    <m/>
    <m/>
    <m/>
    <m/>
    <m/>
    <m/>
    <m/>
    <m/>
    <s v="TOTAL DE INICIATIVAS EN CONVENIO Y TRAMITE"/>
    <n v="6013805000"/>
    <n v="0"/>
    <n v="1072438109"/>
    <n v="0"/>
    <n v="0"/>
    <n v="0"/>
    <n v="0"/>
    <n v="0"/>
    <n v="0"/>
    <n v="1072438109"/>
    <n v="4941366891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SIN MOVIMIENTO"/>
    <m/>
    <m/>
    <m/>
    <m/>
    <m/>
    <m/>
    <m/>
    <m/>
    <m/>
    <m/>
    <m/>
    <m/>
    <m/>
    <x v="0"/>
  </r>
  <r>
    <n v="29"/>
    <s v="N"/>
    <s v="TRANSPORTE"/>
    <s v="CHILOE"/>
    <s v="QUEMCHI"/>
    <s v="FAR"/>
    <s v="EJECUCION"/>
    <n v="30486106"/>
    <s v="30486106-EJECUCION"/>
    <m/>
    <s v="30486106"/>
    <s v="ADQUISICION MAQUINARIA VIAL COMUNA DE QUEMCHI(C33)"/>
    <n v="250000000"/>
    <n v="0"/>
    <n v="30000000"/>
    <n v="0"/>
    <n v="0"/>
    <n v="0"/>
    <n v="0"/>
    <n v="0"/>
    <n v="0"/>
    <n v="30000000"/>
    <n v="220000000"/>
    <s v="ARI"/>
    <s v="SR*"/>
    <x v="2"/>
  </r>
  <r>
    <n v="31"/>
    <s v="N"/>
    <s v="SALUD"/>
    <s v="CHILOE"/>
    <s v="QUEMCHI"/>
    <s v="LIBRE"/>
    <s v="EJECUCION"/>
    <n v="30071585"/>
    <s v="30071585-EJECUCION"/>
    <s v="30071585-FNDR"/>
    <s v="30071585"/>
    <s v="REPOSICION POSTA DE SALUD ISLA TAC"/>
    <n v="470000000"/>
    <n v="0"/>
    <n v="40000000"/>
    <n v="0"/>
    <n v="0"/>
    <n v="0"/>
    <n v="0"/>
    <n v="0"/>
    <n v="0"/>
    <n v="40000000"/>
    <n v="430000000"/>
    <s v="ARI"/>
    <s v="SR"/>
    <x v="2"/>
  </r>
  <r>
    <m/>
    <m/>
    <m/>
    <m/>
    <m/>
    <m/>
    <m/>
    <m/>
    <m/>
    <m/>
    <m/>
    <s v="TOTAL DE INICIATIVAS SIN MOVIMIENTO"/>
    <n v="720000000"/>
    <n v="0"/>
    <n v="70000000"/>
    <n v="0"/>
    <n v="0"/>
    <n v="0"/>
    <n v="0"/>
    <n v="0"/>
    <n v="0"/>
    <n v="70000000"/>
    <n v="6500000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TOTAL COMUNA DE  QUEMCHI"/>
    <n v="14408099453"/>
    <n v="4169161296"/>
    <n v="2109258138"/>
    <n v="0"/>
    <n v="0"/>
    <n v="165892765"/>
    <n v="165892765"/>
    <n v="384673942"/>
    <n v="550566707"/>
    <n v="1558691431"/>
    <n v="8129680019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COMUNA DE QUINCHAO"/>
    <m/>
    <m/>
    <m/>
    <m/>
    <m/>
    <m/>
    <m/>
    <m/>
    <m/>
    <m/>
    <m/>
    <m/>
    <m/>
    <x v="0"/>
  </r>
  <r>
    <m/>
    <m/>
    <m/>
    <m/>
    <m/>
    <m/>
    <m/>
    <m/>
    <m/>
    <m/>
    <m/>
    <s v="INICIATIVAS EN EJECUCION"/>
    <m/>
    <m/>
    <m/>
    <m/>
    <m/>
    <m/>
    <m/>
    <m/>
    <m/>
    <m/>
    <m/>
    <m/>
    <m/>
    <x v="0"/>
  </r>
  <r>
    <n v="31"/>
    <s v="A"/>
    <s v="EDUCACIÓN Y CULTURA"/>
    <s v="CHILOE"/>
    <s v="QUINCHAO"/>
    <s v="FIE"/>
    <s v="EJECUCION"/>
    <n v="30086022"/>
    <s v="30086022-EJECUCION"/>
    <m/>
    <s v="30086022"/>
    <s v="REPOSICION ESCUELA RURAL ISLA LLINGUA"/>
    <n v="970937668"/>
    <n v="705728275"/>
    <n v="150000000"/>
    <n v="0"/>
    <n v="0"/>
    <n v="0"/>
    <n v="0"/>
    <n v="131895526"/>
    <n v="131895526"/>
    <n v="18104474"/>
    <n v="115209393"/>
    <s v="EN EJECUCION"/>
    <s v="RS"/>
    <x v="8"/>
  </r>
  <r>
    <n v="31"/>
    <s v="A"/>
    <s v="EDUCACIÓN Y CULTURA"/>
    <s v="CHILOE"/>
    <s v="QUINCHAO"/>
    <s v="FAR"/>
    <s v="DISEÑO"/>
    <n v="30115878"/>
    <s v="30115878-DISEÑO"/>
    <m/>
    <s v="30115878"/>
    <s v="CONSTRUCCION CENTRO CULTURAL DE ACHAO"/>
    <n v="83217000"/>
    <n v="39584450"/>
    <n v="43632550"/>
    <n v="0"/>
    <n v="0"/>
    <n v="0"/>
    <n v="0"/>
    <n v="0"/>
    <n v="0"/>
    <n v="43632550"/>
    <n v="0"/>
    <s v="EN EJECUCION"/>
    <s v="RS"/>
    <x v="2"/>
  </r>
  <r>
    <n v="31"/>
    <s v="P"/>
    <s v="EDUCACIÓN Y CULTURA"/>
    <s v="CHILOE"/>
    <s v="QUINCHAO"/>
    <s v="FIE"/>
    <s v="EJECUCION"/>
    <n v="30086050"/>
    <s v="30086050-EJECUCION"/>
    <m/>
    <s v="30086050"/>
    <s v="REPOSICION ESCUELA  LA CAPILLA ISLA CAGUACH"/>
    <n v="1243704836"/>
    <n v="31767516"/>
    <n v="459028683"/>
    <n v="0"/>
    <n v="188912857"/>
    <n v="150491426"/>
    <n v="339404283"/>
    <n v="0"/>
    <n v="339404283"/>
    <n v="119624400"/>
    <n v="752908637"/>
    <s v="EN EJECUCION"/>
    <s v="RS"/>
    <x v="9"/>
  </r>
  <r>
    <n v="31"/>
    <s v="A"/>
    <s v="EDUCACIÓN Y CULTURA"/>
    <s v="CHILOE"/>
    <s v="QUINCHAO"/>
    <s v="FIE"/>
    <s v="EJECUCION"/>
    <n v="30073551"/>
    <s v="30073551-EJECUCION"/>
    <m/>
    <s v="30073551"/>
    <s v="REPOSICION INTERNADOS MASCULINO FEMENINO"/>
    <n v="3719850000"/>
    <n v="2944905601"/>
    <n v="526312865"/>
    <n v="0"/>
    <n v="0"/>
    <n v="0"/>
    <n v="0"/>
    <n v="0"/>
    <n v="0"/>
    <n v="526312865"/>
    <n v="248631534"/>
    <s v="EN EJECUCION"/>
    <s v="RS"/>
    <x v="8"/>
  </r>
  <r>
    <m/>
    <m/>
    <m/>
    <m/>
    <m/>
    <m/>
    <m/>
    <m/>
    <m/>
    <m/>
    <m/>
    <s v="TOTAL DE INICIATIVAS EN EJECUCION"/>
    <n v="6017709504"/>
    <n v="3721985842"/>
    <n v="1178974098"/>
    <n v="0"/>
    <n v="188912857"/>
    <n v="150491426"/>
    <n v="339404283"/>
    <n v="131895526"/>
    <n v="471299809"/>
    <n v="707674289"/>
    <n v="1116749564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CONVENIO Y TRAMITE"/>
    <m/>
    <m/>
    <m/>
    <m/>
    <m/>
    <m/>
    <m/>
    <m/>
    <m/>
    <m/>
    <m/>
    <m/>
    <m/>
    <x v="0"/>
  </r>
  <r>
    <n v="29"/>
    <s v="N"/>
    <s v="VIVIENDA"/>
    <s v="CHILOE"/>
    <s v="QUINCHAO"/>
    <s v="LIBRE"/>
    <s v="EJECUCION"/>
    <n v="30484729"/>
    <s v="30484729-EJECUCION"/>
    <m/>
    <s v="30484729"/>
    <s v="REPOSICION MAQUINARIA PARA CONSERVACION DE CAMINOS RURALES(C33)"/>
    <n v="135018000"/>
    <n v="0"/>
    <n v="30000000"/>
    <n v="0"/>
    <n v="0"/>
    <n v="0"/>
    <n v="0"/>
    <n v="0"/>
    <n v="0"/>
    <n v="30000000"/>
    <n v="105018000"/>
    <s v="CON CONVENIO"/>
    <s v="RS*"/>
    <x v="2"/>
  </r>
  <r>
    <m/>
    <m/>
    <m/>
    <m/>
    <m/>
    <m/>
    <m/>
    <m/>
    <m/>
    <m/>
    <m/>
    <s v="TOTAL DE INICIATIVAS EN CONVENIO Y TRAMITE"/>
    <n v="135018000"/>
    <n v="0"/>
    <n v="30000000"/>
    <n v="0"/>
    <n v="0"/>
    <n v="0"/>
    <n v="0"/>
    <n v="0"/>
    <n v="0"/>
    <n v="30000000"/>
    <n v="1050180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SIN MOVIMIENTO"/>
    <m/>
    <m/>
    <m/>
    <m/>
    <m/>
    <m/>
    <m/>
    <m/>
    <m/>
    <m/>
    <m/>
    <m/>
    <m/>
    <x v="0"/>
  </r>
  <r>
    <n v="29"/>
    <s v="N"/>
    <s v="MULTISECTORIAL"/>
    <s v="CHILOE"/>
    <s v="QUINCHAO"/>
    <s v="LIBRE"/>
    <s v="EJECUCION"/>
    <n v="30484726"/>
    <s v="30484726-EJECUCION"/>
    <m/>
    <s v="30484726"/>
    <s v="ADQUISICION CAMION RECOLECTOR DE BASURA COMUNA DE QUINCHAO(C33)"/>
    <n v="111432000"/>
    <n v="0"/>
    <n v="24028874"/>
    <n v="0"/>
    <n v="0"/>
    <n v="0"/>
    <n v="0"/>
    <n v="0"/>
    <n v="0"/>
    <n v="24028874"/>
    <n v="87403126"/>
    <s v="OBSERVADO"/>
    <s v="SR*"/>
    <x v="2"/>
  </r>
  <r>
    <n v="31"/>
    <s v="N"/>
    <s v="EDUCACIÓN Y CULTURA"/>
    <s v="CHILOE"/>
    <s v="QUINCHAO"/>
    <s v="LIBRE"/>
    <s v="DISEÑO"/>
    <n v="30115881"/>
    <s v="30115881-DISEÑO"/>
    <m/>
    <s v="30115881"/>
    <s v="REPOSICION ESCUELA RURAL DE ISLA ALAO"/>
    <n v="53858000"/>
    <n v="0"/>
    <n v="5000000"/>
    <n v="0"/>
    <n v="0"/>
    <n v="0"/>
    <n v="0"/>
    <n v="0"/>
    <n v="0"/>
    <n v="5000000"/>
    <n v="48858000"/>
    <s v="ARI"/>
    <s v="SR"/>
    <x v="2"/>
  </r>
  <r>
    <n v="31"/>
    <s v="N"/>
    <s v="SALUD"/>
    <s v="CHILOE"/>
    <s v="QUINCHAO"/>
    <s v="LIBRE"/>
    <s v="DISEÑO"/>
    <n v="30103375"/>
    <s v="30103375-DISEÑO"/>
    <s v="30103375-FNDR"/>
    <s v="30103375"/>
    <s v="REPOSICION POSTA DE SALUD RURAL DE ISLA LLINGUA"/>
    <n v="30001000"/>
    <n v="0"/>
    <n v="5000000"/>
    <n v="0"/>
    <n v="0"/>
    <n v="0"/>
    <n v="0"/>
    <n v="0"/>
    <n v="0"/>
    <n v="5000000"/>
    <n v="25001000"/>
    <s v="ARI"/>
    <s v="SR"/>
    <x v="2"/>
  </r>
  <r>
    <n v="31"/>
    <s v="N"/>
    <s v="DEPORTE"/>
    <s v="CHILOE"/>
    <s v="QUINCHAO"/>
    <s v="LIBRE"/>
    <s v="DISEÑO"/>
    <n v="40001639"/>
    <s v="40001639-DISEÑO"/>
    <m/>
    <s v="40001639"/>
    <s v="CONSTRUCCION CANCHA SINTETICA ACHAO, COMUNA DE QUINCHAO"/>
    <n v="80000000"/>
    <n v="0"/>
    <n v="8000000"/>
    <n v="0"/>
    <n v="0"/>
    <n v="0"/>
    <n v="0"/>
    <n v="0"/>
    <n v="0"/>
    <n v="8000000"/>
    <n v="72000000"/>
    <s v="SOLICITUD"/>
    <s v="SR"/>
    <x v="2"/>
  </r>
  <r>
    <m/>
    <m/>
    <m/>
    <m/>
    <m/>
    <m/>
    <m/>
    <m/>
    <m/>
    <m/>
    <m/>
    <s v="TOTAL DE INICIATIVAS SIN MOVIMIENTO"/>
    <n v="275291000"/>
    <n v="0"/>
    <n v="42028874"/>
    <n v="0"/>
    <n v="0"/>
    <n v="0"/>
    <n v="0"/>
    <n v="0"/>
    <n v="0"/>
    <n v="42028874"/>
    <n v="233262126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TOTAL COMUNA DE  QUINCHAO"/>
    <n v="6428018504"/>
    <n v="3721985842"/>
    <n v="1251002972"/>
    <n v="0"/>
    <n v="188912857"/>
    <n v="150491426"/>
    <n v="339404283"/>
    <n v="131895526"/>
    <n v="471299809"/>
    <n v="779703163"/>
    <n v="145502969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PROVINCIALES"/>
    <m/>
    <m/>
    <m/>
    <m/>
    <m/>
    <m/>
    <m/>
    <m/>
    <m/>
    <m/>
    <m/>
    <m/>
    <m/>
    <x v="0"/>
  </r>
  <r>
    <m/>
    <m/>
    <m/>
    <m/>
    <m/>
    <m/>
    <m/>
    <m/>
    <m/>
    <m/>
    <m/>
    <s v="INICIATIVAS EN EJECUCION"/>
    <m/>
    <m/>
    <m/>
    <m/>
    <m/>
    <m/>
    <m/>
    <m/>
    <m/>
    <m/>
    <m/>
    <m/>
    <m/>
    <x v="0"/>
  </r>
  <r>
    <n v="31"/>
    <s v="A"/>
    <s v="ENERGÍA"/>
    <s v="CHILOE"/>
    <s v="PROV. CHILOE"/>
    <s v="ENERGIZACION"/>
    <s v="EJECUCION"/>
    <n v="30310525"/>
    <s v="30310525-EJECUCION"/>
    <m/>
    <s v="30310525"/>
    <s v="NORMALIZACION ELECTRICA 11 ISLAS DEL ARCHIPIELAGO DE CHILOE"/>
    <n v="9803852000"/>
    <n v="8000000000"/>
    <n v="4803852000"/>
    <n v="0"/>
    <n v="0"/>
    <n v="977663148"/>
    <n v="977663148"/>
    <n v="0"/>
    <n v="977663148"/>
    <n v="3826188852"/>
    <n v="-3000000000"/>
    <s v="EN EJECUCION"/>
    <s v="RS"/>
    <x v="2"/>
  </r>
  <r>
    <n v="31"/>
    <s v="A"/>
    <s v="DEPORTE"/>
    <s v="CHILOE"/>
    <s v="PROV. CHILOE"/>
    <s v="LIBRE"/>
    <s v="EJECUCION"/>
    <n v="30381175"/>
    <s v="30381175-EJECUCION"/>
    <m/>
    <s v="30381175"/>
    <s v="CONSTRUCCION COMPLEJO DEPORTIVO CANCHA RAYADA"/>
    <n v="1528367000"/>
    <n v="14300000"/>
    <n v="1271691478"/>
    <n v="0"/>
    <n v="0"/>
    <n v="0"/>
    <n v="0"/>
    <n v="0"/>
    <n v="0"/>
    <n v="1271691478"/>
    <n v="242375522"/>
    <s v="EN EJECUCION"/>
    <s v="RS"/>
    <x v="8"/>
  </r>
  <r>
    <n v="31"/>
    <s v="A"/>
    <s v="SALUD"/>
    <s v="CHILOE"/>
    <s v="PROV. CHILOE"/>
    <s v="LIBRE"/>
    <s v="PREFACTIBILIDAD"/>
    <n v="30098600"/>
    <s v="30098600-PREFACTIBILIDAD"/>
    <s v="30098600-SECT"/>
    <s v="30098600"/>
    <s v="MEJORAMIENTO Y AMPLIACION HOSPITAL DE CASTRO (INFRA)"/>
    <n v="185787113"/>
    <n v="92264183"/>
    <n v="93522930"/>
    <n v="0"/>
    <n v="0"/>
    <n v="15760000"/>
    <n v="15760000"/>
    <n v="0"/>
    <n v="15760000"/>
    <n v="77762930"/>
    <n v="0"/>
    <s v="EN EJECUCION"/>
    <s v="RS"/>
    <x v="2"/>
  </r>
  <r>
    <n v="33"/>
    <s v="P"/>
    <s v="MULTISECTORIAL"/>
    <s v="CHILOE"/>
    <s v="PROV. CHILOE"/>
    <s v="FRIL"/>
    <s v="EJECUCION"/>
    <s v="S/C"/>
    <s v="S/C-EJECUCION"/>
    <m/>
    <s v="S/C"/>
    <s v="FONDO  REGIONAL DE INICIATIVA LOCAL"/>
    <n v="1381816800"/>
    <n v="0"/>
    <n v="1381816800"/>
    <n v="0"/>
    <n v="195672093"/>
    <n v="375747719"/>
    <n v="571419812"/>
    <n v="477867570"/>
    <n v="1049287382"/>
    <n v="332529418"/>
    <n v="0"/>
    <s v="EN EJECUCION"/>
    <s v="RS**"/>
    <x v="2"/>
  </r>
  <r>
    <m/>
    <m/>
    <m/>
    <m/>
    <m/>
    <m/>
    <m/>
    <m/>
    <m/>
    <m/>
    <m/>
    <s v="TOTAL DE INICIATIVAS EN EJECUCION"/>
    <n v="12899822913"/>
    <n v="8106564183"/>
    <n v="7550883208"/>
    <n v="0"/>
    <n v="195672093"/>
    <n v="1369170867"/>
    <n v="1564842960"/>
    <n v="477867570"/>
    <n v="2042710530"/>
    <n v="5508172678"/>
    <n v="-2757624478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CONVENIO Y TRAMITE"/>
    <m/>
    <m/>
    <m/>
    <m/>
    <m/>
    <m/>
    <m/>
    <m/>
    <m/>
    <m/>
    <m/>
    <m/>
    <m/>
    <x v="0"/>
  </r>
  <r>
    <n v="31"/>
    <s v="P"/>
    <s v="EDUCACIÓN Y CULTURA"/>
    <s v="CHILOE"/>
    <s v="PROV. CHILOE"/>
    <s v="LIBRE"/>
    <s v="EJECUCION"/>
    <n v="30135059"/>
    <s v="30135059-EJECUCION"/>
    <m/>
    <s v="30135059"/>
    <s v="CONSTRUCCION SEDE UNIVERSITARIA PARA LA PROVINCIA DE CHILOE"/>
    <n v="6962481000"/>
    <n v="0"/>
    <n v="200000000"/>
    <n v="0"/>
    <n v="0"/>
    <n v="0"/>
    <n v="0"/>
    <n v="0"/>
    <n v="0"/>
    <n v="200000000"/>
    <n v="6762481000"/>
    <s v="CON CONVENIO"/>
    <s v="RS"/>
    <x v="9"/>
  </r>
  <r>
    <n v="29"/>
    <s v="N"/>
    <s v="SALUD"/>
    <s v="CHILOE"/>
    <s v="PROV. CHILOE"/>
    <s v="LIBRE"/>
    <s v="EJECUCION"/>
    <n v="40002366"/>
    <s v="40002366-EJECUCION"/>
    <m/>
    <s v="40002366"/>
    <s v="REPOSICION Y ADQUISICION DE EQUIPOS Y EQUPA. RED SALUD CHILOE (C33)"/>
    <n v="647866000"/>
    <n v="0"/>
    <n v="0"/>
    <n v="0"/>
    <n v="0"/>
    <n v="0"/>
    <n v="0"/>
    <n v="0"/>
    <n v="0"/>
    <n v="0"/>
    <n v="647866000"/>
    <s v="CON CONVENIO"/>
    <s v="RS*"/>
    <x v="2"/>
  </r>
  <r>
    <m/>
    <m/>
    <m/>
    <m/>
    <m/>
    <m/>
    <m/>
    <m/>
    <m/>
    <m/>
    <m/>
    <s v="TOTAL DE INICIATIVAS EN CONVENIO Y TRAMITE"/>
    <n v="7610347000"/>
    <n v="0"/>
    <n v="200000000"/>
    <n v="0"/>
    <n v="0"/>
    <n v="0"/>
    <n v="0"/>
    <n v="0"/>
    <n v="0"/>
    <n v="200000000"/>
    <n v="74103470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LICITACION/ADJUDICACION"/>
    <m/>
    <m/>
    <m/>
    <m/>
    <m/>
    <m/>
    <m/>
    <m/>
    <m/>
    <m/>
    <m/>
    <m/>
    <m/>
    <x v="0"/>
  </r>
  <r>
    <n v="31"/>
    <s v="A"/>
    <s v="TRANSPORTE"/>
    <s v="CHILOE"/>
    <s v="PROV. CHILOE"/>
    <s v="LIBRE"/>
    <s v="EJECUCION"/>
    <n v="30464752"/>
    <s v="30464752-EJECUCION"/>
    <m/>
    <s v="30464752"/>
    <s v="NORMALIZACION TRES INTERSECCIONES CONFLICTIVAS RUTA 5 CASTRO"/>
    <n v="472546000"/>
    <n v="0"/>
    <n v="348946000"/>
    <n v="0"/>
    <n v="0"/>
    <n v="0"/>
    <n v="0"/>
    <n v="0"/>
    <n v="0"/>
    <n v="348946000"/>
    <n v="123600000"/>
    <s v="EN ADJUDICACION"/>
    <s v="RS"/>
    <x v="9"/>
  </r>
  <r>
    <n v="31"/>
    <s v="P"/>
    <s v="TRANSPORTE"/>
    <s v="CHILOE"/>
    <s v="PROV. CHILOE"/>
    <s v="FAR"/>
    <s v="EJECUCION"/>
    <n v="34538270"/>
    <s v="34538270-EJECUCION"/>
    <m/>
    <s v="34538270"/>
    <s v="CONSERVACION CAMINOS VECINALES POR GLOSA , ETAPA I PROVINCIA DE CHILOE (C33)"/>
    <n v="1298249800"/>
    <n v="0"/>
    <n v="129824980"/>
    <n v="0"/>
    <n v="0"/>
    <n v="0"/>
    <n v="0"/>
    <n v="0"/>
    <n v="0"/>
    <n v="129824980"/>
    <n v="1168424820"/>
    <s v="EN LICITACION"/>
    <s v="RS*"/>
    <x v="2"/>
  </r>
  <r>
    <m/>
    <m/>
    <m/>
    <m/>
    <m/>
    <m/>
    <m/>
    <m/>
    <m/>
    <m/>
    <m/>
    <s v="TOTAL DE INICIATIVAS EN LICITACION/ADJUDICACION"/>
    <n v="1770795800"/>
    <n v="0"/>
    <n v="478770980"/>
    <n v="0"/>
    <n v="0"/>
    <n v="0"/>
    <n v="0"/>
    <n v="0"/>
    <n v="0"/>
    <n v="478770980"/>
    <n v="129202482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SIN MOVIMIENTO"/>
    <m/>
    <m/>
    <m/>
    <m/>
    <m/>
    <m/>
    <m/>
    <m/>
    <m/>
    <m/>
    <m/>
    <m/>
    <m/>
    <x v="0"/>
  </r>
  <r>
    <n v="31"/>
    <s v="P"/>
    <s v="SALUD"/>
    <s v="CHILOE"/>
    <s v="PROV. CHILOE"/>
    <s v="FAR"/>
    <s v="EJECUCION"/>
    <n v="30083300"/>
    <s v="30083300-EJECUCION"/>
    <s v="30083300-SECT"/>
    <s v="30083300"/>
    <s v="NORMALIZACION HOSPITAL DE ANCUD"/>
    <n v="4454843000"/>
    <n v="0"/>
    <n v="540000000"/>
    <n v="0"/>
    <n v="0"/>
    <n v="0"/>
    <n v="0"/>
    <n v="0"/>
    <n v="0"/>
    <n v="540000000"/>
    <n v="3914843000"/>
    <s v="RECOMENDADO"/>
    <s v="RS"/>
    <x v="9"/>
  </r>
  <r>
    <n v="24"/>
    <s v="P"/>
    <s v="ENERGÍA"/>
    <s v="CHILOE"/>
    <s v="PROV. CHILOE"/>
    <s v="ENERGIZACION"/>
    <s v="EJECUCION"/>
    <s v="S/C"/>
    <s v="S/C-EJECUCION"/>
    <m/>
    <s v="S/C"/>
    <s v="SUBSIDIO A LA OPERACION SISTEMA ELECTRICO 11 ISLAS"/>
    <n v="2433000000"/>
    <n v="0"/>
    <n v="2433000000"/>
    <n v="0"/>
    <n v="0"/>
    <n v="0"/>
    <n v="0"/>
    <n v="0"/>
    <n v="0"/>
    <n v="2433000000"/>
    <n v="0"/>
    <s v="SUBSIDIO"/>
    <s v="RS***"/>
    <x v="2"/>
  </r>
  <r>
    <n v="24"/>
    <s v="P"/>
    <s v="EDUCACIÓN Y CULTURA"/>
    <s v="CHILOE"/>
    <s v="PROV. CHILOE"/>
    <s v="LIBRE"/>
    <s v="EJECUCION"/>
    <s v="SUBT 24"/>
    <s v="SUBT 24-EJECUCION"/>
    <m/>
    <s v="SUBT 24"/>
    <s v="ACTIVIDADES CULTURALES"/>
    <n v="359099988.79963976"/>
    <n v="0"/>
    <n v="359099988.79963976"/>
    <n v="0"/>
    <n v="0"/>
    <n v="0"/>
    <n v="0"/>
    <n v="810468"/>
    <n v="810468"/>
    <n v="358289520.79963976"/>
    <n v="0"/>
    <s v="CONCURSO"/>
    <s v="RS***"/>
    <x v="2"/>
  </r>
  <r>
    <n v="24"/>
    <s v="P"/>
    <s v="DEPORTE"/>
    <s v="CHILOE"/>
    <s v="PROV. CHILOE"/>
    <s v="LIBRE"/>
    <s v="EJECUCION"/>
    <s v="SUBT 24"/>
    <s v="SUBT 24-EJECUCION"/>
    <m/>
    <s v="SUBT 24"/>
    <s v="ACTIVIDADES DEPORTIVAS"/>
    <n v="359099988.79963976"/>
    <n v="0"/>
    <n v="359099988.79963976"/>
    <n v="0"/>
    <n v="0"/>
    <n v="0"/>
    <n v="0"/>
    <n v="0"/>
    <n v="0"/>
    <n v="359099988.79963976"/>
    <n v="0"/>
    <s v="CONCURSO"/>
    <s v="RS***"/>
    <x v="2"/>
  </r>
  <r>
    <n v="24"/>
    <s v="P"/>
    <s v="DEFENSA Y SEGURIDAD"/>
    <s v="CHILOE"/>
    <s v="PROV. CHILOE"/>
    <s v="LIBRE"/>
    <s v="EJECUCION"/>
    <s v="SUBT 24"/>
    <s v="SUBT 24-EJECUCION"/>
    <m/>
    <s v="SUBT 24"/>
    <s v="ACTIVIDADES COMUNIDAD ACTIVA"/>
    <n v="359099988.79963976"/>
    <n v="0"/>
    <n v="359099988.79963976"/>
    <n v="0"/>
    <n v="0"/>
    <n v="0"/>
    <n v="0"/>
    <n v="0"/>
    <n v="0"/>
    <n v="359099988.79963976"/>
    <n v="0"/>
    <s v="CONCURSO"/>
    <s v="RS***"/>
    <x v="2"/>
  </r>
  <r>
    <n v="24"/>
    <s v="P"/>
    <s v="ENERGÍA"/>
    <s v="CHILOE"/>
    <s v="PROV. CHILOE"/>
    <s v="ENERGIZACION"/>
    <s v="EJECUCION"/>
    <n v="30483006"/>
    <s v="30483006-EJECUCION"/>
    <m/>
    <s v="30483006"/>
    <s v="SUBSIDIO A LA OPERACION SISTEMA PRIVADO DE GENERACION ISLA TAC"/>
    <n v="111000000"/>
    <n v="0"/>
    <n v="111000000"/>
    <n v="0"/>
    <n v="0"/>
    <n v="0"/>
    <n v="0"/>
    <n v="0"/>
    <n v="0"/>
    <n v="111000000"/>
    <n v="0"/>
    <s v="REQUERIMIENTO"/>
    <s v="RS***"/>
    <x v="2"/>
  </r>
  <r>
    <n v="31"/>
    <s v="P"/>
    <s v="SALUD"/>
    <s v="CHILOE"/>
    <s v="PROV. CHILOE"/>
    <s v="LIBRE"/>
    <s v="EJECUCION"/>
    <n v="30083335"/>
    <s v="30083335-EJECUCION"/>
    <s v="30083335-SECT"/>
    <s v="30083335"/>
    <s v="NORMALIZACION HOSPITAL DE QUELLON, PROVINCIA DE CHILOE"/>
    <n v="2016128000"/>
    <n v="0"/>
    <n v="1664807268"/>
    <n v="0"/>
    <n v="0"/>
    <n v="0"/>
    <n v="0"/>
    <n v="0"/>
    <n v="0"/>
    <n v="1664807268"/>
    <n v="351320732"/>
    <s v="REQUERIMIENTO SSCH"/>
    <s v="RS"/>
    <x v="2"/>
  </r>
  <r>
    <m/>
    <m/>
    <m/>
    <m/>
    <m/>
    <m/>
    <m/>
    <m/>
    <m/>
    <m/>
    <m/>
    <s v="TOTAL DE INICIATIVAS SIN MOVIMIENTO"/>
    <n v="10092270966.398918"/>
    <n v="0"/>
    <n v="5826107234.3989191"/>
    <n v="0"/>
    <n v="0"/>
    <n v="0"/>
    <n v="0"/>
    <n v="810468"/>
    <n v="810468"/>
    <n v="5825296766.3989191"/>
    <n v="4266163732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TOTAL  PROVINCIALES"/>
    <n v="32373236679.398918"/>
    <n v="8106564183"/>
    <n v="14055761422.398918"/>
    <n v="0"/>
    <n v="195672093"/>
    <n v="1369170867"/>
    <n v="1564842960"/>
    <n v="478678038"/>
    <n v="2043520998"/>
    <n v="12012240424.398918"/>
    <n v="10210911074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TOTAL PROVINCIA DE CHILOE"/>
    <n v="103135575617.39893"/>
    <n v="31079750849"/>
    <n v="25528581586.398918"/>
    <n v="301312990"/>
    <n v="1003937107"/>
    <n v="2834937959"/>
    <n v="4140188056"/>
    <n v="1391818908"/>
    <n v="5532006964"/>
    <n v="19996574622.398918"/>
    <n v="46527243182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COMUNA DE CHAITEN"/>
    <m/>
    <m/>
    <m/>
    <m/>
    <m/>
    <m/>
    <m/>
    <m/>
    <m/>
    <m/>
    <m/>
    <m/>
    <m/>
    <x v="0"/>
  </r>
  <r>
    <m/>
    <m/>
    <m/>
    <m/>
    <m/>
    <m/>
    <m/>
    <m/>
    <m/>
    <m/>
    <m/>
    <s v="INICIATIVAS EN EJECUCION"/>
    <m/>
    <m/>
    <m/>
    <m/>
    <m/>
    <m/>
    <m/>
    <m/>
    <m/>
    <m/>
    <m/>
    <m/>
    <m/>
    <x v="0"/>
  </r>
  <r>
    <n v="31"/>
    <s v="A"/>
    <s v="VIVIENDA"/>
    <s v="PALENA"/>
    <s v="CHAITEN"/>
    <s v="PV"/>
    <s v="EJECUCION"/>
    <n v="30082185"/>
    <s v="30082185-EJECUCION"/>
    <m/>
    <s v="30082185"/>
    <s v="MEJORAMIENTO PLAZA VILLA SANTA LUCIA"/>
    <n v="581129687"/>
    <n v="519795995"/>
    <n v="0"/>
    <n v="0"/>
    <n v="0"/>
    <n v="0"/>
    <n v="0"/>
    <n v="0"/>
    <n v="0"/>
    <n v="0"/>
    <n v="61333692"/>
    <s v="EN EJECUCION"/>
    <s v="RS"/>
    <x v="11"/>
  </r>
  <r>
    <n v="31"/>
    <s v="P"/>
    <s v="VIVIENDA"/>
    <s v="PALENA"/>
    <s v="CHAITEN"/>
    <s v="PV"/>
    <s v="EJECUCION"/>
    <n v="30135078"/>
    <s v="30135078-EJECUCION"/>
    <m/>
    <s v="30135078"/>
    <s v="REPOSICION PLAZA DE ARMAS DE CHAITEN"/>
    <n v="421404000"/>
    <n v="0"/>
    <n v="200000000"/>
    <n v="0"/>
    <n v="0"/>
    <n v="0"/>
    <n v="0"/>
    <n v="200000000"/>
    <n v="200000000"/>
    <n v="0"/>
    <n v="221404000"/>
    <s v="EN EJECUCION"/>
    <s v="RS"/>
    <x v="11"/>
  </r>
  <r>
    <m/>
    <m/>
    <m/>
    <m/>
    <m/>
    <m/>
    <m/>
    <m/>
    <m/>
    <m/>
    <m/>
    <s v="TOTAL DE INICIATIVAS EN EJECUCION"/>
    <n v="1002533687"/>
    <n v="519795995"/>
    <n v="200000000"/>
    <n v="0"/>
    <n v="0"/>
    <n v="0"/>
    <n v="0"/>
    <n v="200000000"/>
    <n v="200000000"/>
    <n v="0"/>
    <n v="282737692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TERMINADAS"/>
    <m/>
    <m/>
    <m/>
    <m/>
    <m/>
    <m/>
    <m/>
    <m/>
    <m/>
    <m/>
    <m/>
    <m/>
    <m/>
    <x v="0"/>
  </r>
  <r>
    <n v="31"/>
    <s v="A"/>
    <s v="TRANSPORTE"/>
    <s v="PALENA"/>
    <s v="CHAITEN"/>
    <s v="PV"/>
    <s v="EJECUCION"/>
    <n v="30342727"/>
    <s v="30342727-EJECUCION"/>
    <m/>
    <s v="30342727"/>
    <s v="CONSERVACION PERIODICA CAMINOS BASICOS SANTA BARBARA CHANA (C33)"/>
    <n v="1524137492"/>
    <n v="1371654075"/>
    <n v="152483417"/>
    <n v="70108794"/>
    <n v="0"/>
    <n v="82374623"/>
    <n v="152483417"/>
    <n v="0"/>
    <n v="152483417"/>
    <n v="0"/>
    <n v="0"/>
    <s v="TERMINADO"/>
    <s v="RS*"/>
    <x v="2"/>
  </r>
  <r>
    <n v="31"/>
    <s v="A"/>
    <s v="DEFENSA Y SEGURIDAD"/>
    <s v="PALENA"/>
    <s v="CHAITEN"/>
    <s v="PV"/>
    <s v="EJECUCION"/>
    <n v="30136060"/>
    <s v="30136060-EJECUCION"/>
    <m/>
    <s v="30136060"/>
    <s v="CONSTRUCCION DEFENSAS FLUVIALES RIO BLANCO CHAITEN SUR"/>
    <n v="1971939680"/>
    <n v="1971939680"/>
    <n v="0"/>
    <n v="0"/>
    <n v="0"/>
    <n v="0"/>
    <n v="0"/>
    <n v="0"/>
    <n v="0"/>
    <n v="0"/>
    <n v="0"/>
    <s v="TERMINADO"/>
    <s v="RS"/>
    <x v="2"/>
  </r>
  <r>
    <m/>
    <m/>
    <m/>
    <m/>
    <m/>
    <m/>
    <m/>
    <m/>
    <m/>
    <m/>
    <m/>
    <s v="TOTAL DE INICIATIVAS TERMINADAS"/>
    <n v="3496077172"/>
    <n v="3343593755"/>
    <n v="152483417"/>
    <n v="70108794"/>
    <n v="0"/>
    <n v="82374623"/>
    <n v="152483417"/>
    <n v="0"/>
    <n v="152483417"/>
    <n v="0"/>
    <n v="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CONVENIO Y TRAMITE"/>
    <m/>
    <m/>
    <m/>
    <m/>
    <m/>
    <m/>
    <m/>
    <m/>
    <m/>
    <m/>
    <m/>
    <m/>
    <m/>
    <x v="0"/>
  </r>
  <r>
    <n v="31"/>
    <s v="P"/>
    <s v="VIVIENDA"/>
    <s v="PALENA"/>
    <s v="CHAITEN"/>
    <s v="PV"/>
    <s v="EJECUCION"/>
    <n v="30342276"/>
    <s v="30342276-EJECUCION"/>
    <m/>
    <s v="30342276"/>
    <s v="CONSERVACION CALLES Y SITIOS FISCALES DE CHAITEN(C33)"/>
    <n v="551663000"/>
    <n v="0"/>
    <n v="376516583"/>
    <n v="0"/>
    <n v="0"/>
    <n v="0"/>
    <n v="0"/>
    <n v="0"/>
    <n v="0"/>
    <n v="376516583"/>
    <n v="175146417"/>
    <s v="CON CONVENIO"/>
    <s v="RS*"/>
    <x v="11"/>
  </r>
  <r>
    <n v="31"/>
    <s v="N"/>
    <s v="TRANSPORTE"/>
    <s v="PALENA"/>
    <s v="CHAITEN"/>
    <s v="PV"/>
    <s v="EJECUCION"/>
    <n v="30371674"/>
    <s v="30371674-EJECUCION"/>
    <m/>
    <s v="30371674"/>
    <s v="REPOSICION TERMINAL PORTUARIO DE CHAITEN"/>
    <n v="2400000000"/>
    <n v="0"/>
    <n v="300000000"/>
    <n v="0"/>
    <n v="0"/>
    <n v="0"/>
    <n v="0"/>
    <n v="0"/>
    <n v="0"/>
    <n v="300000000"/>
    <n v="2100000000"/>
    <s v="CON CONVENIO"/>
    <s v="RS"/>
    <x v="11"/>
  </r>
  <r>
    <n v="31"/>
    <s v="N"/>
    <s v="MULTISECTORIAL"/>
    <s v="PALENA"/>
    <s v="CHAITEN"/>
    <s v="LIBRE"/>
    <s v="DISEÑO"/>
    <n v="30103541"/>
    <s v="30103541-DISEÑO"/>
    <m/>
    <s v="30103541"/>
    <s v="REPOSICION EDEFICIO MUNICIPAL DE CHAITEN"/>
    <n v="137807000"/>
    <n v="0"/>
    <n v="0"/>
    <n v="0"/>
    <n v="0"/>
    <n v="0"/>
    <n v="0"/>
    <n v="0"/>
    <n v="0"/>
    <n v="0"/>
    <n v="137807000"/>
    <s v="TRAMITE CONVENIO"/>
    <s v="RS"/>
    <x v="2"/>
  </r>
  <r>
    <n v="31"/>
    <s v="P"/>
    <s v="TRANSPORTE"/>
    <s v="PALENA"/>
    <s v="CHAITEN"/>
    <s v="PV"/>
    <s v="EJECUCION"/>
    <n v="30342679"/>
    <s v="30342679-EJECUCION"/>
    <m/>
    <s v="30342679"/>
    <s v="CONSERVACION PERIODICA, CAMINO BASICO ROL W-813 Y ROL W-815 (C33)"/>
    <n v="4554317000"/>
    <n v="0"/>
    <n v="443321000"/>
    <n v="0"/>
    <n v="0"/>
    <n v="0"/>
    <n v="0"/>
    <n v="0"/>
    <n v="0"/>
    <n v="443321000"/>
    <n v="4110996000"/>
    <s v="TRAMITE CONVENIO"/>
    <s v="RS*"/>
    <x v="11"/>
  </r>
  <r>
    <m/>
    <m/>
    <m/>
    <m/>
    <m/>
    <m/>
    <m/>
    <m/>
    <m/>
    <m/>
    <m/>
    <s v="TOTAL DE INICIATIVAS EN CONVENIO Y TRAMITE"/>
    <n v="7643787000"/>
    <n v="0"/>
    <n v="1119837583"/>
    <n v="0"/>
    <n v="0"/>
    <n v="0"/>
    <n v="0"/>
    <n v="0"/>
    <n v="0"/>
    <n v="1119837583"/>
    <n v="6523949417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SIN MOVIMIENTO"/>
    <m/>
    <m/>
    <m/>
    <m/>
    <m/>
    <m/>
    <m/>
    <m/>
    <m/>
    <m/>
    <m/>
    <m/>
    <m/>
    <x v="0"/>
  </r>
  <r>
    <n v="31"/>
    <s v="N"/>
    <s v="TRANSPORTE"/>
    <s v="PALENA"/>
    <s v="CHAITEN"/>
    <s v="PV"/>
    <s v="PREFACTIBILIDAD"/>
    <n v="30186523"/>
    <s v="30186523-PREFACTIBILIDAD"/>
    <m/>
    <s v="30186523"/>
    <s v="CONSTRUCCION CONEXION VIAL ISLA TALCAN ARCH. DESERTORES,CHAITEN"/>
    <n v="465005000"/>
    <n v="0"/>
    <n v="76421200"/>
    <n v="0"/>
    <n v="0"/>
    <n v="0"/>
    <n v="0"/>
    <n v="0"/>
    <n v="0"/>
    <n v="76421200"/>
    <n v="388583800"/>
    <s v="ARI"/>
    <s v="RS"/>
    <x v="2"/>
  </r>
  <r>
    <n v="31"/>
    <s v="N"/>
    <s v="TRANSPORTE"/>
    <s v="PALENA"/>
    <s v="CHAITEN"/>
    <s v="FAR"/>
    <s v="EJECUCION"/>
    <n v="30458729"/>
    <s v="30458729-EJECUCION"/>
    <m/>
    <s v="30458729"/>
    <s v="MEJORAMIENTO AREA DE MOVIMIENTO PEQUEÑO AERODROMO AYACARA"/>
    <n v="523000000"/>
    <n v="0"/>
    <n v="26150000"/>
    <n v="0"/>
    <n v="0"/>
    <n v="0"/>
    <n v="0"/>
    <n v="0"/>
    <n v="0"/>
    <n v="26150000"/>
    <n v="496850000"/>
    <s v="ARI"/>
    <s v="FI"/>
    <x v="2"/>
  </r>
  <r>
    <n v="31"/>
    <s v="N"/>
    <s v="MULTISECTORIAL"/>
    <s v="PALENA"/>
    <s v="CHAITEN"/>
    <s v="PV"/>
    <s v="EJECUCION"/>
    <n v="30136461"/>
    <s v="30136461-EJECUCION"/>
    <m/>
    <s v="30136461"/>
    <s v="REPOSICION EDIFICIO GOBERNACION Y SERVICIOS PUBLICOS EN CHAITEN"/>
    <n v="168000000"/>
    <n v="0"/>
    <n v="20000000"/>
    <n v="0"/>
    <n v="0"/>
    <n v="0"/>
    <n v="0"/>
    <n v="0"/>
    <n v="0"/>
    <n v="20000000"/>
    <n v="148000000"/>
    <s v="ARI"/>
    <s v="SR"/>
    <x v="2"/>
  </r>
  <r>
    <n v="31"/>
    <s v="N"/>
    <s v="ENERGÍA"/>
    <s v="PALENA"/>
    <s v="CHAITEN"/>
    <s v="ENERGIZACION"/>
    <s v="EJECUCION"/>
    <n v="30096049"/>
    <s v="30096049-EJECUCION"/>
    <m/>
    <s v="30096049"/>
    <s v="HABILITACION SUMINISTRO ENERGIA ELECTRICA CHAITEN VIEJO"/>
    <n v="459876000"/>
    <n v="0"/>
    <n v="22993800"/>
    <n v="0"/>
    <n v="0"/>
    <n v="0"/>
    <n v="0"/>
    <n v="0"/>
    <n v="0"/>
    <n v="22993800"/>
    <n v="436882200"/>
    <s v="ARI"/>
    <s v="SR"/>
    <x v="2"/>
  </r>
  <r>
    <n v="31"/>
    <s v="N"/>
    <s v="AGUA POTABLE Y ALCANTARILLADO"/>
    <s v="PALENA"/>
    <s v="CHAITEN"/>
    <s v="SS"/>
    <s v="EJECUCION"/>
    <n v="30102992"/>
    <s v="30102992-EJECUCION"/>
    <m/>
    <s v="30102992"/>
    <s v="CONSTRUCCION RED DE ALCANTARILLADO Y PTAS VILLA SANTA LUCIA"/>
    <n v="792725000"/>
    <n v="0"/>
    <n v="39636250"/>
    <n v="0"/>
    <n v="0"/>
    <n v="0"/>
    <n v="0"/>
    <n v="0"/>
    <n v="0"/>
    <n v="39636250"/>
    <n v="753088750"/>
    <s v="ARI"/>
    <s v="SR"/>
    <x v="2"/>
  </r>
  <r>
    <m/>
    <m/>
    <m/>
    <m/>
    <m/>
    <m/>
    <m/>
    <m/>
    <m/>
    <m/>
    <m/>
    <s v="TOTAL DE INICIATIVAS SIN MOVIMIENTO"/>
    <n v="2408606000"/>
    <n v="0"/>
    <n v="185201250"/>
    <n v="0"/>
    <n v="0"/>
    <n v="0"/>
    <n v="0"/>
    <n v="0"/>
    <n v="0"/>
    <n v="185201250"/>
    <n v="222340475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TOTAL COMUNA DE  CHAITEN"/>
    <n v="14551003859"/>
    <n v="3863389750"/>
    <n v="1657522250"/>
    <n v="70108794"/>
    <n v="0"/>
    <n v="82374623"/>
    <n v="152483417"/>
    <n v="200000000"/>
    <n v="352483417"/>
    <n v="1305038833"/>
    <n v="9030091859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COMUNA DE FUTALEUFU"/>
    <m/>
    <m/>
    <m/>
    <m/>
    <m/>
    <m/>
    <m/>
    <m/>
    <m/>
    <m/>
    <m/>
    <m/>
    <m/>
    <x v="0"/>
  </r>
  <r>
    <m/>
    <m/>
    <m/>
    <m/>
    <m/>
    <m/>
    <m/>
    <m/>
    <m/>
    <m/>
    <m/>
    <s v="INICIATIVAS EN EJECUCION"/>
    <m/>
    <m/>
    <m/>
    <m/>
    <m/>
    <m/>
    <m/>
    <m/>
    <m/>
    <m/>
    <m/>
    <m/>
    <m/>
    <x v="0"/>
  </r>
  <r>
    <n v="31"/>
    <s v="A"/>
    <s v="EDUCACIÓN Y CULTURA"/>
    <s v="PALENA"/>
    <s v="FUTALEUFU"/>
    <s v="PV"/>
    <s v="EJECUCION"/>
    <n v="30072372"/>
    <s v="30072372-EJECUCION"/>
    <m/>
    <s v="30072372"/>
    <s v="AMPLIACION ESCUELA BASICA  FUTALEUFU PARA EDUCACION MEDIA"/>
    <n v="4036745000"/>
    <n v="261225924"/>
    <n v="1434816529"/>
    <n v="0"/>
    <n v="717733008"/>
    <n v="220435329"/>
    <n v="938168337"/>
    <n v="496648192"/>
    <n v="1434816529"/>
    <n v="0"/>
    <n v="2340702547"/>
    <s v="EN EJECUCION"/>
    <s v="RS"/>
    <x v="11"/>
  </r>
  <r>
    <n v="31"/>
    <s v="A"/>
    <s v="MULTISECTORIAL"/>
    <s v="PALENA"/>
    <s v="FUTALEUFU"/>
    <s v="PV"/>
    <s v="EJECUCION"/>
    <n v="30288773"/>
    <s v="30288773-EJECUCION"/>
    <m/>
    <s v="30288773"/>
    <s v="CONSTRUCCION CENTRO TRATAMIENTO INTEGRAL RESIDUOS SOLIDOS FUTALEUFU"/>
    <n v="1172413718"/>
    <n v="1024889053"/>
    <n v="143822998"/>
    <n v="0"/>
    <n v="0"/>
    <n v="143822998"/>
    <n v="143822998"/>
    <n v="0"/>
    <n v="143822998"/>
    <n v="0"/>
    <n v="3701667"/>
    <s v="EN EJECUCION"/>
    <s v="RS"/>
    <x v="2"/>
  </r>
  <r>
    <m/>
    <m/>
    <m/>
    <m/>
    <m/>
    <m/>
    <m/>
    <m/>
    <m/>
    <m/>
    <m/>
    <s v="TOTAL DE INICIATIVAS EN EJECUCION"/>
    <n v="5209158718"/>
    <n v="1286114977"/>
    <n v="1578639527"/>
    <n v="0"/>
    <n v="717733008"/>
    <n v="364258327"/>
    <n v="1081991335"/>
    <n v="496648192"/>
    <n v="1578639527"/>
    <n v="0"/>
    <n v="2344404214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CONVENIO Y TRAMITE"/>
    <m/>
    <m/>
    <m/>
    <m/>
    <m/>
    <m/>
    <m/>
    <m/>
    <m/>
    <m/>
    <m/>
    <m/>
    <m/>
    <x v="0"/>
  </r>
  <r>
    <n v="31"/>
    <s v="P"/>
    <s v="ENERGÍA"/>
    <s v="PALENA"/>
    <s v="FUTALEUFU"/>
    <s v="PV"/>
    <s v="EJECUCION"/>
    <n v="30341784"/>
    <s v="30341784-EJECUCION"/>
    <m/>
    <s v="30341784"/>
    <s v="HABILITACION SUMINISTRO ENERGIA ELECTRICA, SECTOR NOROESTE, FUTALEUFU"/>
    <n v="286703000"/>
    <n v="0"/>
    <n v="286703000"/>
    <n v="0"/>
    <n v="0"/>
    <n v="0"/>
    <n v="0"/>
    <n v="0"/>
    <n v="0"/>
    <n v="286703000"/>
    <n v="0"/>
    <s v="TRAMITE CONVENIO"/>
    <s v="RS"/>
    <x v="2"/>
  </r>
  <r>
    <m/>
    <m/>
    <m/>
    <m/>
    <m/>
    <m/>
    <m/>
    <m/>
    <m/>
    <m/>
    <m/>
    <s v="TOTAL DE INICIATIVAS EN CONVENIO Y TRAMITE"/>
    <n v="286703000"/>
    <n v="0"/>
    <n v="286703000"/>
    <n v="0"/>
    <n v="0"/>
    <n v="0"/>
    <n v="0"/>
    <n v="0"/>
    <n v="0"/>
    <n v="286703000"/>
    <n v="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LICITACION/ADJUDICACION"/>
    <m/>
    <m/>
    <m/>
    <m/>
    <m/>
    <m/>
    <m/>
    <m/>
    <m/>
    <m/>
    <m/>
    <m/>
    <m/>
    <x v="0"/>
  </r>
  <r>
    <n v="31"/>
    <s v="P"/>
    <s v="TRANSPORTE"/>
    <s v="PALENA"/>
    <s v="FUTALEUFU"/>
    <s v="PV"/>
    <s v="EJECUCION"/>
    <n v="30102779"/>
    <s v="30102779-EJECUCION"/>
    <m/>
    <s v="30102779"/>
    <s v="CONSTRUCCION TERMINAL DE BUSES DE FUTALEUFU"/>
    <n v="517037000"/>
    <n v="0"/>
    <n v="316687000"/>
    <n v="0"/>
    <n v="0"/>
    <n v="0"/>
    <n v="0"/>
    <n v="0"/>
    <n v="0"/>
    <n v="316687000"/>
    <n v="200350000"/>
    <s v="EN LICITACION"/>
    <s v="RS"/>
    <x v="11"/>
  </r>
  <r>
    <n v="31"/>
    <s v="A"/>
    <s v="DEPORTE"/>
    <s v="PALENA"/>
    <s v="FUTALEUFU"/>
    <s v="PV"/>
    <s v="EJECUCION"/>
    <n v="30086361"/>
    <s v="30086361-EJECUCION"/>
    <m/>
    <s v="30086361"/>
    <s v="REPOSICION GIMNASIO MUNICIPAL DE FUTALEUFU"/>
    <n v="3794215000"/>
    <n v="38538000"/>
    <n v="1258673380"/>
    <n v="0"/>
    <n v="0"/>
    <n v="0"/>
    <n v="0"/>
    <n v="0"/>
    <n v="0"/>
    <n v="1258673380"/>
    <n v="2497003620"/>
    <s v="EN LICITACION"/>
    <s v="RS"/>
    <x v="11"/>
  </r>
  <r>
    <m/>
    <m/>
    <m/>
    <m/>
    <m/>
    <m/>
    <m/>
    <m/>
    <m/>
    <m/>
    <m/>
    <s v="TOTAL DE INICIATIVAS EN LICITACION/ADJUDICACION"/>
    <n v="4311252000"/>
    <n v="38538000"/>
    <n v="1575360380"/>
    <n v="0"/>
    <n v="0"/>
    <n v="0"/>
    <n v="0"/>
    <n v="0"/>
    <n v="0"/>
    <n v="1575360380"/>
    <n v="269735362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SIN MOVIMIENTO"/>
    <m/>
    <m/>
    <m/>
    <m/>
    <m/>
    <m/>
    <m/>
    <m/>
    <m/>
    <m/>
    <m/>
    <m/>
    <m/>
    <x v="0"/>
  </r>
  <r>
    <n v="31"/>
    <s v="N"/>
    <s v="MULTISECTORIAL"/>
    <s v="PALENA"/>
    <s v="FUTALEUFU"/>
    <s v="LIBRE"/>
    <s v="EJECUCION"/>
    <n v="30341678"/>
    <s v="30341678-EJECUCION"/>
    <m/>
    <s v="30341678"/>
    <s v="ANALISIS ESTUDIO PLAN REGULADOR COMUNAL DE FUTALEUFU"/>
    <n v="126058000"/>
    <n v="0"/>
    <n v="6302900"/>
    <n v="0"/>
    <n v="0"/>
    <n v="0"/>
    <n v="0"/>
    <n v="0"/>
    <n v="0"/>
    <n v="6302900"/>
    <n v="119755100"/>
    <s v="RECOMENDADO"/>
    <s v="RS"/>
    <x v="2"/>
  </r>
  <r>
    <n v="31"/>
    <s v="N"/>
    <s v="TRANSPORTE"/>
    <s v="PALENA"/>
    <s v="FUTALEUFU"/>
    <s v="PV"/>
    <s v="EJECUCION"/>
    <n v="30289730"/>
    <s v="30289730-EJECUCION"/>
    <m/>
    <s v="30289730"/>
    <s v="MEJORAMIENTO Y PAVIMENTACION CALLE LAUTARO SUR - FUTALEUFU"/>
    <n v="543354000"/>
    <n v="0"/>
    <n v="185690314"/>
    <n v="0"/>
    <n v="0"/>
    <n v="0"/>
    <n v="0"/>
    <n v="0"/>
    <n v="0"/>
    <n v="185690314"/>
    <n v="357663686"/>
    <s v="ARI"/>
    <s v="RS"/>
    <x v="2"/>
  </r>
  <r>
    <n v="31"/>
    <s v="N"/>
    <s v="MULTISECTORIAL"/>
    <s v="PALENA"/>
    <s v="FUTALEUFU"/>
    <s v="LIBRE"/>
    <s v="EJECUCION"/>
    <n v="30341783"/>
    <s v="30341783-EJECUCION"/>
    <m/>
    <s v="30341783"/>
    <s v="CONSTRUCCION CASA DE ACOGIDA DEL ADULTO MAYOR"/>
    <n v="180000000"/>
    <n v="0"/>
    <n v="10000000"/>
    <n v="0"/>
    <n v="0"/>
    <n v="0"/>
    <n v="0"/>
    <n v="0"/>
    <n v="0"/>
    <n v="10000000"/>
    <n v="170000000"/>
    <s v="ARI"/>
    <s v="SR"/>
    <x v="2"/>
  </r>
  <r>
    <n v="31"/>
    <s v="N"/>
    <s v="MULTISECTORIAL"/>
    <s v="PALENA"/>
    <s v="FUTALEUFU"/>
    <s v="LIBRE"/>
    <s v="DISEÑO"/>
    <n v="30341774"/>
    <s v="30341774-DISEÑO"/>
    <m/>
    <s v="30341774"/>
    <s v="REPOSICION BODEGA Y OFICIANS MUNICPALES COMUNA DE FUTALEFU"/>
    <n v="41500000"/>
    <n v="0"/>
    <n v="5000000"/>
    <n v="0"/>
    <n v="0"/>
    <n v="0"/>
    <n v="0"/>
    <n v="0"/>
    <n v="0"/>
    <n v="5000000"/>
    <n v="36500000"/>
    <s v="ARI"/>
    <s v="FI"/>
    <x v="2"/>
  </r>
  <r>
    <m/>
    <m/>
    <m/>
    <m/>
    <m/>
    <m/>
    <m/>
    <m/>
    <m/>
    <m/>
    <m/>
    <s v="TOTAL DE INICIATIVAS SIN MOVIMIENTO"/>
    <n v="890912000"/>
    <n v="0"/>
    <n v="206993214"/>
    <n v="0"/>
    <n v="0"/>
    <n v="0"/>
    <n v="0"/>
    <n v="0"/>
    <n v="0"/>
    <n v="206993214"/>
    <n v="683918786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TOTAL COMUNA DE  FUTALEUFU"/>
    <n v="10698025718"/>
    <n v="1324652977"/>
    <n v="3647696121"/>
    <n v="0"/>
    <n v="717733008"/>
    <n v="364258327"/>
    <n v="1081991335"/>
    <n v="496648192"/>
    <n v="1578639527"/>
    <n v="2069056594"/>
    <n v="572567662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COMUNA DE HUALAIHUE"/>
    <m/>
    <m/>
    <m/>
    <m/>
    <m/>
    <m/>
    <m/>
    <m/>
    <m/>
    <m/>
    <m/>
    <m/>
    <m/>
    <x v="0"/>
  </r>
  <r>
    <m/>
    <m/>
    <m/>
    <m/>
    <m/>
    <m/>
    <m/>
    <m/>
    <m/>
    <m/>
    <m/>
    <s v="INICIATIVAS EN EJECUCION"/>
    <m/>
    <m/>
    <m/>
    <m/>
    <m/>
    <m/>
    <m/>
    <m/>
    <m/>
    <m/>
    <m/>
    <m/>
    <m/>
    <x v="0"/>
  </r>
  <r>
    <n v="31"/>
    <s v="P"/>
    <s v="EDUCACIÓN Y CULTURA"/>
    <s v="PALENA"/>
    <s v="HUALAIHUE"/>
    <s v="FIE"/>
    <s v="EJECUCION"/>
    <n v="30277425"/>
    <s v="30277425-EJECUCION"/>
    <m/>
    <s v="30277425"/>
    <s v="CONSERVACION GIMNASIO ESCUELA SEMILLERO DE ROLECHA (C33)"/>
    <n v="231911000"/>
    <n v="0"/>
    <n v="57977750"/>
    <n v="0"/>
    <n v="0"/>
    <n v="3970778"/>
    <n v="3970778"/>
    <n v="33602786"/>
    <n v="37573564"/>
    <n v="20404186"/>
    <n v="173933250"/>
    <s v="EN EJECUCION"/>
    <s v="RS*"/>
    <x v="11"/>
  </r>
  <r>
    <n v="31"/>
    <s v="P"/>
    <s v="SALUD"/>
    <s v="PALENA"/>
    <s v="HUALAIHUE"/>
    <s v="LIBRE"/>
    <s v="EJECUCION"/>
    <n v="30455973"/>
    <s v="30455973-EJECUCION"/>
    <m/>
    <s v="30455973"/>
    <s v="CONSTRUCCION 2 CASA PARA PROFESIONALES CECOSF HUALAIHUE"/>
    <n v="95090000"/>
    <n v="0"/>
    <n v="28527000"/>
    <n v="0"/>
    <n v="0"/>
    <n v="0"/>
    <n v="0"/>
    <n v="24635975"/>
    <n v="24635975"/>
    <n v="3891025"/>
    <n v="66563000"/>
    <s v="EN EJECUCION"/>
    <s v="RS"/>
    <x v="11"/>
  </r>
  <r>
    <m/>
    <m/>
    <m/>
    <m/>
    <m/>
    <m/>
    <m/>
    <m/>
    <m/>
    <m/>
    <m/>
    <s v="TOTAL DE INICIATIVAS EN EJECUCION"/>
    <n v="327001000"/>
    <n v="0"/>
    <n v="86504750"/>
    <n v="0"/>
    <n v="0"/>
    <n v="3970778"/>
    <n v="3970778"/>
    <n v="58238761"/>
    <n v="62209539"/>
    <n v="24295211"/>
    <n v="24049625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TERMINADAS"/>
    <m/>
    <m/>
    <m/>
    <m/>
    <m/>
    <m/>
    <m/>
    <m/>
    <m/>
    <m/>
    <m/>
    <m/>
    <m/>
    <x v="0"/>
  </r>
  <r>
    <n v="31"/>
    <s v="A"/>
    <s v="EDUCACIÓN Y CULTURA"/>
    <s v="PALENA"/>
    <s v="HUALAIHUE"/>
    <s v="FIE"/>
    <s v="EJECUCION"/>
    <n v="30036043"/>
    <s v="30036043-EJECUCION"/>
    <m/>
    <s v="30036043"/>
    <s v="MEJORAMIENTO Y REPOSICION ESCUELA ANTUPIREN"/>
    <n v="2105704808"/>
    <n v="2105704808"/>
    <n v="0"/>
    <n v="0"/>
    <n v="0"/>
    <n v="0"/>
    <n v="0"/>
    <n v="0"/>
    <n v="0"/>
    <n v="0"/>
    <n v="0"/>
    <s v="TERMINADO"/>
    <s v="RS"/>
    <x v="2"/>
  </r>
  <r>
    <n v="31"/>
    <s v="A"/>
    <s v="DEPORTE"/>
    <s v="PALENA"/>
    <s v="HUALAIHUE"/>
    <s v="LIBRE"/>
    <s v="EJECUCION"/>
    <n v="30136949"/>
    <s v="30136949-EJECUCION"/>
    <m/>
    <s v="30136949"/>
    <s v="CONSERVACION GIMNASIO MUNICIPAL DE HORNOPIREN(C33)"/>
    <n v="123511343"/>
    <n v="123511343"/>
    <n v="0"/>
    <n v="0"/>
    <n v="0"/>
    <n v="0"/>
    <n v="0"/>
    <n v="0"/>
    <n v="0"/>
    <n v="0"/>
    <n v="0"/>
    <s v="TERMINADO"/>
    <s v="RS*"/>
    <x v="2"/>
  </r>
  <r>
    <m/>
    <m/>
    <m/>
    <m/>
    <m/>
    <m/>
    <m/>
    <m/>
    <m/>
    <m/>
    <m/>
    <s v="TOTAL DE INICIATIVAS TERMINADAS"/>
    <n v="2229216151"/>
    <n v="2229216151"/>
    <n v="0"/>
    <n v="0"/>
    <n v="0"/>
    <n v="0"/>
    <n v="0"/>
    <n v="0"/>
    <n v="0"/>
    <n v="0"/>
    <n v="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CONVENIO Y TRAMITE"/>
    <m/>
    <m/>
    <m/>
    <m/>
    <m/>
    <m/>
    <m/>
    <m/>
    <m/>
    <m/>
    <m/>
    <m/>
    <m/>
    <x v="0"/>
  </r>
  <r>
    <n v="31"/>
    <s v="P"/>
    <s v="VIVIENDA"/>
    <s v="PALENA"/>
    <s v="HUALAIHUE"/>
    <s v="LIBRE"/>
    <s v="EJECUCION"/>
    <n v="30395825"/>
    <s v="30395825-EJECUCION"/>
    <m/>
    <s v="30395825"/>
    <s v="CONSERVACION SEDE SOCIAL LOCALIDAD DE CONTAO (C33)"/>
    <n v="113663000"/>
    <n v="0"/>
    <n v="34098900"/>
    <n v="0"/>
    <n v="0"/>
    <n v="0"/>
    <n v="0"/>
    <n v="0"/>
    <n v="0"/>
    <n v="34098900"/>
    <n v="79564100"/>
    <s v="CON CONVENIO"/>
    <s v="RS*"/>
    <x v="2"/>
  </r>
  <r>
    <n v="31"/>
    <s v="N"/>
    <s v="SALUD"/>
    <s v="PALENA"/>
    <s v="HUALAIHUE"/>
    <s v="PV"/>
    <s v="EJECUCION"/>
    <n v="30311722"/>
    <s v="30311722-EJECUCION"/>
    <s v="30311722-FNDR"/>
    <s v="30311722"/>
    <s v="REPOSICION POSTA SALUD RURAL AULEN"/>
    <n v="614592000"/>
    <n v="0"/>
    <n v="61459200"/>
    <n v="0"/>
    <n v="0"/>
    <n v="0"/>
    <n v="0"/>
    <n v="0"/>
    <n v="0"/>
    <n v="61459200"/>
    <n v="553132800"/>
    <s v="CON CONVENIO"/>
    <s v="RS"/>
    <x v="11"/>
  </r>
  <r>
    <n v="31"/>
    <s v="N"/>
    <s v="MULTISECTORIAL"/>
    <s v="PALENA"/>
    <s v="HUALAIHUE"/>
    <s v="PV"/>
    <s v="DISEÑO"/>
    <n v="30340472"/>
    <s v="30340472-DISEÑO"/>
    <m/>
    <s v="30340472"/>
    <s v="CONSTRUCCION CEMENTERIO DE CONTAO, HUALAIHUE"/>
    <n v="44601000"/>
    <n v="0"/>
    <n v="44601000"/>
    <n v="0"/>
    <n v="0"/>
    <n v="0"/>
    <n v="0"/>
    <n v="0"/>
    <n v="0"/>
    <n v="44601000"/>
    <n v="0"/>
    <s v="TRAMITE CONVENIO"/>
    <s v="RS"/>
    <x v="2"/>
  </r>
  <r>
    <n v="31"/>
    <s v="N"/>
    <s v="TRANSPORTE"/>
    <s v="PALENA"/>
    <s v="HUALAIHUE"/>
    <s v="FAR"/>
    <s v="EJECUCION"/>
    <n v="30471092"/>
    <s v="30471092-EJECUCION"/>
    <m/>
    <s v="30471092"/>
    <s v="CONSERVACION CAMINOS VECINALES GLOSA 7,COMUNA HUALAIHUE, PROV. PALENA(C33)"/>
    <n v="354649000"/>
    <n v="0"/>
    <n v="30000000"/>
    <n v="0"/>
    <n v="0"/>
    <n v="0"/>
    <n v="0"/>
    <n v="0"/>
    <n v="0"/>
    <n v="30000000"/>
    <n v="324649000"/>
    <s v="TRAMITE CONVENIO"/>
    <s v="SR*"/>
    <x v="2"/>
  </r>
  <r>
    <n v="31"/>
    <s v="P"/>
    <s v="DEPORTE"/>
    <s v="PALENA"/>
    <s v="HUALAIHUE"/>
    <s v="PV"/>
    <s v="DISEÑO"/>
    <n v="30393123"/>
    <s v="30393123-DISEÑO"/>
    <m/>
    <s v="30393123"/>
    <s v="CONSTRUCCION GIMNASIO PICHICOLO"/>
    <n v="30175000"/>
    <n v="0"/>
    <n v="20000000"/>
    <n v="0"/>
    <n v="0"/>
    <n v="0"/>
    <n v="0"/>
    <n v="0"/>
    <n v="0"/>
    <n v="20000000"/>
    <n v="10175000"/>
    <s v="TRAMITE CONVENIO"/>
    <s v="RS"/>
    <x v="2"/>
  </r>
  <r>
    <n v="31"/>
    <s v="P"/>
    <s v="AGUA POTABLE Y ALCANTARILLADO"/>
    <s v="PALENA"/>
    <s v="HUALAIHUE"/>
    <s v="PIR"/>
    <s v="DISEÑO"/>
    <n v="30338024"/>
    <s v="30338024-DISEÑO"/>
    <m/>
    <s v="30338024"/>
    <s v="CONSTRUCCION SISTEMA AGUA POTABLE PUNTILLA PICHICOLO"/>
    <n v="33857000"/>
    <n v="0"/>
    <n v="33857000"/>
    <n v="0"/>
    <n v="0"/>
    <n v="0"/>
    <n v="0"/>
    <n v="0"/>
    <n v="0"/>
    <n v="33857000"/>
    <n v="0"/>
    <s v="TRAMITE CONVENIO"/>
    <s v="RS"/>
    <x v="2"/>
  </r>
  <r>
    <n v="31"/>
    <s v="P"/>
    <s v="AGUA POTABLE Y ALCANTARILLADO"/>
    <s v="PALENA"/>
    <s v="HUALAIHUE"/>
    <s v="SS"/>
    <s v="DISEÑO"/>
    <n v="30338523"/>
    <s v="30338523-DISEÑO"/>
    <m/>
    <s v="30338523"/>
    <s v="CONSTRUCCION SISTEMA AGUA POTABLE CHOLGO"/>
    <n v="33857000"/>
    <n v="0"/>
    <n v="33857000"/>
    <n v="0"/>
    <n v="0"/>
    <n v="0"/>
    <n v="0"/>
    <n v="0"/>
    <n v="0"/>
    <n v="33857000"/>
    <n v="0"/>
    <s v="TRAMITE CONVENIO"/>
    <s v="RS"/>
    <x v="2"/>
  </r>
  <r>
    <n v="31"/>
    <s v="N"/>
    <s v="AGUA POTABLE Y ALCANTARILLADO"/>
    <s v="PALENA"/>
    <s v="HUALAIHUE"/>
    <s v="PV"/>
    <s v="EJECUCION"/>
    <n v="30065600"/>
    <s v="30065600-EJECUCION"/>
    <m/>
    <s v="30065600"/>
    <s v="CONSTRUCCION SISTEMA AGUA POTABLE EL MANZANO"/>
    <n v="418012000"/>
    <n v="0"/>
    <n v="41801200"/>
    <n v="0"/>
    <n v="0"/>
    <n v="0"/>
    <n v="0"/>
    <n v="0"/>
    <n v="0"/>
    <n v="41801200"/>
    <n v="376210800"/>
    <s v="TRAMITE CONVENIO"/>
    <s v="RS"/>
    <x v="2"/>
  </r>
  <r>
    <m/>
    <m/>
    <m/>
    <m/>
    <m/>
    <m/>
    <m/>
    <m/>
    <m/>
    <m/>
    <m/>
    <s v="TOTAL DE INICIATIVAS EN CONVENIO Y TRAMITE"/>
    <n v="1643406000"/>
    <n v="0"/>
    <n v="299674300"/>
    <n v="0"/>
    <n v="0"/>
    <n v="0"/>
    <n v="0"/>
    <n v="0"/>
    <n v="0"/>
    <n v="299674300"/>
    <n v="13437317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SIN MOVIMIENTO"/>
    <m/>
    <m/>
    <m/>
    <m/>
    <m/>
    <m/>
    <m/>
    <m/>
    <m/>
    <m/>
    <m/>
    <m/>
    <m/>
    <x v="0"/>
  </r>
  <r>
    <n v="29"/>
    <s v="N"/>
    <s v="TRANSPORTE"/>
    <s v="PALENA"/>
    <s v="HUALAIHUE"/>
    <s v="LIBRE"/>
    <s v="EJECUCION"/>
    <n v="30471865"/>
    <s v="30471865-EJECUCION"/>
    <m/>
    <s v="30471865"/>
    <s v="ADQUISICION SISTEMA DE ILUMINACION PAD. RIO NEGRO HORNOPIREN(C33)"/>
    <n v="101104000"/>
    <n v="0"/>
    <n v="101104000"/>
    <n v="0"/>
    <n v="0"/>
    <n v="0"/>
    <n v="0"/>
    <n v="0"/>
    <n v="0"/>
    <n v="101104000"/>
    <n v="0"/>
    <s v="RECOMENDADO"/>
    <s v="RS*"/>
    <x v="2"/>
  </r>
  <r>
    <n v="29"/>
    <s v="N"/>
    <s v="DEFENSA Y SEGURIDAD"/>
    <s v="PALENA"/>
    <s v="HUALAIHUE"/>
    <s v="LIBRE"/>
    <s v="EJECUCION"/>
    <n v="30480167"/>
    <s v="30480167-EJECUCION"/>
    <m/>
    <s v="30480167"/>
    <s v="ADQUISICION LANCHA POLICIAL TENENCIA HORNOPIREN, COMUNA HUALAIHUE(C33)"/>
    <n v="74992000"/>
    <n v="0"/>
    <n v="3749600"/>
    <n v="0"/>
    <n v="0"/>
    <n v="0"/>
    <n v="0"/>
    <n v="0"/>
    <n v="0"/>
    <n v="3749600"/>
    <n v="71242400"/>
    <s v="OBSERVADO"/>
    <s v="SR*"/>
    <x v="2"/>
  </r>
  <r>
    <n v="29"/>
    <s v="N"/>
    <s v="MULTISECTORIAL"/>
    <s v="PALENA"/>
    <s v="HUALAIHUE"/>
    <s v="LIBRE"/>
    <s v="EJECUCION"/>
    <n v="30349931"/>
    <s v="30349931-EJECUCION"/>
    <m/>
    <s v="30349931"/>
    <s v="ADQUISICION CAMION MULTIPROPOSITO (C33)"/>
    <n v="330966000"/>
    <n v="0"/>
    <n v="0"/>
    <m/>
    <m/>
    <m/>
    <n v="0"/>
    <n v="0"/>
    <n v="0"/>
    <n v="0"/>
    <n v="330966000"/>
    <s v="APROBADO CORE"/>
    <s v="RS*"/>
    <x v="2"/>
  </r>
  <r>
    <n v="31"/>
    <s v="N"/>
    <s v="SALUD"/>
    <s v="PALENA"/>
    <s v="HUALAIHUE"/>
    <s v="LIBRE"/>
    <s v="DISEÑO"/>
    <n v="30311772"/>
    <s v="30311772-DISEÑO"/>
    <s v="30311772-FNDR"/>
    <s v="30311772"/>
    <s v="CONSTRUCCION CONSULTORIO RURAL DE CONTAO"/>
    <n v="121599000"/>
    <n v="0"/>
    <n v="5000000"/>
    <n v="0"/>
    <n v="0"/>
    <n v="0"/>
    <n v="0"/>
    <n v="0"/>
    <n v="0"/>
    <n v="5000000"/>
    <n v="116599000"/>
    <s v="ARI"/>
    <s v="SR"/>
    <x v="2"/>
  </r>
  <r>
    <n v="31"/>
    <s v="N"/>
    <s v="DEPORTE"/>
    <s v="PALENA"/>
    <s v="HUALAIHUE"/>
    <s v="LIBRE"/>
    <s v="EJECUCION"/>
    <n v="30395923"/>
    <s v="30395923-EJECUCION"/>
    <m/>
    <s v="30395923"/>
    <s v="CONSTRUCCION CARPETA SINTETICA CANCHA ROLECHA"/>
    <n v="596813000"/>
    <n v="0"/>
    <n v="59681300"/>
    <n v="0"/>
    <n v="0"/>
    <n v="0"/>
    <n v="0"/>
    <n v="0"/>
    <n v="0"/>
    <n v="59681300"/>
    <n v="537131700"/>
    <s v="ARI"/>
    <s v="SR"/>
    <x v="2"/>
  </r>
  <r>
    <m/>
    <m/>
    <m/>
    <m/>
    <m/>
    <m/>
    <m/>
    <m/>
    <m/>
    <m/>
    <m/>
    <s v="TOTAL DE INICIATIVAS SIN MOVIMIENTO"/>
    <n v="1225474000"/>
    <n v="0"/>
    <n v="169534900"/>
    <n v="0"/>
    <n v="0"/>
    <n v="0"/>
    <n v="0"/>
    <n v="0"/>
    <n v="0"/>
    <n v="169534900"/>
    <n v="10559391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TOTAL COMUNA DE  HUALAIHUE"/>
    <n v="5425097151"/>
    <n v="2229216151"/>
    <n v="555713950"/>
    <n v="0"/>
    <n v="0"/>
    <n v="3970778"/>
    <n v="3970778"/>
    <n v="58238761"/>
    <n v="62209539"/>
    <n v="493504411"/>
    <n v="264016705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COMUNA DE PALENA"/>
    <m/>
    <m/>
    <m/>
    <m/>
    <m/>
    <m/>
    <m/>
    <m/>
    <m/>
    <m/>
    <m/>
    <m/>
    <m/>
    <x v="0"/>
  </r>
  <r>
    <m/>
    <m/>
    <m/>
    <m/>
    <m/>
    <m/>
    <m/>
    <m/>
    <m/>
    <m/>
    <m/>
    <s v="INICIATIVAS EN EJECUCION"/>
    <m/>
    <m/>
    <m/>
    <m/>
    <m/>
    <m/>
    <m/>
    <m/>
    <m/>
    <m/>
    <m/>
    <m/>
    <m/>
    <x v="0"/>
  </r>
  <r>
    <n v="31"/>
    <s v="A"/>
    <s v="DEFENSA Y SEGURIDAD"/>
    <s v="PALENA"/>
    <s v="PALENA"/>
    <s v="PV"/>
    <s v="EJECUCION"/>
    <n v="30115295"/>
    <s v="30115295-EJECUCION"/>
    <m/>
    <s v="30115295"/>
    <s v="REPOSICION Y AMPLIACION CUARTEL 1° COMPAÑIA DE BOMBEROS DE PALENA"/>
    <n v="704595000"/>
    <n v="256755441"/>
    <n v="234865000"/>
    <n v="1645250"/>
    <n v="40971274"/>
    <n v="59963061"/>
    <n v="102579585"/>
    <n v="35001460"/>
    <n v="137581045"/>
    <n v="97283955"/>
    <n v="212974559"/>
    <s v="EN EJECUCION"/>
    <s v="RS"/>
    <x v="11"/>
  </r>
  <r>
    <n v="31"/>
    <s v="A"/>
    <s v="MULTISECTORIAL"/>
    <s v="PALENA"/>
    <s v="PALENA"/>
    <s v="PV"/>
    <s v="DISEÑO"/>
    <n v="30116040"/>
    <s v="30116040-DISEÑO"/>
    <m/>
    <s v="30116040"/>
    <s v="CONSTRUCCION BODEGA Y GALPON MUNICIPAL"/>
    <n v="43969000"/>
    <n v="35173080"/>
    <n v="0"/>
    <n v="0"/>
    <n v="0"/>
    <n v="0"/>
    <n v="0"/>
    <n v="0"/>
    <n v="0"/>
    <n v="0"/>
    <n v="8795920"/>
    <s v="EN EJECUCION"/>
    <s v="RS"/>
    <x v="11"/>
  </r>
  <r>
    <m/>
    <m/>
    <m/>
    <m/>
    <m/>
    <m/>
    <m/>
    <m/>
    <m/>
    <m/>
    <m/>
    <s v="TOTAL DE INICIATIVAS EN EJECUCION"/>
    <n v="748564000"/>
    <n v="291928521"/>
    <n v="234865000"/>
    <n v="1645250"/>
    <n v="40971274"/>
    <n v="59963061"/>
    <n v="102579585"/>
    <n v="35001460"/>
    <n v="137581045"/>
    <n v="97283955"/>
    <n v="221770479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LICITACION/ADJUDICACION"/>
    <m/>
    <m/>
    <m/>
    <m/>
    <m/>
    <m/>
    <m/>
    <m/>
    <m/>
    <m/>
    <m/>
    <m/>
    <m/>
    <x v="0"/>
  </r>
  <r>
    <n v="29"/>
    <s v="N"/>
    <s v="MULTISECTORIAL"/>
    <s v="PALENA"/>
    <s v="PALENA"/>
    <s v="LIBRE"/>
    <s v="EJECUCION"/>
    <n v="40000847"/>
    <s v="40000847-EJECUCION"/>
    <m/>
    <s v="40000847"/>
    <s v="ADQUISICION DOS CAMIONETAS Y UN FURGON Y UNA CAMIONETA DE CARGA(C33)"/>
    <n v="110000000"/>
    <n v="0"/>
    <n v="0"/>
    <n v="0"/>
    <n v="0"/>
    <n v="0"/>
    <n v="0"/>
    <n v="0"/>
    <n v="0"/>
    <n v="0"/>
    <n v="110000000"/>
    <s v="EN ADJUDICACION"/>
    <s v="RS*"/>
    <x v="2"/>
  </r>
  <r>
    <m/>
    <m/>
    <m/>
    <m/>
    <m/>
    <m/>
    <m/>
    <m/>
    <m/>
    <m/>
    <m/>
    <s v="TOTAL DE INICIATIVAS EN LICITACION/ADJUDICACION"/>
    <n v="110000000"/>
    <n v="0"/>
    <n v="0"/>
    <n v="0"/>
    <n v="0"/>
    <n v="0"/>
    <n v="0"/>
    <n v="0"/>
    <n v="0"/>
    <n v="0"/>
    <n v="1100000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SIN MOVIMIENTO"/>
    <m/>
    <m/>
    <m/>
    <m/>
    <m/>
    <m/>
    <m/>
    <m/>
    <m/>
    <m/>
    <m/>
    <m/>
    <m/>
    <x v="0"/>
  </r>
  <r>
    <n v="22"/>
    <s v="P"/>
    <s v="VIVIENDA"/>
    <s v="PALENA"/>
    <s v="PALENA"/>
    <s v="LIBRE"/>
    <s v="EJECUCION"/>
    <n v="30474713"/>
    <s v="30474713-EJECUCION"/>
    <m/>
    <s v="30474713"/>
    <s v="ACTUALIZACION PLAN REGULADOR COMUNA DE PALENA (C33)"/>
    <n v="130000000"/>
    <n v="0"/>
    <n v="39000000"/>
    <n v="0"/>
    <n v="0"/>
    <n v="0"/>
    <n v="0"/>
    <n v="0"/>
    <n v="0"/>
    <n v="39000000"/>
    <n v="91000000"/>
    <s v="APROBADO CORE"/>
    <s v="RS*"/>
    <x v="2"/>
  </r>
  <r>
    <n v="31"/>
    <s v="N"/>
    <s v="TRANSPORTE"/>
    <s v="PALENA"/>
    <s v="PALENA"/>
    <s v="PV"/>
    <s v="PREFACTIBILIDAD"/>
    <n v="30384235"/>
    <s v="30384235-PREFACTIBILIDAD"/>
    <m/>
    <s v="30384235"/>
    <s v="CONSTRUCCION CONEXION VIAL SECTOR PALENA-LAGO PALENA"/>
    <n v="565000000"/>
    <n v="0"/>
    <n v="169500000"/>
    <n v="0"/>
    <n v="0"/>
    <n v="0"/>
    <n v="0"/>
    <n v="0"/>
    <n v="0"/>
    <n v="169500000"/>
    <n v="395500000"/>
    <s v="ORD 1896, OF 2992"/>
    <s v="RS"/>
    <x v="11"/>
  </r>
  <r>
    <n v="31"/>
    <s v="N"/>
    <s v="TRANSPORTE"/>
    <s v="PALENA"/>
    <s v="PALENA"/>
    <s v="FAR"/>
    <s v="EJECUCION"/>
    <n v="30468388"/>
    <s v="30468388-EJECUCION"/>
    <m/>
    <s v="30468388"/>
    <s v="AMPLIACION AREA DE MOVIMIENTO PEQUEÑO AERODROMO ALTO PALENA"/>
    <n v="200002000"/>
    <n v="0"/>
    <n v="20000000"/>
    <n v="0"/>
    <n v="0"/>
    <n v="0"/>
    <n v="0"/>
    <n v="0"/>
    <n v="0"/>
    <n v="20000000"/>
    <n v="180002000"/>
    <s v="ARI"/>
    <s v="SR"/>
    <x v="2"/>
  </r>
  <r>
    <n v="31"/>
    <s v="N"/>
    <s v="AGUA POTABLE Y ALCANTARILLADO"/>
    <s v="PALENA"/>
    <s v="PALENA"/>
    <s v="SS"/>
    <s v="EJECUCION"/>
    <n v="30116034"/>
    <s v="30116034-EJECUCION"/>
    <m/>
    <s v="30116034"/>
    <s v="CONSTRUCCION SISTEMA DE AGUA POTABLE Y ALCANTARILLADO SECTOR PUERTO"/>
    <n v="565000000"/>
    <n v="0"/>
    <n v="28250000"/>
    <n v="0"/>
    <n v="0"/>
    <n v="0"/>
    <n v="0"/>
    <n v="0"/>
    <n v="0"/>
    <n v="28250000"/>
    <n v="536750000"/>
    <s v="ARI"/>
    <s v="SR"/>
    <x v="2"/>
  </r>
  <r>
    <n v="31"/>
    <s v="N"/>
    <s v="MULTISECTORIAL"/>
    <s v="PALENA"/>
    <s v="PALENA"/>
    <s v="RSD"/>
    <s v="EJECUCION"/>
    <n v="30125915"/>
    <s v="30125915-EJECUCION"/>
    <m/>
    <s v="30125915"/>
    <s v="CONSTRUCCION CENTRO INTEGRAL DE TRATAMIENTOS DE RSD"/>
    <n v="800000000"/>
    <n v="0"/>
    <n v="40000000"/>
    <n v="0"/>
    <n v="0"/>
    <n v="0"/>
    <n v="0"/>
    <n v="0"/>
    <n v="0"/>
    <n v="40000000"/>
    <n v="760000000"/>
    <s v="ARI"/>
    <s v="SR"/>
    <x v="2"/>
  </r>
  <r>
    <m/>
    <m/>
    <m/>
    <m/>
    <m/>
    <m/>
    <m/>
    <m/>
    <m/>
    <m/>
    <m/>
    <s v="TOTAL DE INICIATIVAS SIN MOVIMIENTO"/>
    <n v="2260002000"/>
    <n v="0"/>
    <n v="296750000"/>
    <n v="0"/>
    <n v="0"/>
    <n v="0"/>
    <n v="0"/>
    <n v="0"/>
    <n v="0"/>
    <n v="296750000"/>
    <n v="19632520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TOTAL COMUNA DE  PALENA"/>
    <n v="3118566000"/>
    <n v="291928521"/>
    <n v="531615000"/>
    <n v="1645250"/>
    <n v="40971274"/>
    <n v="59963061"/>
    <n v="102579585"/>
    <n v="35001460"/>
    <n v="137581045"/>
    <n v="394033955"/>
    <n v="2295022479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PROVINCIALES"/>
    <m/>
    <m/>
    <m/>
    <m/>
    <m/>
    <m/>
    <m/>
    <m/>
    <m/>
    <m/>
    <m/>
    <m/>
    <m/>
    <x v="0"/>
  </r>
  <r>
    <m/>
    <m/>
    <m/>
    <m/>
    <m/>
    <m/>
    <m/>
    <m/>
    <m/>
    <m/>
    <m/>
    <s v="INICIATIVAS EN EJECUCION"/>
    <m/>
    <m/>
    <m/>
    <m/>
    <m/>
    <m/>
    <m/>
    <m/>
    <m/>
    <m/>
    <m/>
    <m/>
    <m/>
    <x v="0"/>
  </r>
  <r>
    <n v="31"/>
    <s v="A"/>
    <s v="TRANSPORTE"/>
    <s v="PALENA"/>
    <s v="PROV. PALENA"/>
    <s v="PV"/>
    <s v="EJECUCION"/>
    <n v="30071449"/>
    <s v="30071449-EJECUCION"/>
    <m/>
    <s v="30071449"/>
    <s v="MEJORAMIENTO RUTA 7 SECTOR PTO. CARDENAS-SANTA LUCIA"/>
    <n v="23413705000"/>
    <n v="17047207852"/>
    <n v="3123088066"/>
    <n v="0"/>
    <n v="668533488"/>
    <n v="735673033"/>
    <n v="1404206521"/>
    <n v="1718881545"/>
    <n v="3123088066"/>
    <n v="0"/>
    <n v="3243409082"/>
    <s v="EN EJECUCION"/>
    <s v="RE"/>
    <x v="11"/>
  </r>
  <r>
    <n v="31"/>
    <s v="A"/>
    <s v="TRANSPORTE"/>
    <s v="PALENA"/>
    <s v="PROV. PALENA"/>
    <s v="PV"/>
    <s v="EJECUCION"/>
    <n v="30342724"/>
    <s v="30342724-EJECUCION"/>
    <m/>
    <s v="30342724"/>
    <s v="CONSERVACION CAMINOS BASICOS RUTA  W609 ETAPA I (C33)"/>
    <n v="1404332505"/>
    <n v="1396318184"/>
    <n v="0"/>
    <n v="0"/>
    <n v="0"/>
    <n v="0"/>
    <n v="0"/>
    <n v="0"/>
    <n v="0"/>
    <n v="0"/>
    <n v="8014321"/>
    <s v="EN EJECUCION"/>
    <s v="RS*"/>
    <x v="2"/>
  </r>
  <r>
    <n v="31"/>
    <s v="A"/>
    <s v="TRANSPORTE"/>
    <s v="PALENA"/>
    <s v="PROV. PALENA"/>
    <s v="PV"/>
    <s v="EJECUCION"/>
    <n v="30350774"/>
    <s v="30350774-EJECUCION"/>
    <m/>
    <s v="30350774"/>
    <s v="MEJORAMIENTO DIVERSAS CALLES PROVINCIA DE PALENA"/>
    <n v="2659379994"/>
    <n v="2641078795"/>
    <n v="0"/>
    <n v="0"/>
    <n v="0"/>
    <n v="0"/>
    <n v="0"/>
    <n v="0"/>
    <n v="0"/>
    <n v="0"/>
    <n v="18301199"/>
    <s v="EN EJECUCION"/>
    <s v="RS"/>
    <x v="11"/>
  </r>
  <r>
    <n v="31"/>
    <s v="P"/>
    <s v="SALUD"/>
    <s v="PALENA"/>
    <s v="PROV. PALENA"/>
    <s v="PV"/>
    <s v="DISEÑO"/>
    <n v="30351932"/>
    <s v="30351932-DISEÑO"/>
    <m/>
    <s v="30351932"/>
    <s v="HABILITACION DE UNIDADES CRITICAS, HOSPITAL DE CHAITEN"/>
    <n v="65679000"/>
    <n v="10409508"/>
    <n v="15095400"/>
    <n v="0"/>
    <n v="0"/>
    <n v="0"/>
    <n v="0"/>
    <n v="12491410"/>
    <n v="12491410"/>
    <n v="2603990"/>
    <n v="40174092"/>
    <s v="EN EJECUCION"/>
    <s v="RS"/>
    <x v="11"/>
  </r>
  <r>
    <n v="31"/>
    <s v="A"/>
    <s v="TRANSPORTE"/>
    <s v="PALENA"/>
    <s v="PROV. PALENA"/>
    <s v="PV"/>
    <s v="EJECUCION"/>
    <n v="30342673"/>
    <s v="30342673-EJECUCION"/>
    <m/>
    <s v="30342673"/>
    <s v="CONSTRUCION CAMINO RUTA  W 807 SECTOR PUENTE NEGRO PTE. AQUELLAS"/>
    <n v="8584233019"/>
    <n v="94762309"/>
    <n v="1230359938"/>
    <n v="0"/>
    <n v="1172563"/>
    <n v="1328397"/>
    <n v="2500960"/>
    <n v="252294"/>
    <n v="2753254"/>
    <n v="1227606684"/>
    <n v="7259110772"/>
    <s v="EN EJECUCION"/>
    <s v="RS"/>
    <x v="11"/>
  </r>
  <r>
    <n v="29"/>
    <s v="A"/>
    <s v="SALUD"/>
    <s v="PALENA"/>
    <s v="PROV. PALENA"/>
    <s v="LIBRE"/>
    <s v="EJECUCION"/>
    <n v="30428989"/>
    <s v="30428989-EJECUCION"/>
    <s v="30428989-FNDR"/>
    <s v="30428989"/>
    <s v="ADQUISICION EQUIPOS Y EQUIPAMIENTOS PARA HOSPITALES PROVINCIA DE PALENA(C33)"/>
    <n v="554963000"/>
    <n v="127658084"/>
    <n v="424963000"/>
    <n v="0"/>
    <n v="0"/>
    <n v="0"/>
    <n v="0"/>
    <n v="0"/>
    <n v="0"/>
    <n v="424963000"/>
    <n v="2341916"/>
    <s v="EN EJECUCION"/>
    <s v="RS*"/>
    <x v="2"/>
  </r>
  <r>
    <n v="33"/>
    <s v="P"/>
    <s v="MULTISECTORIAL"/>
    <s v="PALENA"/>
    <s v="PROV. PALENA"/>
    <s v="FRIL"/>
    <s v="EJECUCION"/>
    <s v="S/C"/>
    <s v="S/C-EJECUCION"/>
    <m/>
    <s v="S/C"/>
    <s v="FONDO  REGIONAL DE INICIATIVA LOCAL"/>
    <n v="850348800"/>
    <n v="0"/>
    <n v="850348800"/>
    <n v="0"/>
    <n v="135539820"/>
    <n v="53914879"/>
    <n v="189454699"/>
    <n v="174877775"/>
    <n v="364332474"/>
    <n v="486016326"/>
    <n v="0"/>
    <s v="EN EJECUCION"/>
    <s v="RS**"/>
    <x v="2"/>
  </r>
  <r>
    <n v="24"/>
    <s v="P"/>
    <s v="EDUCACIÓN Y CULTURA"/>
    <s v="PALENA"/>
    <s v="PROV. PALENA"/>
    <s v="LIBRE"/>
    <s v="EJECUCION"/>
    <s v="SUBT 24"/>
    <s v="SUBT 24-EJECUCION"/>
    <m/>
    <s v="SUBT 24"/>
    <s v="ACTIVIDADES CULTURALES"/>
    <n v="359099988.79963976"/>
    <n v="0"/>
    <n v="359099988.79963976"/>
    <n v="0"/>
    <n v="16243000"/>
    <n v="0"/>
    <n v="16243000"/>
    <n v="4587434"/>
    <n v="20830434"/>
    <n v="338269554.79963976"/>
    <n v="0"/>
    <s v="CONCURSO"/>
    <s v="RS***"/>
    <x v="2"/>
  </r>
  <r>
    <n v="24"/>
    <s v="P"/>
    <s v="DEPORTE"/>
    <s v="PALENA"/>
    <s v="PROV. PALENA"/>
    <s v="LIBRE"/>
    <s v="EJECUCION"/>
    <s v="SUBT 24"/>
    <s v="SUBT 24-EJECUCION"/>
    <m/>
    <s v="SUBT 24"/>
    <s v="ACTIVIDADES DEPORTIVAS"/>
    <n v="359099988.79963976"/>
    <n v="0"/>
    <n v="359099988.79963976"/>
    <n v="0"/>
    <n v="0"/>
    <n v="0"/>
    <n v="0"/>
    <n v="0"/>
    <n v="0"/>
    <n v="359099988.79963976"/>
    <n v="0"/>
    <s v="CONCURSO"/>
    <s v="RS***"/>
    <x v="2"/>
  </r>
  <r>
    <n v="24"/>
    <s v="P"/>
    <s v="DEFENSA Y SEGURIDAD"/>
    <s v="PALENA"/>
    <s v="PROV. PALENA"/>
    <s v="LIBRE"/>
    <s v="EJECUCION"/>
    <s v="SUBT 24"/>
    <s v="SUBT 24-EJECUCION"/>
    <m/>
    <s v="SUBT 24"/>
    <s v="ACTIVIDADES COMUNIDAD ACTIVA"/>
    <n v="359099988.79963976"/>
    <n v="0"/>
    <n v="359099988.79963976"/>
    <n v="0"/>
    <n v="5745950"/>
    <n v="3500000"/>
    <n v="9245950"/>
    <n v="0"/>
    <n v="9245950"/>
    <n v="349854038.79963976"/>
    <n v="0"/>
    <s v="CONCURSO"/>
    <s v="RS***"/>
    <x v="2"/>
  </r>
  <r>
    <m/>
    <m/>
    <m/>
    <m/>
    <m/>
    <m/>
    <m/>
    <m/>
    <m/>
    <m/>
    <m/>
    <s v="TOTAL DE INICIATIVAS EN EJECUCION"/>
    <n v="38609941284.398911"/>
    <n v="21317434732"/>
    <n v="6721155170.3989191"/>
    <n v="0"/>
    <n v="827234821"/>
    <n v="794416309"/>
    <n v="1621651130"/>
    <n v="1911090458"/>
    <n v="3532741588"/>
    <n v="3188413582.3989191"/>
    <n v="10571351382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TERMINADAS"/>
    <m/>
    <m/>
    <m/>
    <m/>
    <m/>
    <m/>
    <m/>
    <m/>
    <m/>
    <m/>
    <m/>
    <m/>
    <m/>
    <x v="0"/>
  </r>
  <r>
    <n v="24"/>
    <s v="P"/>
    <s v="ENERGÍA"/>
    <s v="PALENA"/>
    <s v="PROV. PALENA"/>
    <s v="ENERGIZACION"/>
    <s v="EJECUCION"/>
    <n v="30322174"/>
    <s v="30322174-EJECUCION"/>
    <m/>
    <s v="30322174"/>
    <s v="SUBSIDIO A LA OPERACION SISTEMA ISLAS DESERTORES"/>
    <n v="553778486"/>
    <n v="515137912"/>
    <n v="38640574"/>
    <n v="83944"/>
    <n v="12909872"/>
    <n v="13290124"/>
    <n v="26283940"/>
    <n v="12356634"/>
    <n v="38640574"/>
    <n v="0"/>
    <n v="0"/>
    <s v="TERMINADO"/>
    <s v="RS***"/>
    <x v="4"/>
  </r>
  <r>
    <m/>
    <m/>
    <m/>
    <m/>
    <m/>
    <m/>
    <m/>
    <m/>
    <m/>
    <m/>
    <m/>
    <s v="TOTAL DE INICIATIVAS TERMINADAS"/>
    <n v="553778486"/>
    <n v="515137912"/>
    <n v="38640574"/>
    <n v="83944"/>
    <n v="12909872"/>
    <n v="13290124"/>
    <n v="26283940"/>
    <n v="12356634"/>
    <n v="38640574"/>
    <n v="0"/>
    <n v="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LICITACION/ADJUDICACION"/>
    <m/>
    <m/>
    <m/>
    <m/>
    <m/>
    <m/>
    <m/>
    <m/>
    <m/>
    <m/>
    <m/>
    <m/>
    <m/>
    <x v="0"/>
  </r>
  <r>
    <n v="31"/>
    <s v="P"/>
    <s v="TRANSPORTE"/>
    <s v="PALENA"/>
    <s v="PROV. PALENA"/>
    <s v="PIR"/>
    <s v="EJECUCION"/>
    <n v="30447539"/>
    <s v="30447539-EJECUCION"/>
    <m/>
    <s v="30447539"/>
    <s v="DIAGNOSTICO DIVERSOS SECTORES EN ISLAS DESERTORES"/>
    <n v="188129000"/>
    <n v="220000"/>
    <n v="187909000"/>
    <n v="0"/>
    <n v="0"/>
    <n v="0"/>
    <n v="0"/>
    <n v="0"/>
    <n v="0"/>
    <n v="187909000"/>
    <n v="0"/>
    <s v="EN LICITACION"/>
    <s v="RS"/>
    <x v="7"/>
  </r>
  <r>
    <m/>
    <m/>
    <m/>
    <m/>
    <m/>
    <m/>
    <m/>
    <m/>
    <m/>
    <m/>
    <m/>
    <s v="TOTAL DE INICIATIVAS EN LICITACION/ADJUDICACION"/>
    <n v="188129000"/>
    <n v="220000"/>
    <n v="187909000"/>
    <n v="0"/>
    <n v="0"/>
    <n v="0"/>
    <n v="0"/>
    <n v="0"/>
    <n v="0"/>
    <n v="187909000"/>
    <n v="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CONVENIO Y TRAMITE"/>
    <m/>
    <m/>
    <m/>
    <m/>
    <m/>
    <m/>
    <m/>
    <m/>
    <m/>
    <m/>
    <m/>
    <m/>
    <m/>
    <x v="0"/>
  </r>
  <r>
    <n v="29"/>
    <s v="P"/>
    <s v="MULTISECTORIAL"/>
    <s v="PALENA"/>
    <s v="PROV. PALENA"/>
    <s v="LIBRE"/>
    <s v="EJECUCION"/>
    <n v="30398377"/>
    <s v="30398377-EJECUCION"/>
    <m/>
    <s v="30398377"/>
    <s v="ADQUISICION EQUIPOS GPS BIENES NACIONALES PALENA (C33)"/>
    <n v="33689000"/>
    <n v="0"/>
    <n v="33689000"/>
    <n v="0"/>
    <n v="0"/>
    <n v="0"/>
    <n v="0"/>
    <n v="0"/>
    <n v="0"/>
    <n v="33689000"/>
    <n v="0"/>
    <s v="CON CONVENIO"/>
    <s v="RS*"/>
    <x v="2"/>
  </r>
  <r>
    <n v="29"/>
    <s v="P"/>
    <s v="SALUD"/>
    <s v="PALENA"/>
    <s v="PROV. PALENA"/>
    <s v="PV"/>
    <s v="EJECUCION"/>
    <n v="30458546"/>
    <s v="30458546-EJECUCION"/>
    <s v="30458546-FNDR"/>
    <s v="30458546"/>
    <s v="REPOSICION MOVILES TRASLADOS HOSPITALES PROVINCIA DE PALENA(C33)"/>
    <n v="404955000"/>
    <n v="0"/>
    <n v="404955000"/>
    <n v="0"/>
    <n v="0"/>
    <n v="0"/>
    <n v="0"/>
    <n v="0"/>
    <n v="0"/>
    <n v="404955000"/>
    <n v="0"/>
    <s v="CON CONVENIO"/>
    <s v="RS*"/>
    <x v="2"/>
  </r>
  <r>
    <m/>
    <m/>
    <m/>
    <m/>
    <m/>
    <m/>
    <m/>
    <m/>
    <m/>
    <m/>
    <m/>
    <s v="TOTAL DE INICIATIVAS EN CONVENIO Y TRAMITE"/>
    <n v="438644000"/>
    <n v="0"/>
    <n v="438644000"/>
    <n v="0"/>
    <n v="0"/>
    <n v="0"/>
    <n v="0"/>
    <n v="0"/>
    <n v="0"/>
    <n v="438644000"/>
    <n v="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SIN MOVIMIENTO"/>
    <m/>
    <m/>
    <m/>
    <m/>
    <m/>
    <m/>
    <m/>
    <m/>
    <m/>
    <m/>
    <m/>
    <m/>
    <m/>
    <x v="0"/>
  </r>
  <r>
    <n v="24"/>
    <s v="P"/>
    <s v="ENERGÍA"/>
    <s v="PALENA"/>
    <s v="PROV. PALENA"/>
    <s v="ENERGIZACION"/>
    <s v="EJECUCION"/>
    <n v="30483010"/>
    <s v="30483010-EJECUCION"/>
    <m/>
    <s v="30483010"/>
    <s v="SUBSIDIO A LA OPERACION SISTEMA PRIVADO DE GENERACION ISLAS AYACARA"/>
    <n v="242000000"/>
    <n v="0"/>
    <n v="242000000"/>
    <n v="0"/>
    <n v="0"/>
    <n v="0"/>
    <n v="0"/>
    <n v="0"/>
    <n v="0"/>
    <n v="242000000"/>
    <n v="0"/>
    <s v="REQUERIMIENTO"/>
    <s v="RS***"/>
    <x v="2"/>
  </r>
  <r>
    <n v="31"/>
    <s v="N"/>
    <s v="TRANSPORTE"/>
    <s v="PALENA"/>
    <s v="PROV. PALENA"/>
    <s v="PV"/>
    <s v="EJECUCION"/>
    <n v="30384677"/>
    <s v="30384677-EJECUCION"/>
    <m/>
    <s v="30384677"/>
    <s v="MEJORAMIENTO RUTA 235-CH SECTOR V. S. LUCIA-P. RAMIREZ, PROV. PALENA"/>
    <n v="25266986000"/>
    <n v="0"/>
    <n v="893956424"/>
    <n v="0"/>
    <n v="0"/>
    <n v="0"/>
    <n v="0"/>
    <n v="0"/>
    <n v="0"/>
    <n v="893956424"/>
    <n v="24373029576"/>
    <s v="ARI"/>
    <s v="RS"/>
    <x v="2"/>
  </r>
  <r>
    <n v="31"/>
    <s v="N"/>
    <s v="SALUD"/>
    <s v="PALENA"/>
    <s v="PROV. PALENA"/>
    <s v="LIBRE"/>
    <s v="DISEÑO"/>
    <n v="30135200"/>
    <s v="30135200-DISEÑO"/>
    <m/>
    <s v="30135200"/>
    <s v="MEJORAMIENTO Y READECUACION FUNCIONAL HOSPITAL DE PALENA"/>
    <n v="50167000"/>
    <n v="0"/>
    <n v="10000000"/>
    <n v="0"/>
    <n v="0"/>
    <n v="0"/>
    <n v="0"/>
    <n v="0"/>
    <n v="0"/>
    <n v="10000000"/>
    <n v="40167000"/>
    <s v="ARI"/>
    <s v="SR"/>
    <x v="2"/>
  </r>
  <r>
    <m/>
    <m/>
    <m/>
    <m/>
    <m/>
    <m/>
    <m/>
    <m/>
    <m/>
    <m/>
    <m/>
    <s v="TOTAL DE INICIATIVAS SIN MOVIMIENTO"/>
    <n v="25559153000"/>
    <n v="0"/>
    <n v="1145956424"/>
    <n v="0"/>
    <n v="0"/>
    <n v="0"/>
    <n v="0"/>
    <n v="0"/>
    <n v="0"/>
    <n v="1145956424"/>
    <n v="24413196576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TOTAL PROVINCIALES"/>
    <n v="65349645770.398911"/>
    <n v="21832792644"/>
    <n v="8532305168.3989191"/>
    <n v="83944"/>
    <n v="840144693"/>
    <n v="807706433"/>
    <n v="1647935070"/>
    <n v="1923447092"/>
    <n v="3571382162"/>
    <n v="4960923006.3989191"/>
    <n v="34984547958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TOTAL PROVINCIA DE PALENA"/>
    <n v="99142338498.398911"/>
    <n v="29541980043"/>
    <n v="14924852489.398918"/>
    <n v="71837988"/>
    <n v="1598848975"/>
    <n v="1318273222"/>
    <n v="2988960185"/>
    <n v="2713335505"/>
    <n v="5702295690"/>
    <n v="9222556799.3989182"/>
    <n v="54675505966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BOMBEROS"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LICITACION/ADJUDICACION"/>
    <m/>
    <m/>
    <m/>
    <m/>
    <m/>
    <m/>
    <m/>
    <m/>
    <m/>
    <m/>
    <m/>
    <m/>
    <m/>
    <x v="0"/>
  </r>
  <r>
    <n v="31"/>
    <s v="N"/>
    <s v="DEFENSA Y SEGURIDAD"/>
    <s v="BOMBEROS"/>
    <s v="CASTRO"/>
    <s v="LIBRE"/>
    <s v="EJECUCION"/>
    <n v="30128503"/>
    <s v="30128503-EJECUCION"/>
    <m/>
    <s v="30128503"/>
    <s v="REPOSICION CUARTEL BOMBEROS 5TA CIA, COMUNA DE CASTRO"/>
    <n v="581779000"/>
    <n v="0"/>
    <n v="200000000"/>
    <n v="0"/>
    <n v="0"/>
    <n v="0"/>
    <n v="0"/>
    <n v="0"/>
    <n v="0"/>
    <n v="200000000"/>
    <n v="381779000"/>
    <s v="EN ADJUDICACION"/>
    <s v="RS"/>
    <x v="8"/>
  </r>
  <r>
    <m/>
    <m/>
    <m/>
    <m/>
    <m/>
    <m/>
    <m/>
    <m/>
    <m/>
    <m/>
    <m/>
    <s v="TOTAL DE INICIATIVAS EN LICITACION/ADJUDICACION"/>
    <n v="581779000"/>
    <n v="0"/>
    <n v="200000000"/>
    <n v="0"/>
    <n v="0"/>
    <n v="0"/>
    <n v="0"/>
    <n v="0"/>
    <n v="0"/>
    <n v="200000000"/>
    <n v="3817790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CONVENIO Y TRAMITE"/>
    <m/>
    <m/>
    <m/>
    <m/>
    <m/>
    <m/>
    <m/>
    <m/>
    <m/>
    <m/>
    <m/>
    <m/>
    <m/>
    <x v="0"/>
  </r>
  <r>
    <n v="29"/>
    <s v="N"/>
    <s v="DEFENSA Y SEGURIDAD"/>
    <s v="BOMBEROS"/>
    <s v="REGIONAL"/>
    <s v="LIBRE"/>
    <s v="EJECUCION"/>
    <s v="S/C"/>
    <s v="S/C-EJECUCION"/>
    <m/>
    <s v="S/C"/>
    <s v="ADQUISICION 10 CAMIONETAS DE 1° INTERVENCION(C33)"/>
    <n v="550000000"/>
    <n v="0"/>
    <n v="448000000"/>
    <n v="0"/>
    <n v="0"/>
    <n v="0"/>
    <n v="0"/>
    <n v="0"/>
    <n v="0"/>
    <n v="448000000"/>
    <n v="102000000"/>
    <s v="APROBADO CORE"/>
    <s v="RS*"/>
    <x v="2"/>
  </r>
  <r>
    <n v="29"/>
    <s v="N"/>
    <s v="DEFENSA Y SEGURIDAD"/>
    <s v="BOMBEROS"/>
    <s v="REGIONAL"/>
    <s v="LIBRE"/>
    <s v="EJECUCION"/>
    <s v="S/C"/>
    <s v="S/C-EJECUCION"/>
    <m/>
    <s v="S/C"/>
    <s v="ADQUISICION 10 CARROS BOMBAS(C33)"/>
    <n v="750000000"/>
    <n v="0"/>
    <n v="750000000"/>
    <n v="0"/>
    <n v="0"/>
    <n v="0"/>
    <n v="0"/>
    <n v="0"/>
    <n v="0"/>
    <n v="750000000"/>
    <n v="0"/>
    <s v="APROBADO CORE"/>
    <s v="RS*"/>
    <x v="2"/>
  </r>
  <r>
    <n v="29"/>
    <s v="N"/>
    <s v="DEFENSA Y SEGURIDAD"/>
    <s v="BOMBEROS"/>
    <s v="CALBUCO"/>
    <s v="LIBRE"/>
    <s v="EJECUCION"/>
    <n v="30450875"/>
    <s v="30450875-EJECUCION"/>
    <m/>
    <s v="30450875"/>
    <s v="REPOSICION CARRO BOMBA 2° CIA. BOMBEROS CALBUCO(C33)"/>
    <n v="324231000"/>
    <n v="0"/>
    <n v="324231000"/>
    <n v="0"/>
    <n v="0"/>
    <n v="0"/>
    <n v="0"/>
    <n v="0"/>
    <n v="0"/>
    <n v="324231000"/>
    <n v="0"/>
    <s v="ARI"/>
    <s v="RS*"/>
    <x v="2"/>
  </r>
  <r>
    <m/>
    <m/>
    <m/>
    <m/>
    <m/>
    <m/>
    <m/>
    <m/>
    <m/>
    <m/>
    <m/>
    <s v="TOTAL DE INICIATIVAS EN CONVENIO Y TRAMITE"/>
    <n v="1624231000"/>
    <n v="0"/>
    <n v="1522231000"/>
    <n v="0"/>
    <n v="0"/>
    <n v="0"/>
    <n v="0"/>
    <n v="0"/>
    <n v="0"/>
    <n v="1522231000"/>
    <n v="1020000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TOTAL BOMBEROS"/>
    <n v="2206010000"/>
    <n v="0"/>
    <n v="1722231000"/>
    <n v="0"/>
    <n v="0"/>
    <n v="0"/>
    <n v="0"/>
    <n v="0"/>
    <n v="0"/>
    <n v="1722231000"/>
    <n v="4837790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REGIONALES"/>
    <m/>
    <m/>
    <m/>
    <m/>
    <m/>
    <m/>
    <m/>
    <m/>
    <m/>
    <m/>
    <m/>
    <m/>
    <m/>
    <x v="0"/>
  </r>
  <r>
    <m/>
    <m/>
    <m/>
    <m/>
    <m/>
    <m/>
    <m/>
    <m/>
    <m/>
    <m/>
    <m/>
    <s v="INICIATIVAS EN EJECUCION"/>
    <m/>
    <m/>
    <m/>
    <m/>
    <m/>
    <m/>
    <m/>
    <m/>
    <m/>
    <m/>
    <m/>
    <m/>
    <m/>
    <x v="0"/>
  </r>
  <r>
    <n v="33"/>
    <s v="A"/>
    <s v="TRANSPORTE"/>
    <s v="REGIONAL"/>
    <s v="REGIONAL"/>
    <s v="LIBRE"/>
    <s v="EJECUCION"/>
    <n v="30429222"/>
    <s v="30429222-EJECUCION"/>
    <m/>
    <s v="30429222"/>
    <s v="TRANSFERENCIA PROGRAMA RENOVACION FLOTA LOCOMOCION COLECTIVA"/>
    <n v="4529449000"/>
    <n v="995670000"/>
    <n v="2000000000"/>
    <n v="0"/>
    <n v="0"/>
    <n v="0"/>
    <n v="0"/>
    <n v="0"/>
    <n v="0"/>
    <n v="2000000000"/>
    <n v="1533779000"/>
    <s v="EN EJECUCION"/>
    <s v="RS**"/>
    <x v="2"/>
  </r>
  <r>
    <m/>
    <m/>
    <m/>
    <m/>
    <m/>
    <m/>
    <m/>
    <m/>
    <m/>
    <m/>
    <m/>
    <s v="TOTAL DE INICIATIVAS EN EJECUCION"/>
    <n v="4529449000"/>
    <n v="995670000"/>
    <n v="2000000000"/>
    <n v="0"/>
    <n v="0"/>
    <n v="0"/>
    <n v="0"/>
    <n v="0"/>
    <n v="0"/>
    <n v="2000000000"/>
    <n v="15337790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LICITACION/ADJUDICACION"/>
    <m/>
    <m/>
    <m/>
    <m/>
    <m/>
    <m/>
    <m/>
    <m/>
    <m/>
    <m/>
    <m/>
    <m/>
    <m/>
    <x v="0"/>
  </r>
  <r>
    <n v="31"/>
    <s v="P"/>
    <s v="MULTISECTORIAL"/>
    <s v="REGIONAL"/>
    <s v="REGIONAL"/>
    <s v="FAR"/>
    <s v="FACTIBILIDAD"/>
    <n v="30409780"/>
    <s v="30409780-FACTIBILIDAD"/>
    <m/>
    <s v="30409780"/>
    <s v="REPOSICION COMPLEJOR FRONTERIZO CARDENAL SAMORE"/>
    <n v="435192000"/>
    <n v="0"/>
    <n v="335192000"/>
    <n v="0"/>
    <n v="0"/>
    <n v="0"/>
    <n v="0"/>
    <n v="0"/>
    <n v="0"/>
    <n v="335192000"/>
    <n v="100000000"/>
    <s v="EN ADJUDICACION"/>
    <s v="RS"/>
    <x v="1"/>
  </r>
  <r>
    <m/>
    <m/>
    <m/>
    <m/>
    <m/>
    <m/>
    <m/>
    <m/>
    <m/>
    <m/>
    <m/>
    <s v="TOTAL DE INICIATIVAS EN LICITACION/ADJUDICACION"/>
    <n v="435192000"/>
    <n v="0"/>
    <n v="335192000"/>
    <n v="0"/>
    <n v="0"/>
    <n v="0"/>
    <n v="0"/>
    <n v="0"/>
    <n v="0"/>
    <n v="335192000"/>
    <n v="1000000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EN CONVENIO Y TRAMITE"/>
    <m/>
    <m/>
    <m/>
    <m/>
    <m/>
    <m/>
    <m/>
    <m/>
    <m/>
    <m/>
    <m/>
    <m/>
    <m/>
    <x v="0"/>
  </r>
  <r>
    <n v="29"/>
    <s v="P"/>
    <s v="DEFENSA Y SEGURIDAD"/>
    <s v="REGIONAL"/>
    <s v="REGIONAL"/>
    <s v="LIBRE"/>
    <s v="EJECUCION"/>
    <n v="30415731"/>
    <s v="30415731-EJECUCION"/>
    <m/>
    <s v="30415731"/>
    <s v="EQUIPAMIENTO PLANTAS  POTABILIZADORAS DE EMERGENCIA(C33)"/>
    <n v="669066000"/>
    <n v="0"/>
    <n v="669066000"/>
    <n v="0"/>
    <n v="0"/>
    <n v="0"/>
    <n v="0"/>
    <n v="0"/>
    <n v="0"/>
    <n v="669066000"/>
    <n v="0"/>
    <s v="CON CONVENIO"/>
    <s v="RS*"/>
    <x v="2"/>
  </r>
  <r>
    <n v="22"/>
    <s v="P"/>
    <s v="MULTISECTORIAL"/>
    <s v="REGIONAL"/>
    <s v="REGIONAL"/>
    <s v="LIBRE"/>
    <s v="EJECUCION"/>
    <n v="30430874"/>
    <s v="30430874-EJECUCION"/>
    <m/>
    <s v="30430874"/>
    <s v="ACTUALIZACION, MODIFICACION Y REESTRUCTURACION DE LA PROPUESTA PROT (C33)"/>
    <n v="403457000"/>
    <n v="0"/>
    <n v="284067000"/>
    <n v="0"/>
    <n v="0"/>
    <n v="0"/>
    <n v="0"/>
    <n v="0"/>
    <n v="0"/>
    <n v="284067000"/>
    <n v="119390000"/>
    <s v="TRAMITE CONVENIO"/>
    <s v="RS*"/>
    <x v="2"/>
  </r>
  <r>
    <n v="29"/>
    <s v="N"/>
    <s v="DEFENSA Y SEGURIDAD"/>
    <s v="REGIONAL"/>
    <s v="REGIONAL"/>
    <s v="LIBRE"/>
    <s v="EJECUCION"/>
    <n v="30137152"/>
    <s v="30137152-EJECUCION"/>
    <m/>
    <s v="30137152"/>
    <s v="EQUIPAMIENTO DE RESCATE Y REPOSICION VEHICULOS PARA GOPE(C33)"/>
    <n v="247557000"/>
    <n v="0"/>
    <n v="0"/>
    <n v="0"/>
    <n v="0"/>
    <n v="0"/>
    <n v="0"/>
    <n v="0"/>
    <n v="0"/>
    <n v="0"/>
    <n v="247557000"/>
    <s v="TRAMITE CONVENIO"/>
    <s v="RS*"/>
    <x v="2"/>
  </r>
  <r>
    <m/>
    <m/>
    <m/>
    <m/>
    <m/>
    <m/>
    <m/>
    <m/>
    <m/>
    <m/>
    <m/>
    <s v="TOTAL DE INICIATIVAS EN CONVENIO Y TRAMITE"/>
    <n v="1320080000"/>
    <n v="0"/>
    <n v="953133000"/>
    <n v="0"/>
    <n v="0"/>
    <n v="0"/>
    <n v="0"/>
    <n v="0"/>
    <n v="0"/>
    <n v="953133000"/>
    <n v="3669470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SIN MOVIMIENTO"/>
    <m/>
    <m/>
    <m/>
    <m/>
    <m/>
    <m/>
    <m/>
    <m/>
    <m/>
    <m/>
    <m/>
    <m/>
    <m/>
    <x v="0"/>
  </r>
  <r>
    <n v="31"/>
    <s v="N"/>
    <s v="MULTISECTORIAL"/>
    <s v="REGIONAL"/>
    <s v="REGIONAL"/>
    <s v="RSD"/>
    <s v="EJECUCION"/>
    <n v="30469138"/>
    <s v="30469138-EJECUCION"/>
    <m/>
    <s v="30469138"/>
    <s v="DIAGNOSTICO PARA LA ESTRATEGIA REGIONAL RESIDUOS SOLIDOS"/>
    <n v="99796000"/>
    <n v="0"/>
    <n v="50000000"/>
    <n v="0"/>
    <n v="0"/>
    <n v="0"/>
    <n v="0"/>
    <n v="0"/>
    <n v="0"/>
    <n v="50000000"/>
    <n v="49796000"/>
    <s v="ARI"/>
    <s v="SR"/>
    <x v="2"/>
  </r>
  <r>
    <n v="31"/>
    <s v="N"/>
    <s v="SALUD"/>
    <s v="REGIONAL"/>
    <s v="REGIONAL"/>
    <s v="LIBRE"/>
    <s v="EJECUCION"/>
    <n v="30488757"/>
    <s v="30488757-EJECUCION"/>
    <m/>
    <s v="30488757"/>
    <s v="HABILITACION BANCO DE LECHE MATERNA DONADA"/>
    <n v="600000000"/>
    <n v="0"/>
    <n v="0"/>
    <n v="0"/>
    <n v="0"/>
    <n v="0"/>
    <n v="0"/>
    <n v="0"/>
    <n v="0"/>
    <n v="0"/>
    <n v="600000000"/>
    <s v="SOLICITUD SSR"/>
    <s v="SR"/>
    <x v="2"/>
  </r>
  <r>
    <n v="29"/>
    <s v="N"/>
    <s v="SALUD"/>
    <s v="REGIONAL"/>
    <s v="REGIONAL"/>
    <s v="LIBRE"/>
    <s v="EJECUCION"/>
    <n v="40001507"/>
    <s v="40001507-EJECUCION"/>
    <m/>
    <s v="40001507"/>
    <s v="HABILITACION DE BOX Y CAMARA HIPERBARICA(C33)"/>
    <n v="690000000"/>
    <n v="0"/>
    <n v="0"/>
    <n v="0"/>
    <n v="0"/>
    <n v="0"/>
    <n v="0"/>
    <n v="0"/>
    <n v="0"/>
    <n v="0"/>
    <n v="690000000"/>
    <s v="SOLICITUD SSR"/>
    <s v="SR*"/>
    <x v="2"/>
  </r>
  <r>
    <n v="29"/>
    <s v="N"/>
    <s v="SALUD"/>
    <s v="REGIONAL"/>
    <s v="REGIONAL"/>
    <s v="LIBRE"/>
    <s v="EJECUCION"/>
    <n v="30488894"/>
    <s v="30488894-EJECUCION"/>
    <m/>
    <s v="30488894"/>
    <s v="ADQUISICION EQUIPOS Y EQUIPAMIENTO PARA HABILITACION PABELLON CMA (C33)"/>
    <n v="1055427000"/>
    <n v="0"/>
    <n v="400000000"/>
    <n v="0"/>
    <n v="0"/>
    <n v="0"/>
    <n v="0"/>
    <n v="0"/>
    <n v="0"/>
    <n v="400000000"/>
    <n v="655427000"/>
    <s v="SOLICITUD SSR"/>
    <s v="SR*"/>
    <x v="2"/>
  </r>
  <r>
    <n v="31"/>
    <s v="P"/>
    <s v="MULTISECTORIAL"/>
    <s v="REGIONAL"/>
    <s v="REGIONAL"/>
    <s v="LIBRE"/>
    <s v="EJECUCION"/>
    <n v="30460140"/>
    <s v="30460140-EJECUCION"/>
    <m/>
    <s v="30460140"/>
    <s v="CONSERVACION FACHADAS Y CIRCULACIONES CENTRO ADMINISTRATIVO REGIONAL (C33)"/>
    <n v="3000000000"/>
    <n v="0"/>
    <n v="200000000"/>
    <n v="0"/>
    <n v="0"/>
    <n v="0"/>
    <n v="0"/>
    <n v="0"/>
    <n v="0"/>
    <n v="200000000"/>
    <n v="2800000000"/>
    <s v="REQUERIMIENTO"/>
    <s v="RS*"/>
    <x v="7"/>
  </r>
  <r>
    <n v="31"/>
    <s v="N"/>
    <s v="DEFENSA Y SEGURIDAD"/>
    <s v="REGIONAL"/>
    <s v="REGIONAL"/>
    <s v="LIBRE"/>
    <s v="DISEÑO"/>
    <n v="30433022"/>
    <s v="30433022-DISEÑO"/>
    <m/>
    <s v="30433022"/>
    <s v="CONSTRUCCION EDIFICIO INSTITUCIONAL ONEMI LOS LAGOS"/>
    <n v="200000000"/>
    <n v="0"/>
    <n v="0"/>
    <n v="0"/>
    <n v="0"/>
    <n v="0"/>
    <n v="0"/>
    <n v="0"/>
    <n v="0"/>
    <n v="0"/>
    <n v="200000000"/>
    <s v="SOLICITUD ONEMI"/>
    <s v="SR"/>
    <x v="2"/>
  </r>
  <r>
    <m/>
    <m/>
    <m/>
    <m/>
    <m/>
    <m/>
    <m/>
    <m/>
    <m/>
    <m/>
    <m/>
    <s v="TOTAL DE INICIATIVAS SIN MOVIMIENTO"/>
    <n v="5645223000"/>
    <n v="0"/>
    <n v="650000000"/>
    <n v="0"/>
    <n v="0"/>
    <n v="0"/>
    <n v="0"/>
    <n v="0"/>
    <n v="0"/>
    <n v="650000000"/>
    <n v="49952230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TOTAL REGIONAL"/>
    <n v="11929944000"/>
    <n v="995670000"/>
    <n v="3938325000"/>
    <n v="0"/>
    <n v="0"/>
    <n v="0"/>
    <n v="0"/>
    <n v="0"/>
    <n v="0"/>
    <n v="3938325000"/>
    <n v="699594900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FOMENTO"/>
    <m/>
    <m/>
    <m/>
    <m/>
    <m/>
    <m/>
    <m/>
    <m/>
    <m/>
    <m/>
    <m/>
    <m/>
    <m/>
    <x v="0"/>
  </r>
  <r>
    <m/>
    <m/>
    <m/>
    <m/>
    <m/>
    <m/>
    <m/>
    <m/>
    <m/>
    <m/>
    <m/>
    <s v="INICIATIVAS EN EJECUCION"/>
    <m/>
    <m/>
    <m/>
    <m/>
    <m/>
    <m/>
    <m/>
    <m/>
    <m/>
    <m/>
    <m/>
    <m/>
    <m/>
    <x v="0"/>
  </r>
  <r>
    <n v="33"/>
    <s v="A"/>
    <s v="SILVOAGROPECUARIO"/>
    <s v="FOMENTO"/>
    <s v="FOMENTO"/>
    <s v="PV"/>
    <s v="EJECUCION"/>
    <n v="30342022"/>
    <s v="30342022-EJECUCION"/>
    <m/>
    <s v="30342022"/>
    <s v="TRANSFERENCIA PDT PECUARIO BOVINO Y AGROINDUSTRIAL TPV"/>
    <n v="198000000"/>
    <n v="193245960"/>
    <n v="2254039"/>
    <n v="0"/>
    <n v="0"/>
    <n v="78930"/>
    <n v="78930"/>
    <n v="536512"/>
    <n v="615442"/>
    <n v="1638597"/>
    <n v="2500001"/>
    <s v="EN EJECUCION"/>
    <s v="RS"/>
    <x v="12"/>
  </r>
  <r>
    <n v="33"/>
    <s v="A"/>
    <s v="INDUSTRIA, COMERCIO, FINANZAS Y TURISMO"/>
    <s v="FOMENTO"/>
    <s v="FOMENTO"/>
    <s v="LIBRE"/>
    <s v="EJECUCION"/>
    <n v="30364279"/>
    <s v="30364279-EJECUCION"/>
    <m/>
    <s v="30364279"/>
    <s v="TRANSFERENCIA PROGRAMA  FOMENTO PRODUCTIVO ASOCIATIVO 2 REGION DE LOS LAGOS"/>
    <n v="1007332301"/>
    <n v="994077298"/>
    <n v="0"/>
    <n v="0"/>
    <n v="0"/>
    <n v="0"/>
    <n v="0"/>
    <n v="0"/>
    <n v="0"/>
    <n v="0"/>
    <n v="13255003"/>
    <s v="EN EJECUCION"/>
    <s v="RS**"/>
    <x v="12"/>
  </r>
  <r>
    <n v="33"/>
    <s v="A"/>
    <s v="SILVOAGROPECUARIO"/>
    <s v="FOMENTO"/>
    <s v="FOMENTO"/>
    <s v="PV"/>
    <s v="EJECUCION"/>
    <n v="30326872"/>
    <s v="30326872-EJECUCION"/>
    <m/>
    <s v="30326872"/>
    <s v="TRANSFERENCIA Y ADOPCION DESARROLLO CAPITAL HUMANO PARA LA AGRICULTURA FAMILIAR CAMPESINA"/>
    <n v="60000000"/>
    <n v="59123879"/>
    <n v="0"/>
    <n v="0"/>
    <n v="0"/>
    <n v="0"/>
    <n v="0"/>
    <n v="0"/>
    <n v="0"/>
    <n v="0"/>
    <n v="876121"/>
    <s v="EN EJECUCION"/>
    <s v="RS**"/>
    <x v="12"/>
  </r>
  <r>
    <n v="33"/>
    <s v="A"/>
    <s v="PESCA"/>
    <s v="FOMENTO"/>
    <s v="FOMENTO"/>
    <s v="PV"/>
    <s v="EJECUCION"/>
    <n v="30341732"/>
    <s v="30341732-EJECUCION"/>
    <m/>
    <s v="30341732"/>
    <s v="TRANSFERENCIA FORTALECER PESCA ARTESANAL CHAITEN, HUALAIHUE Y COCHAMO"/>
    <n v="382821104"/>
    <n v="287548000"/>
    <n v="90273104"/>
    <n v="45024120"/>
    <n v="0"/>
    <n v="45248984"/>
    <n v="90273104"/>
    <n v="0"/>
    <n v="90273104"/>
    <n v="0"/>
    <n v="5000000"/>
    <s v="EN EJECUCION"/>
    <s v="RS**"/>
    <x v="2"/>
  </r>
  <r>
    <n v="33"/>
    <s v="A"/>
    <s v="INDUSTRIA, COMERCIO, FINANZAS Y TURISMO"/>
    <s v="FOMENTO"/>
    <s v="FOMENTO"/>
    <s v="PV"/>
    <s v="EJECUCION"/>
    <n v="30342073"/>
    <s v="30342073-EJECUCION"/>
    <m/>
    <s v="30342073"/>
    <s v="TRANSFERENCIA DESARROLLO SUSTENTABLE DESTINO TURISTICO PATAGONIA VERDE"/>
    <n v="960000000"/>
    <n v="482500000"/>
    <n v="287226896"/>
    <n v="0"/>
    <n v="0"/>
    <n v="31494"/>
    <n v="31494"/>
    <n v="3147855"/>
    <n v="3179349"/>
    <n v="284047547"/>
    <n v="190273104"/>
    <s v="EN EJECUCION"/>
    <s v="RS"/>
    <x v="12"/>
  </r>
  <r>
    <n v="33"/>
    <s v="A"/>
    <s v="INDUSTRIA, COMERCIO, FINANZAS Y TURISMO"/>
    <s v="FOMENTO"/>
    <s v="FOMENTO"/>
    <s v="PV"/>
    <s v="EJECUCION"/>
    <n v="30345125"/>
    <s v="30345125-EJECUCION"/>
    <m/>
    <s v="30345125"/>
    <s v="TRANSFERENCIA FORTALECIMIENTO MICRO Y PEQUEÑA EMPRESA"/>
    <n v="1060000000"/>
    <n v="790964379"/>
    <n v="251286941"/>
    <n v="0"/>
    <n v="0"/>
    <n v="0"/>
    <n v="0"/>
    <n v="762833"/>
    <n v="762833"/>
    <n v="250524108"/>
    <n v="17748680"/>
    <s v="EN EJECUCION"/>
    <s v="RS"/>
    <x v="12"/>
  </r>
  <r>
    <n v="33"/>
    <s v="A"/>
    <s v="INDUSTRIA, COMERCIO, FINANZAS Y TURISMO"/>
    <s v="FOMENTO"/>
    <s v="FOMENTO"/>
    <s v="PV"/>
    <s v="EJECUCION"/>
    <n v="30342023"/>
    <s v="30342023-EJECUCION"/>
    <m/>
    <s v="30342023"/>
    <s v="CAPACITACION CENTRO EMPRENDIMIENTO PATAGONIA VERDE "/>
    <n v="602433000"/>
    <n v="184553121"/>
    <n v="182650500"/>
    <n v="0"/>
    <n v="0"/>
    <n v="0"/>
    <n v="0"/>
    <n v="0"/>
    <n v="0"/>
    <n v="182650500"/>
    <n v="235229379"/>
    <s v="EN EJECUCION"/>
    <s v="RS"/>
    <x v="12"/>
  </r>
  <r>
    <n v="33"/>
    <s v="A"/>
    <s v="SILVOAGROPECUARIO"/>
    <s v="FOMENTO"/>
    <s v="FOMENTO"/>
    <s v="PV"/>
    <s v="EJECUCION"/>
    <n v="30329922"/>
    <s v="30329922-EJECUCION"/>
    <m/>
    <s v="30329922"/>
    <s v="TRANSFERENCIA TECNOLOGICA PARA EL DESARROLLO Y POTENCIAMIENTO DE LA AFC"/>
    <n v="530000000"/>
    <n v="72327909"/>
    <n v="200000000"/>
    <n v="0"/>
    <n v="0"/>
    <n v="0"/>
    <n v="0"/>
    <n v="0"/>
    <n v="0"/>
    <n v="200000000"/>
    <n v="257672091"/>
    <s v="EN EJECUCION"/>
    <s v="RS"/>
    <x v="2"/>
  </r>
  <r>
    <n v="33"/>
    <s v="A"/>
    <s v="SILVOAGROPECUARIO"/>
    <s v="FOMENTO"/>
    <s v="FOMENTO"/>
    <s v="PV"/>
    <s v="EJECUCION"/>
    <n v="30341173"/>
    <s v="30341173-EJECUCION"/>
    <m/>
    <s v="30341173"/>
    <s v="TRANSFERENCIA PROGRAMA VALORACION SELLO ORIGEN DE PRODUCTOS SILVOAGROPECUARIOS"/>
    <n v="450000000"/>
    <n v="49745252"/>
    <n v="250000000"/>
    <n v="0"/>
    <n v="0"/>
    <n v="0"/>
    <n v="0"/>
    <n v="0"/>
    <n v="0"/>
    <n v="250000000"/>
    <n v="150254748"/>
    <s v="EN EJECUCION"/>
    <s v="RS"/>
    <x v="2"/>
  </r>
  <r>
    <n v="33"/>
    <s v="A"/>
    <s v="SILVOAGROPECUARIO"/>
    <s v="FOMENTO"/>
    <s v="FOMENTO"/>
    <s v="PV"/>
    <s v="EJECUCION"/>
    <n v="30341175"/>
    <s v="30341175-EJECUCION"/>
    <m/>
    <s v="30341175"/>
    <s v="PROGRAMA MEJORAMIENTO GENETICO OVINO/BOVINO TPV"/>
    <n v="600000000"/>
    <n v="80000000"/>
    <n v="300000000"/>
    <n v="0"/>
    <n v="0"/>
    <n v="0"/>
    <n v="0"/>
    <n v="0"/>
    <n v="0"/>
    <n v="300000000"/>
    <n v="220000000"/>
    <s v="EN EJECUCION"/>
    <s v="RS"/>
    <x v="2"/>
  </r>
  <r>
    <n v="33"/>
    <s v="A"/>
    <s v="SILVOAGROPECUARIO"/>
    <s v="FOMENTO"/>
    <s v="FOMENTO"/>
    <s v="PV"/>
    <s v="EJECUCION"/>
    <n v="30341424"/>
    <s v="30341424-EJECUCION"/>
    <m/>
    <s v="30341424"/>
    <s v="TRANSFERENCIA MONITOREO SITUACION SANITARIA EN BOVINOS Y OVINOS DEL TPV"/>
    <n v="169500000"/>
    <n v="24997878"/>
    <n v="80000000"/>
    <n v="0"/>
    <n v="0"/>
    <n v="0"/>
    <n v="0"/>
    <n v="0"/>
    <n v="0"/>
    <n v="80000000"/>
    <n v="64502122"/>
    <s v="EN EJECUCION"/>
    <s v="RS"/>
    <x v="2"/>
  </r>
  <r>
    <n v="33"/>
    <s v="A"/>
    <s v="SILVOAGROPECUARIO"/>
    <s v="FOMENTO"/>
    <s v="FOMENTO"/>
    <s v="PV"/>
    <s v="EJECUCION"/>
    <n v="30341439"/>
    <s v="30341439-EJECUCION"/>
    <m/>
    <s v="30341439"/>
    <s v="TRANSFERENCIA PROGRAMA RECUPERACION SUELO DEGRADADOS EN TPV"/>
    <n v="210000000"/>
    <n v="0"/>
    <n v="150000000"/>
    <n v="0"/>
    <n v="0"/>
    <n v="0"/>
    <n v="0"/>
    <n v="0"/>
    <n v="0"/>
    <n v="150000000"/>
    <n v="60000000"/>
    <s v="EN EJECUCION"/>
    <s v="RS"/>
    <x v="2"/>
  </r>
  <r>
    <n v="33"/>
    <s v="A"/>
    <s v="INDUSTRIA, COMERCIO, FINANZAS Y TURISMO"/>
    <s v="FOMENTO"/>
    <s v="FOMENTO"/>
    <s v="PV"/>
    <s v="EJECUCION"/>
    <n v="30337226"/>
    <s v="30337226-EJECUCION"/>
    <m/>
    <s v="30337226"/>
    <s v="TRANSFERENCIA DESARROLLO DEL T.I.E. EN TERRITORIO PATAGONIA VERDE "/>
    <n v="1275000000"/>
    <n v="696647777"/>
    <n v="255000000"/>
    <n v="0"/>
    <n v="0"/>
    <n v="27497121"/>
    <n v="27497121"/>
    <n v="11085475"/>
    <n v="38582596"/>
    <n v="216417404"/>
    <n v="323352223"/>
    <s v="EN EJECUCION"/>
    <s v="RS"/>
    <x v="12"/>
  </r>
  <r>
    <n v="33"/>
    <s v="A"/>
    <s v="PESCA"/>
    <s v="FOMENTO"/>
    <s v="FOMENTO"/>
    <s v="PV"/>
    <s v="EJECUCION"/>
    <n v="30398531"/>
    <s v="30398531-EJECUCION"/>
    <m/>
    <s v="30398531"/>
    <s v="TRANSFERENCIA CAPITAL SEMILLA PARA POTENCIAR LOS SEIS EJES PRODUCTIVOS A DE LA PROVINCIA DE PALENA"/>
    <n v="658032000"/>
    <n v="178556502"/>
    <n v="205000000"/>
    <n v="0"/>
    <n v="0"/>
    <n v="0"/>
    <n v="0"/>
    <n v="0"/>
    <n v="0"/>
    <n v="205000000"/>
    <n v="274475498"/>
    <s v="EN EJECUCION"/>
    <s v="RS"/>
    <x v="12"/>
  </r>
  <r>
    <n v="33"/>
    <s v="A"/>
    <s v="SILVOAGROPECUARIO"/>
    <s v="FOMENTO"/>
    <s v="FOMENTO"/>
    <s v="PV"/>
    <s v="EJECUCION"/>
    <n v="30341275"/>
    <s v="30341275-EJECUCION"/>
    <m/>
    <s v="30341275"/>
    <s v="TRANSFERENCIA PROGRAMA REGULARIZACION DERECHO APROVECHAMIENTOS DE AGUA"/>
    <n v="203000000"/>
    <n v="86207000"/>
    <n v="90000000"/>
    <n v="0"/>
    <n v="0"/>
    <n v="0"/>
    <n v="0"/>
    <n v="0"/>
    <n v="0"/>
    <n v="90000000"/>
    <n v="26793000"/>
    <s v="EN EJECUCION"/>
    <s v="RS"/>
    <x v="2"/>
  </r>
  <r>
    <n v="33"/>
    <s v="A"/>
    <s v="INDUSTRIA, COMERCIO, FINANZAS Y TURISMO"/>
    <s v="FOMENTO"/>
    <s v="FOMENTO"/>
    <s v="PV"/>
    <s v="EJECUCION"/>
    <n v="30341323"/>
    <s v="30341323-EJECUCION"/>
    <m/>
    <s v="30341323"/>
    <s v="TRANSFERENCIA FORTALECIMIENTO Y COMPETITIVIDAD DE LA ARTESANIA "/>
    <n v="190000000"/>
    <n v="118572000"/>
    <n v="70117000"/>
    <n v="0"/>
    <n v="0"/>
    <n v="0"/>
    <n v="0"/>
    <n v="0"/>
    <n v="0"/>
    <n v="70117000"/>
    <n v="1311000"/>
    <s v="EN EJECUCION"/>
    <s v="RS"/>
    <x v="2"/>
  </r>
  <r>
    <n v="33"/>
    <s v="A"/>
    <s v="INDUSTRIA, COMERCIO, FINANZAS Y TURISMO"/>
    <s v="FOMENTO"/>
    <s v="FOMENTO"/>
    <s v="PV"/>
    <s v="EJECUCION"/>
    <n v="30341325"/>
    <s v="30341325-EJECUCION"/>
    <m/>
    <s v="30341325"/>
    <s v="TRANSFERENCIA Y ASESORIA  TECNICA EN TURISMO RURAL II ETAPA"/>
    <n v="355000000"/>
    <n v="90171000"/>
    <n v="200000000"/>
    <n v="0"/>
    <n v="0"/>
    <n v="0"/>
    <n v="0"/>
    <n v="458828"/>
    <n v="458828"/>
    <n v="199541172"/>
    <n v="64829000"/>
    <s v="EN EJECUCION"/>
    <s v="RS"/>
    <x v="12"/>
  </r>
  <r>
    <n v="33"/>
    <s v="A"/>
    <s v="SILVOAGROPECUARIO"/>
    <s v="FOMENTO"/>
    <s v="FOMENTO"/>
    <s v="PV"/>
    <s v="EJECUCION"/>
    <n v="30341329"/>
    <s v="30341329-EJECUCION"/>
    <m/>
    <s v="30341329"/>
    <s v="TRANSFERENCIA ASESORIA ESPECIALIZADA CONSOLIDACION TENENCIA TIERRA EN AFC"/>
    <n v="309000000"/>
    <n v="136309404"/>
    <n v="137000000"/>
    <n v="0"/>
    <n v="0"/>
    <n v="0"/>
    <n v="0"/>
    <n v="0"/>
    <n v="0"/>
    <n v="137000000"/>
    <n v="35690596"/>
    <s v="EN EJECUCION"/>
    <s v="RS"/>
    <x v="2"/>
  </r>
  <r>
    <n v="33"/>
    <s v="A"/>
    <s v="MULTISECTORIAL"/>
    <s v="FOMENTO"/>
    <s v="FOMENTO"/>
    <s v="PV"/>
    <s v="EJECUCION"/>
    <n v="30426980"/>
    <s v="30426980-EJECUCION"/>
    <m/>
    <s v="30426980"/>
    <s v="SANEAMIENTO DE LA TENENCIA IRREGULAR DE LA PROPIEDAD PATAGONIA VERDE"/>
    <n v="500000000"/>
    <n v="0"/>
    <n v="330000000"/>
    <n v="0"/>
    <n v="0"/>
    <n v="4119000"/>
    <n v="4119000"/>
    <n v="0"/>
    <n v="4119000"/>
    <n v="325881000"/>
    <n v="170000000"/>
    <s v="EN EJECUCION"/>
    <s v="RS"/>
    <x v="12"/>
  </r>
  <r>
    <n v="33"/>
    <s v="A"/>
    <s v="INDUSTRIA, COMERCIO, FINANZAS Y TURISMO"/>
    <s v="FOMENTO"/>
    <s v="FOMENTO"/>
    <s v="LIBRE"/>
    <s v="EJECUCION"/>
    <n v="30363825"/>
    <s v="30363825-EJECUCION"/>
    <m/>
    <s v="30363825"/>
    <s v="TRANSFERENCIA APOYO A LA COMPETITIVIDAD PRODUCTORES MAPUCHES"/>
    <n v="1000000000"/>
    <n v="334999998"/>
    <n v="365000000"/>
    <n v="0"/>
    <n v="0"/>
    <n v="8204800"/>
    <n v="8204800"/>
    <n v="26979238"/>
    <n v="35184038"/>
    <n v="329815962"/>
    <n v="300000002"/>
    <s v="EN EJECUCION"/>
    <s v="RS"/>
    <x v="12"/>
  </r>
  <r>
    <n v="33"/>
    <s v="A"/>
    <s v="SILVOAGROPECUARIO"/>
    <s v="FOMENTO"/>
    <s v="FOMENTO"/>
    <s v="PIR"/>
    <s v="EJECUCION"/>
    <n v="30136317"/>
    <s v="30136317-EJECUCION"/>
    <m/>
    <s v="30136317"/>
    <s v="CAPACITACION ASESORIA TECNICA EN TURISMO RURAL PARA PEQUEÑOS AGRICULTORES"/>
    <n v="191000000"/>
    <n v="78350572"/>
    <n v="48325000"/>
    <n v="0"/>
    <n v="0"/>
    <n v="0"/>
    <n v="0"/>
    <n v="0"/>
    <n v="0"/>
    <n v="48325000"/>
    <n v="64324428"/>
    <s v="EN EJECUCION"/>
    <s v="RS"/>
    <x v="4"/>
  </r>
  <r>
    <n v="33"/>
    <s v="A"/>
    <s v="SILVOAGROPECUARIO"/>
    <s v="FOMENTO"/>
    <s v="FOMENTO"/>
    <s v="LIBRE"/>
    <s v="EJECUCION"/>
    <n v="30137060"/>
    <s v="30137060-EJECUCION"/>
    <m/>
    <s v="30137060"/>
    <s v="TRANSFERENCIA PROGRAMAS DE INVERSIONES PRODUCTIVAS EN FAMILIAS USUARIAS DE PROGRAMAS DE ASESORIA INDAP"/>
    <n v="2332740000"/>
    <n v="1317041682"/>
    <n v="589519682"/>
    <n v="0"/>
    <n v="0"/>
    <n v="46143318"/>
    <n v="46143318"/>
    <n v="0"/>
    <n v="46143318"/>
    <n v="543376364"/>
    <n v="426178636"/>
    <s v="EN EJECUCION"/>
    <s v="RS"/>
    <x v="4"/>
  </r>
  <r>
    <n v="33"/>
    <s v="A"/>
    <s v="SILVOAGROPECUARIO"/>
    <s v="FOMENTO"/>
    <s v="FOMENTO"/>
    <s v="PV"/>
    <s v="EJECUCION"/>
    <n v="30341233"/>
    <s v="30341233-EJECUCION"/>
    <m/>
    <s v="30341233"/>
    <s v="TRANSFERENCIA OBRAS MENORES DE RIEGO Y SUMINISTRO DE AGUA AFC"/>
    <n v="769600000"/>
    <n v="409000000"/>
    <n v="316464000"/>
    <n v="0"/>
    <n v="0"/>
    <n v="17550000"/>
    <n v="17550000"/>
    <n v="0"/>
    <n v="17550000"/>
    <n v="298914000"/>
    <n v="44136000"/>
    <s v="EN EJECUCION"/>
    <s v="RS"/>
    <x v="4"/>
  </r>
  <r>
    <n v="33"/>
    <s v="A"/>
    <s v="MULTISECTORIAL"/>
    <s v="FOMENTO"/>
    <s v="FOMENTO"/>
    <s v="PIR"/>
    <s v="EJECUCION"/>
    <n v="30378428"/>
    <s v="30378428-EJECUCION"/>
    <m/>
    <s v="30378428"/>
    <s v="SANEAMIENTO ASESORIA LEGAL Y TECNICA  CONSOLIDACION DE LA TENENCIA IMPERFECTA  DE TIERRAS"/>
    <n v="539266000"/>
    <n v="152013727"/>
    <n v="387252273"/>
    <n v="0"/>
    <n v="0"/>
    <n v="0"/>
    <n v="0"/>
    <n v="0"/>
    <n v="0"/>
    <n v="387252273"/>
    <n v="0"/>
    <s v="EN EJECUCION"/>
    <s v="RS"/>
    <x v="4"/>
  </r>
  <r>
    <n v="33"/>
    <s v="A"/>
    <s v="SILVOAGROPECUARIO"/>
    <s v="FOMENTO"/>
    <s v="FOMENTO"/>
    <s v="LIBRE"/>
    <s v="EJECUCION"/>
    <n v="30433775"/>
    <s v="30433775-EJECUCION"/>
    <m/>
    <s v="30433775"/>
    <s v="MEJORAMIENTO DE SUELOS  EN TERRITORIOS INDIGENAS"/>
    <n v="500000000"/>
    <n v="7766711"/>
    <n v="300000000"/>
    <n v="0"/>
    <n v="0"/>
    <n v="0"/>
    <n v="0"/>
    <n v="0"/>
    <n v="0"/>
    <n v="300000000"/>
    <n v="192233289"/>
    <s v="EN EJECUCION"/>
    <s v="RS"/>
    <x v="5"/>
  </r>
  <r>
    <n v="33"/>
    <s v="A"/>
    <s v="SILVOAGROPECUARIO"/>
    <s v="FOMENTO"/>
    <s v="FOMENTO"/>
    <s v="LIBRE"/>
    <s v="EJECUCION"/>
    <n v="30482019"/>
    <s v="30482019-EJECUCION"/>
    <m/>
    <s v="30482019"/>
    <s v="ERRADICACION VISON DE LA REGION DE LOS LAGOS"/>
    <n v="400000000"/>
    <n v="0"/>
    <n v="300000000"/>
    <n v="0"/>
    <n v="0"/>
    <n v="0"/>
    <n v="0"/>
    <n v="0"/>
    <n v="0"/>
    <n v="300000000"/>
    <n v="100000000"/>
    <s v="EN EJECUCION"/>
    <s v="RS"/>
    <x v="2"/>
  </r>
  <r>
    <n v="33"/>
    <s v="A"/>
    <s v="SILVOAGROPECUARIO"/>
    <s v="FOMENTO"/>
    <s v="FOMENTO"/>
    <s v="LIBRE"/>
    <s v="EJECUCION"/>
    <n v="30482027"/>
    <s v="30482027-EJECUCION"/>
    <m/>
    <s v="30482027"/>
    <s v="ERRADICACION DE LA BRUCELOSIS BOVINA"/>
    <n v="500000000"/>
    <n v="20999364"/>
    <n v="300000000"/>
    <n v="0"/>
    <n v="0"/>
    <n v="0"/>
    <n v="0"/>
    <n v="0"/>
    <n v="0"/>
    <n v="300000000"/>
    <n v="179000636"/>
    <s v="EN EJECUCION"/>
    <s v="RS"/>
    <x v="2"/>
  </r>
  <r>
    <n v="33"/>
    <s v="A"/>
    <s v="MULTISECTORIAL"/>
    <s v="FOMENTO"/>
    <s v="FOMENTO"/>
    <s v="PIR"/>
    <s v="EJECUCION"/>
    <n v="30405874"/>
    <s v="30405874-EJECUCION"/>
    <m/>
    <s v="30405874"/>
    <s v="CAPACITACION NUCLEOS GESTORES TERRITORIOS PIRDT"/>
    <n v="413277000"/>
    <n v="253421837"/>
    <n v="150250575"/>
    <n v="0"/>
    <n v="0"/>
    <n v="0"/>
    <n v="0"/>
    <n v="29258000"/>
    <n v="29258000"/>
    <n v="120992575"/>
    <n v="9604588"/>
    <s v="EN EJECUCION"/>
    <s v="RS"/>
    <x v="12"/>
  </r>
  <r>
    <n v="33"/>
    <s v="A"/>
    <s v="PESCA"/>
    <s v="FOMENTO"/>
    <s v="FOMENTO"/>
    <s v="LIBRE"/>
    <s v="EJECUCION"/>
    <n v="30135459"/>
    <s v="30135459-EJECUCION"/>
    <m/>
    <s v="30135459"/>
    <s v="TRANSFERENCIA INVERSION EN LA MIPE DEL MEJILLON CHILENO"/>
    <n v="917732000"/>
    <n v="772970293"/>
    <n v="22087198"/>
    <n v="0"/>
    <n v="0"/>
    <n v="0"/>
    <n v="0"/>
    <n v="0"/>
    <n v="0"/>
    <n v="22087198"/>
    <n v="122674509"/>
    <s v="EN EJECUCION"/>
    <s v="RS"/>
    <x v="12"/>
  </r>
  <r>
    <n v="33"/>
    <s v="A"/>
    <s v="PESCA"/>
    <s v="FOMENTO"/>
    <s v="FOMENTO"/>
    <s v="LIBRE"/>
    <s v="EJECUCION"/>
    <n v="30349427"/>
    <s v="30349427-EJECUCION"/>
    <m/>
    <s v="30349427"/>
    <s v="TRANSFERENCIA MEJORAMIENTO DE LA PRODUCTIVIDAD EN AREAS DE MANEJO II"/>
    <n v="540800000"/>
    <n v="211243811"/>
    <n v="245544000"/>
    <n v="0"/>
    <n v="0"/>
    <n v="0"/>
    <n v="0"/>
    <n v="0"/>
    <n v="0"/>
    <n v="245544000"/>
    <n v="84012189"/>
    <s v="EN EJECUCION"/>
    <s v="RS"/>
    <x v="2"/>
  </r>
  <r>
    <n v="33"/>
    <s v="A"/>
    <s v="INDUSTRIA, COMERCIO, FINANZAS Y TURISMO"/>
    <s v="FOMENTO"/>
    <s v="FOMENTO"/>
    <s v="LIBRE"/>
    <s v="EJECUCION"/>
    <n v="30440729"/>
    <s v="30440729-EJECUCION"/>
    <m/>
    <s v="30440729"/>
    <s v="PROGRAMA APOYO INTEGRAL A LAS FERIAS LIBRES"/>
    <n v="350961000"/>
    <n v="166490237"/>
    <n v="153510229"/>
    <n v="0"/>
    <n v="0"/>
    <n v="0"/>
    <n v="0"/>
    <n v="0"/>
    <n v="0"/>
    <n v="153510229"/>
    <n v="30960534"/>
    <s v="EN EJECUCION"/>
    <s v="RS"/>
    <x v="2"/>
  </r>
  <r>
    <n v="33"/>
    <s v="A"/>
    <s v="INDUSTRIA, COMERCIO, FINANZAS Y TURISMO"/>
    <s v="FOMENTO"/>
    <s v="FOMENTO"/>
    <s v="LIBRE"/>
    <s v="EJECUCION"/>
    <n v="30464733"/>
    <s v="30464733-EJECUCION"/>
    <m/>
    <s v="30464733"/>
    <s v="TRANSFERENCIA EMERGENCIA PRODUCTIVA FERIANTES Y COCINERIAS DEL MAR"/>
    <n v="552107000"/>
    <n v="491888375"/>
    <n v="11525625"/>
    <n v="0"/>
    <n v="0"/>
    <n v="0"/>
    <n v="0"/>
    <n v="0"/>
    <n v="0"/>
    <n v="11525625"/>
    <n v="48693000"/>
    <s v="EN EJECUCION"/>
    <s v="RS"/>
    <x v="12"/>
  </r>
  <r>
    <n v="33"/>
    <s v="A"/>
    <s v="SILVOAGROPECUARIO"/>
    <s v="FOMENTO"/>
    <s v="FOMENTO"/>
    <s v="LIBRE"/>
    <s v="EJECUCION"/>
    <n v="30351343"/>
    <s v="30351343-EJECUCION"/>
    <m/>
    <s v="30351343"/>
    <s v="CAPACITACION Y VALORIZACION DE PRODUCTOS AGROPECUARIOS"/>
    <n v="450000000"/>
    <n v="20000000"/>
    <n v="230000000"/>
    <n v="0"/>
    <n v="0"/>
    <n v="0"/>
    <n v="0"/>
    <n v="0"/>
    <n v="0"/>
    <n v="230000000"/>
    <n v="200000000"/>
    <s v="EN EJECUCION"/>
    <s v="RS"/>
    <x v="2"/>
  </r>
  <r>
    <n v="33"/>
    <s v="A"/>
    <s v="SILVOAGROPECUARIO"/>
    <s v="FOMENTO"/>
    <s v="FOMENTO"/>
    <s v="PV"/>
    <s v="EJECUCION"/>
    <n v="30419826"/>
    <s v="30419826-EJECUCION"/>
    <m/>
    <s v="30419826"/>
    <s v="CAPACITACION PARA EL FOMENTO AGROFORESTAL EN PALENA Y COCHAMO"/>
    <n v="315000000"/>
    <n v="49500000"/>
    <n v="150000000"/>
    <n v="0"/>
    <n v="0"/>
    <n v="0"/>
    <n v="0"/>
    <n v="0"/>
    <n v="0"/>
    <n v="150000000"/>
    <n v="115500000"/>
    <s v="EN EJECUCION"/>
    <s v="RS"/>
    <x v="2"/>
  </r>
  <r>
    <n v="33"/>
    <s v="A"/>
    <s v="SILVOAGROPECUARIO"/>
    <s v="FOMENTO"/>
    <s v="FOMENTO"/>
    <s v="LIBRE"/>
    <s v="EJECUCION"/>
    <n v="30434988"/>
    <s v="30434988-EJECUCION"/>
    <m/>
    <s v="30434988"/>
    <s v="TRANSFERENCIA PROGRAMA INTEGRAL DE RIEGO REGION DE LOS LAGOS"/>
    <n v="2000000000"/>
    <n v="532448249"/>
    <n v="674016318"/>
    <n v="0"/>
    <n v="0"/>
    <n v="3533472"/>
    <n v="3533472"/>
    <n v="6977085"/>
    <n v="10510557"/>
    <n v="663505761"/>
    <n v="793535433"/>
    <s v="EN EJECUCION"/>
    <s v="RS"/>
    <x v="12"/>
  </r>
  <r>
    <n v="33"/>
    <s v="A"/>
    <s v="SILVOAGROPECUARIO"/>
    <s v="FOMENTO"/>
    <s v="FOMENTO"/>
    <s v="LIBRE"/>
    <s v="EJECUCION"/>
    <n v="30481688"/>
    <s v="30481688-EJECUCION"/>
    <m/>
    <s v="30481688"/>
    <s v="CAPACITACION Y FOMENTO AGROECOLOGIA  Y PRODUCCION AGRICULTURA"/>
    <n v="500000000"/>
    <n v="57601935"/>
    <n v="250000000"/>
    <n v="0"/>
    <n v="0"/>
    <n v="0"/>
    <n v="0"/>
    <n v="0"/>
    <n v="0"/>
    <n v="250000000"/>
    <n v="192398065"/>
    <s v="EN EJECUCION"/>
    <s v="RS"/>
    <x v="2"/>
  </r>
  <r>
    <n v="33"/>
    <s v="A"/>
    <s v="MULTISECTORIAL"/>
    <s v="FOMENTO"/>
    <s v="FOMENTO"/>
    <s v="LIBRE"/>
    <s v="EJECUCION"/>
    <n v="30136269"/>
    <s v="30136269-EJECUCION"/>
    <m/>
    <s v="30136269"/>
    <s v="PROGRAMA RECAMBIO CALEFACTORES CIUDAD OSORNO"/>
    <n v="1535160000"/>
    <n v="624866319"/>
    <n v="375000000"/>
    <n v="0"/>
    <n v="0"/>
    <n v="0"/>
    <n v="0"/>
    <n v="0"/>
    <n v="0"/>
    <n v="375000000"/>
    <n v="535293681"/>
    <s v="EN EJECUCION"/>
    <s v="RS"/>
    <x v="12"/>
  </r>
  <r>
    <n v="33"/>
    <s v="A"/>
    <s v="MULTISECTORIAL"/>
    <s v="FOMENTO"/>
    <s v="FOMENTO"/>
    <s v="LIBRE"/>
    <s v="EJECUCION"/>
    <n v="30136293"/>
    <s v="30136293-EJECUCION"/>
    <m/>
    <s v="30136293"/>
    <s v="PROGRAMA IMPLEMENTACION DE BUENAS PRACTICAS AMBIENTALES"/>
    <n v="500000000"/>
    <n v="382704098"/>
    <n v="117295902"/>
    <n v="0"/>
    <n v="0"/>
    <n v="51833735"/>
    <n v="51833735"/>
    <n v="722636"/>
    <n v="52556371"/>
    <n v="64739531"/>
    <n v="0"/>
    <s v="EN EJECUCION"/>
    <s v="RS"/>
    <x v="12"/>
  </r>
  <r>
    <n v="33"/>
    <s v="A"/>
    <s v="MULTISECTORIAL"/>
    <s v="FOMENTO"/>
    <s v="FOMENTO"/>
    <s v="LIBRE"/>
    <s v="EJECUCION"/>
    <n v="30136320"/>
    <s v="30136320-EJECUCION"/>
    <m/>
    <s v="30136320"/>
    <s v="PROTECCION APLICACION MODELO USO SUST. EN PAISAJE CONSERV. CHILOE"/>
    <n v="688299000"/>
    <n v="32047278"/>
    <n v="460000000"/>
    <n v="0"/>
    <n v="0"/>
    <n v="0"/>
    <n v="0"/>
    <n v="12644"/>
    <n v="12644"/>
    <n v="459987356"/>
    <n v="196251722"/>
    <s v="EN EJECUCION"/>
    <s v="RS"/>
    <x v="12"/>
  </r>
  <r>
    <n v="33"/>
    <s v="A"/>
    <s v="EDUCACIÓN Y CULTURA"/>
    <s v="FOMENTO"/>
    <s v="FOMENTO"/>
    <s v="LIBRE"/>
    <s v="EJECUCION"/>
    <n v="30106837"/>
    <s v="30106837-EJECUCION"/>
    <m/>
    <s v="30106837"/>
    <s v="TRANSFERENCIA DE HERRAMIENTAS DE VIDA PARA EL APRENDIZAJE"/>
    <n v="1208000000"/>
    <n v="619000000"/>
    <n v="389000000"/>
    <n v="0"/>
    <n v="0"/>
    <n v="0"/>
    <n v="0"/>
    <n v="0"/>
    <n v="0"/>
    <n v="389000000"/>
    <n v="200000000"/>
    <s v="EN EJECUCION"/>
    <s v="RS"/>
    <x v="12"/>
  </r>
  <r>
    <n v="33"/>
    <s v="A"/>
    <s v="EDUCACIÓN Y CULTURA"/>
    <s v="FOMENTO"/>
    <s v="FOMENTO"/>
    <s v="LIBRE"/>
    <s v="EJECUCION"/>
    <n v="30124775"/>
    <s v="30124775-EJECUCION"/>
    <m/>
    <s v="30124775"/>
    <s v="MEJORAMIENTO EDUCACION POBLACION ADULTA X REGION"/>
    <n v="279511000"/>
    <n v="19365000"/>
    <n v="260146000"/>
    <n v="0"/>
    <n v="0"/>
    <n v="0"/>
    <n v="0"/>
    <n v="0"/>
    <n v="0"/>
    <n v="260146000"/>
    <n v="0"/>
    <s v="EN EJECUCION"/>
    <s v="RS"/>
    <x v="12"/>
  </r>
  <r>
    <n v="33"/>
    <s v="A"/>
    <s v="EDUCACIÓN Y CULTURA"/>
    <s v="FOMENTO"/>
    <s v="FOMENTO"/>
    <s v="LIBRE"/>
    <s v="EJECUCION"/>
    <n v="30124802"/>
    <s v="30124802-EJECUCION"/>
    <m/>
    <s v="30124802"/>
    <s v="TRANSFERENCIA CAPACITACION MEJORAMIENTO DE LA ACTIVIDAD FISICA"/>
    <n v="389000000"/>
    <n v="17450000"/>
    <n v="250000000"/>
    <n v="0"/>
    <n v="0"/>
    <n v="0"/>
    <n v="0"/>
    <n v="0"/>
    <n v="0"/>
    <n v="250000000"/>
    <n v="121550000"/>
    <s v="EN EJECUCION"/>
    <s v="RS"/>
    <x v="12"/>
  </r>
  <r>
    <n v="33"/>
    <s v="A"/>
    <s v="EDUCACIÓN Y CULTURA"/>
    <s v="FOMENTO"/>
    <s v="FOMENTO"/>
    <s v="LIBRE"/>
    <s v="EJECUCION"/>
    <n v="30129698"/>
    <s v="30129698-EJECUCION"/>
    <m/>
    <s v="30129698"/>
    <s v="CAPACITACION PERFECCIONAMIENTO ASIGNATURA LENGUA INDIGENA"/>
    <n v="630000000"/>
    <n v="157500000"/>
    <n v="275000000"/>
    <n v="0"/>
    <n v="0"/>
    <n v="0"/>
    <n v="0"/>
    <n v="0"/>
    <n v="0"/>
    <n v="275000000"/>
    <n v="197500000"/>
    <s v="EN EJECUCION"/>
    <s v="RS"/>
    <x v="12"/>
  </r>
  <r>
    <n v="33"/>
    <s v="A"/>
    <s v="INDUSTRIA, COMERCIO, FINANZAS Y TURISMO"/>
    <s v="FOMENTO"/>
    <s v="FOMENTO"/>
    <s v="LIBRE"/>
    <s v="EJECUCION"/>
    <n v="30342025"/>
    <s v="30342025-EJECUCION"/>
    <m/>
    <s v="30342025"/>
    <s v="TRANSFERENCIA GESTION DEL TERRITORIO TURISTICO, REGION DE LOS LAGOS "/>
    <n v="737376000"/>
    <n v="285768614"/>
    <n v="220000000"/>
    <n v="0"/>
    <n v="0"/>
    <n v="11274343"/>
    <n v="11274343"/>
    <n v="4591707"/>
    <n v="15866050"/>
    <n v="204133950"/>
    <n v="231607386"/>
    <s v="EN EJECUCION"/>
    <s v="RS"/>
    <x v="12"/>
  </r>
  <r>
    <n v="33"/>
    <s v="A"/>
    <s v="SALUD"/>
    <s v="FOMENTO"/>
    <s v="FOMENTO"/>
    <s v="LIBRE"/>
    <s v="EJECUCION"/>
    <n v="30135830"/>
    <s v="30135830-EJECUCION"/>
    <m/>
    <s v="30135830"/>
    <s v="TRANSFERENCIA  TECNOLOGICA PREVENCION PRECOZ DE NEOPLASIAS COLORECTALES"/>
    <n v="200089000"/>
    <n v="152279000"/>
    <n v="47810000"/>
    <n v="0"/>
    <n v="0"/>
    <n v="0"/>
    <n v="0"/>
    <n v="13195000"/>
    <n v="13195000"/>
    <n v="34615000"/>
    <n v="0"/>
    <s v="EN EJECUCION"/>
    <s v="RS"/>
    <x v="12"/>
  </r>
  <r>
    <n v="33"/>
    <s v="A"/>
    <s v="PESCA"/>
    <s v="FOMENTO"/>
    <s v="FOMENTO"/>
    <s v="LIBRE"/>
    <s v="EJECUCION"/>
    <n v="30343724"/>
    <s v="30343724-EJECUCION"/>
    <m/>
    <s v="30343724"/>
    <s v="PROGRAMA FOMENTO Y DESARROLLO PESCA ARTESANAL REGION DE LOS LAGOS 2014-2016"/>
    <n v="2368886000"/>
    <n v="1026634914"/>
    <n v="124671121"/>
    <n v="0"/>
    <n v="0"/>
    <n v="0"/>
    <n v="0"/>
    <n v="112036256"/>
    <n v="112036256"/>
    <n v="12634865"/>
    <n v="1217579965"/>
    <s v="EN EJECUCION"/>
    <s v="RS"/>
    <x v="12"/>
  </r>
  <r>
    <n v="33"/>
    <s v="A"/>
    <s v="PESCA"/>
    <s v="FOMENTO"/>
    <s v="FOMENTO"/>
    <s v="LIBRE"/>
    <s v="EJECUCION"/>
    <n v="30398233"/>
    <s v="30398233-EJECUCION"/>
    <m/>
    <s v="30398233"/>
    <s v="RECUPERACION DE DIVERSIDAD PROD DE LA PESCA ARTESANAL"/>
    <n v="900000000"/>
    <n v="1833333"/>
    <n v="495927966"/>
    <n v="0"/>
    <n v="0"/>
    <n v="0"/>
    <n v="0"/>
    <n v="0"/>
    <n v="0"/>
    <n v="495927966"/>
    <n v="402238701"/>
    <s v="EN EJECUCION"/>
    <s v="RS"/>
    <x v="12"/>
  </r>
  <r>
    <m/>
    <m/>
    <m/>
    <m/>
    <m/>
    <m/>
    <m/>
    <m/>
    <m/>
    <m/>
    <m/>
    <s v="TOTAL DE INICIATIVAS EN EJECUCION"/>
    <n v="31428922405"/>
    <n v="12720732706"/>
    <n v="10589154369"/>
    <n v="45024120"/>
    <n v="0"/>
    <n v="215515197"/>
    <n v="260539317"/>
    <n v="209764069"/>
    <n v="470303386"/>
    <n v="10118850983"/>
    <n v="8119035330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INICIATIVAS SIN MOVIMIENTO"/>
    <m/>
    <m/>
    <m/>
    <m/>
    <m/>
    <m/>
    <m/>
    <m/>
    <m/>
    <m/>
    <m/>
    <m/>
    <m/>
    <x v="0"/>
  </r>
  <r>
    <n v="33"/>
    <s v="P"/>
    <s v="INDUSTRIA, COMERCIO, FINANZAS Y TURISMO"/>
    <s v="FOMENTO"/>
    <s v="FOMENTO"/>
    <s v="LIBRE"/>
    <s v="EJECUCION"/>
    <n v="30482658"/>
    <s v="30482658-EJECUCION"/>
    <m/>
    <s v="30482658"/>
    <s v="CAPACITACION Y FORTALECIMIENTO PERSONAS MAYORES"/>
    <n v="230000000"/>
    <n v="0"/>
    <n v="76666666.666666672"/>
    <n v="0"/>
    <n v="0"/>
    <n v="0"/>
    <n v="0"/>
    <n v="0"/>
    <n v="0"/>
    <n v="76666666.666666672"/>
    <n v="153333333.33333331"/>
    <s v="APROBADO CORE"/>
    <s v="RS"/>
    <x v="12"/>
  </r>
  <r>
    <n v="33"/>
    <s v="P"/>
    <s v="INDUSTRIA, COMERCIO, FINANZAS Y TURISMO"/>
    <s v="FOMENTO"/>
    <s v="FOMENTO"/>
    <s v="LIBRE"/>
    <s v="EJECUCION"/>
    <n v="30484364"/>
    <s v="30484364-EJECUCION"/>
    <m/>
    <s v="30484364"/>
    <s v="CAPACITACION DESARROLLO Y FORTALECIMIENTO PERSONAS DISCAPACITADAS"/>
    <n v="230000000"/>
    <n v="0"/>
    <n v="76666666.666666672"/>
    <n v="0"/>
    <n v="0"/>
    <n v="0"/>
    <n v="0"/>
    <n v="0"/>
    <n v="0"/>
    <n v="76666666.666666672"/>
    <n v="153333333.33333331"/>
    <s v="APROBADO CORE"/>
    <s v="RS"/>
    <x v="12"/>
  </r>
  <r>
    <n v="33"/>
    <s v="A"/>
    <s v="INDUSTRIA, COMERCIO, FINANZAS Y TURISMO"/>
    <s v="FOMENTO"/>
    <s v="FOMENTO"/>
    <s v="LIBRE"/>
    <s v="EJECUCION"/>
    <n v="30399283"/>
    <s v="30399283-EJECUCION"/>
    <m/>
    <s v="30399283"/>
    <s v="DIFUSION PROG. DE APLICACION DE ESTRATEGIAS DE PROMOCION"/>
    <n v="12000000"/>
    <n v="0"/>
    <n v="0"/>
    <n v="0"/>
    <n v="0"/>
    <n v="0"/>
    <n v="0"/>
    <n v="0"/>
    <n v="0"/>
    <n v="0"/>
    <n v="12000000"/>
    <s v="APROBADO CORE"/>
    <s v="RS**"/>
    <x v="2"/>
  </r>
  <r>
    <n v="33"/>
    <s v="A"/>
    <s v="PESCA"/>
    <s v="FOMENTO"/>
    <s v="FOMENTO"/>
    <s v="LIBRE"/>
    <s v="EJECUCION"/>
    <n v="30398277"/>
    <s v="30398277-EJECUCION"/>
    <m/>
    <s v="30398277"/>
    <s v="RECUPERACION Y DIVERSIFICACION PRODUCCION ACUICOLA EN PEQUEÑA ESCALA"/>
    <n v="394000000"/>
    <n v="0"/>
    <n v="120000000"/>
    <n v="0"/>
    <n v="0"/>
    <n v="0"/>
    <n v="0"/>
    <n v="0"/>
    <n v="0"/>
    <n v="120000000"/>
    <n v="274000000"/>
    <s v="APROBADO CORE"/>
    <s v="RS"/>
    <x v="12"/>
  </r>
  <r>
    <n v="33"/>
    <s v="N"/>
    <s v="PESCA"/>
    <s v="FOMENTO"/>
    <s v="FOMENTO"/>
    <s v="LIBRE"/>
    <s v="EJECUCION"/>
    <n v="30485060"/>
    <s v="30485060-EJECUCION"/>
    <m/>
    <s v="30485060"/>
    <s v="RECUPERACION DE ACTIVIDADES PRODUCTIVAS DE LA PESCA ARTESANAL"/>
    <n v="500000000"/>
    <n v="0"/>
    <n v="35000000"/>
    <n v="0"/>
    <n v="0"/>
    <n v="0"/>
    <n v="0"/>
    <n v="0"/>
    <n v="0"/>
    <n v="35000000"/>
    <n v="465000000"/>
    <s v="ARI"/>
    <s v="SR"/>
    <x v="2"/>
  </r>
  <r>
    <n v="33"/>
    <s v="N"/>
    <s v="INDUSTRIA, COMERCIO, FINANZAS Y TURISMO"/>
    <s v="FOMENTO"/>
    <s v="REGIONAL"/>
    <s v="LIBRE"/>
    <s v="EJECUCION"/>
    <n v="30485426"/>
    <s v="30485426-EJECUCION"/>
    <m/>
    <s v="30485426"/>
    <s v="CAPACITACION PARA EL DES. Y FORTAL. RUTA DE LOS PARQUES REG. LOS LAGOS"/>
    <n v="2000000000"/>
    <n v="0"/>
    <n v="20000000"/>
    <n v="0"/>
    <n v="0"/>
    <n v="0"/>
    <n v="0"/>
    <n v="0"/>
    <n v="0"/>
    <n v="20000000"/>
    <n v="1980000000"/>
    <s v="ARI"/>
    <s v="SR"/>
    <x v="2"/>
  </r>
  <r>
    <n v="33"/>
    <s v="N"/>
    <s v="INDUSTRIA, COMERCIO, FINANZAS Y TURISMO"/>
    <s v="FOMENTO"/>
    <s v="PROV. LLANQUIHUE"/>
    <s v="LIBRE"/>
    <s v="EJECUCION"/>
    <n v="30479944"/>
    <s v="30479944-EJECUCION"/>
    <m/>
    <s v="30479944"/>
    <s v="CAPACITACION DINAMINACION DEST. TURISTICO PMONTT,CALBUCO,MAULLIN PATRIMONIAL"/>
    <n v="514632000"/>
    <n v="0"/>
    <n v="35613425"/>
    <n v="0"/>
    <n v="0"/>
    <n v="0"/>
    <n v="0"/>
    <n v="0"/>
    <n v="0"/>
    <n v="35613425"/>
    <n v="479018575"/>
    <s v="ARI"/>
    <s v="SR"/>
    <x v="2"/>
  </r>
  <r>
    <n v="33"/>
    <s v="N"/>
    <s v="INDUSTRIA, COMERCIO, FINANZAS Y TURISMO"/>
    <s v="FOMENTO"/>
    <s v="PROV. CHILOE"/>
    <s v="LIBRE"/>
    <s v="EJECUCION"/>
    <n v="30485206"/>
    <s v="30485206-EJECUCION"/>
    <m/>
    <s v="30485206"/>
    <s v="DIFUSION PARA EL FORTALECIMIENTO Y DSLLO DEL SELLO SIPAM CHILOE EN LA AFC"/>
    <n v="450000000"/>
    <n v="0"/>
    <n v="22500000"/>
    <n v="0"/>
    <n v="0"/>
    <n v="0"/>
    <n v="0"/>
    <n v="0"/>
    <n v="0"/>
    <n v="22500000"/>
    <n v="427500000"/>
    <s v="ARI"/>
    <s v="SR"/>
    <x v="2"/>
  </r>
  <r>
    <n v="33"/>
    <s v="N"/>
    <s v="MULTISECTORIAL"/>
    <s v="FOMENTO"/>
    <s v="CHAITEN"/>
    <s v="LIBRE"/>
    <s v="EJECUCION"/>
    <n v="30461825"/>
    <s v="30461825-EJECUCION"/>
    <m/>
    <s v="30461825"/>
    <s v="CAPACITACION TRABAJO EN FIBRA ANIMAL Y VEGETAL MUJERES DE CHAITEN"/>
    <n v="172834000"/>
    <n v="0"/>
    <n v="30000000"/>
    <n v="0"/>
    <n v="0"/>
    <n v="0"/>
    <n v="0"/>
    <n v="0"/>
    <n v="0"/>
    <n v="30000000"/>
    <n v="142834000"/>
    <s v="ARI"/>
    <s v="SR"/>
    <x v="2"/>
  </r>
  <r>
    <n v="33"/>
    <s v="N"/>
    <s v="PESCA"/>
    <s v="FOMENTO"/>
    <s v="FOMENTO"/>
    <s v="LIBRE"/>
    <s v="EJECUCION"/>
    <n v="30485056"/>
    <s v="30485056-EJECUCION"/>
    <m/>
    <s v="30485056"/>
    <s v="CAPACITACION TECNICA PARA LA IMPLEMENTACION DEL PLAN DE DESARROLLO DE LA INDUSTRIA MITULICULTURA"/>
    <n v="300000000"/>
    <n v="0"/>
    <n v="30000000"/>
    <n v="0"/>
    <n v="0"/>
    <n v="0"/>
    <n v="0"/>
    <n v="0"/>
    <n v="0"/>
    <n v="30000000"/>
    <n v="270000000"/>
    <s v="ARI"/>
    <s v="SR"/>
    <x v="2"/>
  </r>
  <r>
    <n v="33"/>
    <s v="N"/>
    <s v="PESCA"/>
    <s v="FOMENTO"/>
    <s v="FOMENTO"/>
    <s v="LIBRE"/>
    <s v="EJECUCION"/>
    <n v="30485055"/>
    <s v="30485055-EJECUCION"/>
    <m/>
    <s v="30485055"/>
    <s v="CAPACITACION PARA FORTALECIEMIENTO TECNOLOGOCO PARA LA IMPLEMETACION DEL PLAN INDUSTRIAL PARA EL CONSUMO HUMANO"/>
    <n v="300000000"/>
    <n v="0"/>
    <n v="30000000"/>
    <n v="0"/>
    <n v="0"/>
    <n v="0"/>
    <n v="0"/>
    <n v="0"/>
    <n v="0"/>
    <n v="30000000"/>
    <n v="270000000"/>
    <s v="ARI"/>
    <s v="SR"/>
    <x v="2"/>
  </r>
  <r>
    <n v="33"/>
    <s v="N"/>
    <s v="INDUSTRIA, COMERCIO, FINANZAS Y TURISMO"/>
    <s v="FOMENTO"/>
    <s v="FOMENTO"/>
    <s v="LIBRE"/>
    <s v="EJECUCION"/>
    <n v="30485183"/>
    <s v="30485183-EJECUCION"/>
    <m/>
    <s v="30485183"/>
    <s v="CAPACITACION FORTALECIMIENTO DE LA AUTONOMIA ECONOMICA DE MUJERES EMPRENDEDORAS DEL SERNAMEG"/>
    <n v="200000000"/>
    <n v="0"/>
    <n v="30000000"/>
    <n v="0"/>
    <n v="0"/>
    <n v="0"/>
    <n v="0"/>
    <n v="0"/>
    <n v="0"/>
    <n v="30000000"/>
    <n v="170000000"/>
    <s v="ARI"/>
    <s v="SR"/>
    <x v="2"/>
  </r>
  <r>
    <n v="33"/>
    <s v="N"/>
    <s v="SILVOAGROPECUARIO"/>
    <s v="FOMENTO"/>
    <s v="FOMENTO"/>
    <s v="LIBRE"/>
    <s v="EJECUCION"/>
    <n v="30400100"/>
    <s v="30400100-EJECUCION"/>
    <m/>
    <s v="30400100"/>
    <s v="CAPACITACION ORDENAMIENTO PREDIAL Y FOMENTO A LA PRODUCCION LIMPIA"/>
    <n v="950008000"/>
    <n v="0"/>
    <n v="30000000"/>
    <n v="0"/>
    <n v="0"/>
    <n v="0"/>
    <n v="0"/>
    <n v="0"/>
    <n v="0"/>
    <n v="30000000"/>
    <n v="920008000"/>
    <s v="ARI"/>
    <s v="SR"/>
    <x v="2"/>
  </r>
  <r>
    <n v="33"/>
    <s v="N"/>
    <s v="SILVOAGROPECUARIO"/>
    <s v="FOMENTO"/>
    <s v="FOMENTO"/>
    <s v="LIBRE"/>
    <s v="EJECUCION"/>
    <n v="30485196"/>
    <s v="30485196-EJECUCION"/>
    <m/>
    <s v="30485196"/>
    <s v="CAPACITACION Y MEJORAMIENTO OBRAS PARA USO EFICIENTE REC. HIDRICOS A NIVEL PREDIAL EN COM.IND"/>
    <n v="350000000"/>
    <n v="0"/>
    <n v="32341380"/>
    <n v="0"/>
    <n v="0"/>
    <n v="0"/>
    <n v="0"/>
    <n v="0"/>
    <n v="0"/>
    <n v="32341380"/>
    <n v="317658620"/>
    <s v="ARI"/>
    <s v="SR"/>
    <x v="2"/>
  </r>
  <r>
    <n v="33"/>
    <s v="N"/>
    <s v="INDUSTRIA, COMERCIO, FINANZAS Y TURISMO"/>
    <s v="FOMENTO"/>
    <s v="PROV. CHILOE"/>
    <s v="LIBRE"/>
    <s v="EJECUCION"/>
    <n v="40000631"/>
    <s v="40000631-EJECUCION"/>
    <m/>
    <s v="40000631"/>
    <s v="CAPACITACION Y FORTALECIMIENTO PESCADORES ARTESANALES DE CUCAO"/>
    <n v="200000000"/>
    <n v="0"/>
    <n v="30000000"/>
    <n v="0"/>
    <n v="0"/>
    <n v="0"/>
    <n v="0"/>
    <n v="0"/>
    <n v="0"/>
    <n v="30000000"/>
    <n v="170000000"/>
    <s v="ARI"/>
    <s v="SR"/>
    <x v="2"/>
  </r>
  <r>
    <n v="33"/>
    <s v="N"/>
    <s v="INDUSTRIA, COMERCIO, FINANZAS Y TURISMO"/>
    <s v="FOMENTO"/>
    <s v="REGIONAL"/>
    <s v="LIBRE"/>
    <s v="EJECUCION"/>
    <n v="40001173"/>
    <s v="40001173-EJECUCION"/>
    <m/>
    <s v="40001173"/>
    <s v="CAPACITACION ESCUELA DE OFICIOS TURISMO REGION DE LOS LAGOS"/>
    <n v="120000000"/>
    <n v="0"/>
    <n v="10000000"/>
    <n v="0"/>
    <n v="0"/>
    <n v="0"/>
    <n v="0"/>
    <n v="0"/>
    <n v="0"/>
    <n v="10000000"/>
    <n v="110000000"/>
    <s v="SOLICITUD DIPLAN"/>
    <s v="SR"/>
    <x v="2"/>
  </r>
  <r>
    <n v="33"/>
    <s v="N"/>
    <s v="PESCA"/>
    <s v="FOMENTO"/>
    <s v="REGIONAL"/>
    <s v="LIBRE"/>
    <s v="EJECUCION"/>
    <s v="S/C"/>
    <s v="S/C-EJECUCION"/>
    <m/>
    <s v="S/C"/>
    <s v="TRANSFERENCIA DE LA TECNOLOGIA DE PRODUCCION DE JUVENILES DEL PULPO ROJO PATAGONICO"/>
    <n v="301766000"/>
    <n v="0"/>
    <n v="10000000"/>
    <n v="0"/>
    <n v="0"/>
    <n v="0"/>
    <n v="0"/>
    <n v="0"/>
    <n v="0"/>
    <n v="10000000"/>
    <n v="291766000"/>
    <s v="SOLICITUD DIPLAN"/>
    <s v="SR"/>
    <x v="2"/>
  </r>
  <r>
    <n v="33"/>
    <s v="N"/>
    <s v="PESCA"/>
    <s v="FOMENTO"/>
    <s v="REGIONAL"/>
    <s v="LIBRE"/>
    <s v="EJECUCION"/>
    <s v="S/C"/>
    <s v="S/C-EJECUCION"/>
    <m/>
    <s v="S/C"/>
    <s v="POTENCIAMIENTO Y DIVERSIFICACION DE LOS ACUICULTORES DE PEQUEÑA ESCALA Y AMERB"/>
    <n v="408440000"/>
    <n v="0"/>
    <n v="10000000"/>
    <n v="0"/>
    <n v="0"/>
    <n v="0"/>
    <n v="0"/>
    <n v="0"/>
    <n v="0"/>
    <n v="10000000"/>
    <n v="398440000"/>
    <s v="SOLICITUD DIPLAN"/>
    <s v="SR"/>
    <x v="2"/>
  </r>
  <r>
    <n v="33"/>
    <s v="N"/>
    <s v="PESCA"/>
    <s v="FOMENTO"/>
    <s v="REGIONAL"/>
    <s v="PIR"/>
    <s v="EJECUCION"/>
    <n v="40000965"/>
    <s v="40000965-EJECUCION"/>
    <m/>
    <s v="40000965"/>
    <s v="ASISTENCIA TECNICA PESCADORES ARTESANALES SUBTERRITORIO 2 PMDT PATAGONIA VERDE"/>
    <n v="109650000"/>
    <n v="0"/>
    <n v="70000000"/>
    <n v="0"/>
    <n v="0"/>
    <n v="0"/>
    <n v="0"/>
    <n v="0"/>
    <n v="0"/>
    <n v="70000000"/>
    <n v="39650000"/>
    <s v="SOLICITUD DIPLAN"/>
    <s v="SR"/>
    <x v="2"/>
  </r>
  <r>
    <n v="33"/>
    <s v="N"/>
    <s v="INDUSTRIA, COMERCIO, FINANZAS Y TURISMO"/>
    <s v="FOMENTO"/>
    <s v="REGIONAL"/>
    <s v="LIBRE"/>
    <s v="EJECUCION"/>
    <n v="30433774"/>
    <s v="30433774-EJECUCION"/>
    <m/>
    <s v="30433774"/>
    <s v="DIFUSION Y PROMOCION TURISTICA REGION DE LOS LAGOS"/>
    <n v="2700000000"/>
    <n v="0"/>
    <n v="10000000"/>
    <n v="0"/>
    <n v="0"/>
    <n v="0"/>
    <n v="0"/>
    <n v="0"/>
    <n v="0"/>
    <n v="10000000"/>
    <n v="2690000000"/>
    <s v="SOLICITUD DIPLAN"/>
    <s v="SR"/>
    <x v="2"/>
  </r>
  <r>
    <n v="33"/>
    <s v="N"/>
    <s v="INDUSTRIA, COMERCIO, FINANZAS Y TURISMO"/>
    <s v="FOMENTO"/>
    <s v="REGIONAL"/>
    <s v="LIBRE"/>
    <s v="EJECUCION"/>
    <n v="40001266"/>
    <s v="40001266-EJECUCION"/>
    <m/>
    <s v="40001266"/>
    <s v="CAPACITACION PARA DESARROLLO Y FORTALECIMIENTO PRODUCTIVO DE ZONAS ESTRATEGICAS"/>
    <n v="400000000"/>
    <n v="0"/>
    <n v="10000000"/>
    <n v="0"/>
    <n v="0"/>
    <n v="0"/>
    <n v="0"/>
    <n v="0"/>
    <n v="0"/>
    <n v="10000000"/>
    <n v="390000000"/>
    <s v="SOLICITUD DIPLAN"/>
    <s v="SR"/>
    <x v="2"/>
  </r>
  <r>
    <n v="33"/>
    <s v="N"/>
    <s v="MULTISECTORIAL"/>
    <s v="FOMENTO"/>
    <s v="REGIONAL"/>
    <s v="FIC"/>
    <s v="EJECUCION"/>
    <s v="S/C"/>
    <s v="S/C-EJECUCION"/>
    <m/>
    <s v="S/C"/>
    <s v="FONDO INNOVACION Y COMPETITIVIDAD"/>
    <n v="1990433000"/>
    <n v="0"/>
    <n v="1990433000"/>
    <n v="0"/>
    <n v="0"/>
    <n v="0"/>
    <n v="0"/>
    <n v="0"/>
    <n v="0"/>
    <n v="1990433000"/>
    <n v="0"/>
    <s v="APROBADO  LEY "/>
    <s v="RS"/>
    <x v="2"/>
  </r>
  <r>
    <m/>
    <m/>
    <m/>
    <m/>
    <m/>
    <m/>
    <m/>
    <m/>
    <m/>
    <m/>
    <m/>
    <s v="TOTAL DE INICIATIVAS SIN MOVIMIENTO"/>
    <n v="12833763000"/>
    <n v="0"/>
    <n v="2709221138.3333335"/>
    <n v="0"/>
    <n v="0"/>
    <n v="0"/>
    <n v="0"/>
    <n v="0"/>
    <n v="0"/>
    <n v="2709221138.3333335"/>
    <n v="10124541861.666666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TOTAL FOMENTO"/>
    <n v="44262685405"/>
    <n v="12720732706"/>
    <n v="13298375507.333334"/>
    <n v="45024120"/>
    <n v="0"/>
    <n v="215515197"/>
    <n v="260539317"/>
    <n v="209764069"/>
    <n v="470303386"/>
    <n v="12828072121.333334"/>
    <n v="18243577191.666664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s v="TOTAL PRESUPUESTO 2018"/>
    <n v="504960387129.19678"/>
    <n v="139888839892"/>
    <n v="110223094785.64462"/>
    <n v="1565834672"/>
    <n v="4018099064"/>
    <n v="7017538869"/>
    <n v="12601472605"/>
    <n v="6449020874"/>
    <n v="19050493479"/>
    <n v="91172601306.644623"/>
    <n v="254848452451.55212"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528">
  <r>
    <m/>
    <m/>
    <x v="0"/>
    <x v="0"/>
    <m/>
    <x v="0"/>
    <m/>
    <m/>
    <m/>
    <m/>
    <m/>
    <s v="COMUNA DE OSORNO"/>
    <m/>
    <m/>
    <m/>
    <m/>
    <m/>
    <m/>
    <m/>
    <m/>
    <m/>
    <m/>
    <m/>
    <m/>
    <m/>
  </r>
  <r>
    <m/>
    <m/>
    <x v="0"/>
    <x v="0"/>
    <m/>
    <x v="0"/>
    <m/>
    <m/>
    <m/>
    <m/>
    <m/>
    <s v="INICIATIVAS EN EJECUCION"/>
    <m/>
    <m/>
    <m/>
    <m/>
    <m/>
    <m/>
    <m/>
    <m/>
    <m/>
    <m/>
    <m/>
    <m/>
    <m/>
  </r>
  <r>
    <n v="31"/>
    <s v="A"/>
    <x v="1"/>
    <x v="1"/>
    <s v="OSORNO"/>
    <x v="1"/>
    <s v="EJECUCION"/>
    <n v="30062818"/>
    <s v="30062818-EJECUCION"/>
    <m/>
    <s v="30062818"/>
    <s v="AMPLIACION CESFAM OVEJERIA OSORNO"/>
    <n v="3099186000"/>
    <n v="426524875"/>
    <n v="1495400000"/>
    <n v="144591129"/>
    <n v="150621228"/>
    <n v="145087883"/>
    <n v="440300240"/>
    <n v="242315390"/>
    <n v="383587756"/>
    <n v="1066203386"/>
    <n v="429196614"/>
    <n v="1177261125"/>
    <s v="EN EJECUCION"/>
  </r>
  <r>
    <n v="31"/>
    <s v="A"/>
    <x v="2"/>
    <x v="1"/>
    <s v="OSORNO"/>
    <x v="1"/>
    <s v="EJECUCION"/>
    <n v="30165522"/>
    <s v="30165522-EJECUCION"/>
    <m/>
    <s v="30165522"/>
    <s v="CONSERVACION Y EQUIP. EDIFI. CIAS. BOMBEROS 4TA;5TA Y CUARTEL GENERAL (C33)"/>
    <n v="496769000"/>
    <n v="3000000"/>
    <n v="391769000"/>
    <n v="0"/>
    <n v="0"/>
    <n v="0"/>
    <n v="0"/>
    <n v="0"/>
    <n v="0"/>
    <n v="0"/>
    <n v="391769000"/>
    <n v="102000000"/>
    <s v="EN EJECUCION"/>
  </r>
  <r>
    <n v="31"/>
    <s v="P"/>
    <x v="1"/>
    <x v="1"/>
    <s v="OSORNO"/>
    <x v="2"/>
    <s v="EJECUCION"/>
    <n v="30470902"/>
    <s v="30470902-EJECUCION"/>
    <s v="30470902-FNDR"/>
    <s v="30470902"/>
    <s v="NORMALIZACION CECOSF COMUNA DE OSORNO (BOX DENTAL)"/>
    <n v="111719000"/>
    <n v="500000"/>
    <n v="111219000"/>
    <n v="0"/>
    <n v="0"/>
    <n v="22662937"/>
    <n v="22662937"/>
    <n v="0"/>
    <n v="0"/>
    <n v="22662937"/>
    <n v="88556063"/>
    <n v="0"/>
    <s v="EN EJECUCION"/>
  </r>
  <r>
    <n v="31"/>
    <s v="P"/>
    <x v="3"/>
    <x v="1"/>
    <s v="OSORNO"/>
    <x v="1"/>
    <s v="EJECUCION"/>
    <n v="30259772"/>
    <s v="30259772-EJECUCION"/>
    <m/>
    <s v="30259772"/>
    <s v="CONSTRUCCION Y REPOSICION ACERAS POBLACION BERNARDO OHIGGINS"/>
    <n v="108282000"/>
    <n v="0"/>
    <n v="95947458"/>
    <n v="0"/>
    <n v="0"/>
    <n v="0"/>
    <n v="0"/>
    <n v="48846200"/>
    <n v="26088045"/>
    <n v="74934245"/>
    <n v="21013213"/>
    <n v="12334542"/>
    <s v="EN EJECUCION"/>
  </r>
  <r>
    <n v="31"/>
    <s v="P"/>
    <x v="3"/>
    <x v="1"/>
    <s v="OSORNO"/>
    <x v="2"/>
    <s v="EJECUCION"/>
    <n v="30464699"/>
    <s v="30464699-EJECUCION"/>
    <m/>
    <s v="30464699"/>
    <s v="CONSERVACION DE VEREDAS FRANCKE, OSORNO (C33)"/>
    <n v="410095000"/>
    <n v="1000000"/>
    <n v="148501720"/>
    <n v="0"/>
    <n v="0"/>
    <n v="0"/>
    <n v="0"/>
    <n v="0"/>
    <n v="147937468"/>
    <n v="147937468"/>
    <n v="564252"/>
    <n v="260593280"/>
    <s v="EN EJECUCION"/>
  </r>
  <r>
    <n v="31"/>
    <s v="P"/>
    <x v="4"/>
    <x v="1"/>
    <s v="OSORNO"/>
    <x v="2"/>
    <s v="EJECUCION"/>
    <n v="30043744"/>
    <s v="30043744-EJECUCION"/>
    <m/>
    <s v="30043744"/>
    <s v="MEJORAMIENTO AVENIDA REPUBLICA"/>
    <n v="7805579000"/>
    <n v="2000000"/>
    <n v="2901762561"/>
    <n v="0"/>
    <n v="0"/>
    <n v="293006790"/>
    <n v="293006790"/>
    <n v="186005134"/>
    <n v="193929849"/>
    <n v="672941773"/>
    <n v="2228820788"/>
    <n v="4901816439"/>
    <s v="EN EJECUCION"/>
  </r>
  <r>
    <n v="31"/>
    <s v="A"/>
    <x v="1"/>
    <x v="1"/>
    <s v="OSORNO"/>
    <x v="1"/>
    <s v="EJECUCION"/>
    <n v="30129384"/>
    <s v="30129384-EJECUCION"/>
    <m/>
    <s v="30129384"/>
    <s v="CONSTRUCCION CENTRO DE REFERENCIA  Y DIAGNOSTICO MEDICO"/>
    <n v="3708617953"/>
    <n v="2935142357"/>
    <n v="773475596"/>
    <n v="115442351"/>
    <n v="0"/>
    <n v="74127896"/>
    <n v="189570247"/>
    <n v="2541368"/>
    <n v="15917812"/>
    <n v="208029427"/>
    <n v="565446169"/>
    <n v="0"/>
    <s v="EN REEVALUACION"/>
  </r>
  <r>
    <m/>
    <m/>
    <x v="0"/>
    <x v="0"/>
    <m/>
    <x v="0"/>
    <m/>
    <m/>
    <m/>
    <m/>
    <m/>
    <s v="TOTAL DE INICIATIVAS EN EJECUCION"/>
    <n v="15740247953"/>
    <n v="3368167232"/>
    <n v="5918075335"/>
    <n v="260033480"/>
    <n v="150621228"/>
    <n v="534885506"/>
    <n v="945540214"/>
    <n v="479708092"/>
    <n v="767460930"/>
    <n v="2192709236"/>
    <n v="3725366099"/>
    <n v="6454005386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LICITACION/ADJUDICACION"/>
    <m/>
    <m/>
    <m/>
    <m/>
    <m/>
    <m/>
    <m/>
    <m/>
    <m/>
    <m/>
    <m/>
    <m/>
    <m/>
  </r>
  <r>
    <n v="31"/>
    <s v="P"/>
    <x v="1"/>
    <x v="1"/>
    <s v="OSORNO"/>
    <x v="2"/>
    <s v="EJECUCION"/>
    <n v="30126279"/>
    <s v="30126279-EJECUCION"/>
    <s v="30126279-FNDR"/>
    <s v="30126279"/>
    <s v="REPOSICION CENTRO COMUNITARIO SALUD MENTAL OSORNO"/>
    <n v="1887501000"/>
    <n v="19997985"/>
    <n v="592927300"/>
    <n v="0"/>
    <n v="0"/>
    <n v="0"/>
    <n v="0"/>
    <n v="0"/>
    <n v="0"/>
    <n v="0"/>
    <n v="592927300"/>
    <n v="1274575715"/>
    <s v="EN ADJUDICACION"/>
  </r>
  <r>
    <n v="31"/>
    <s v="P"/>
    <x v="1"/>
    <x v="1"/>
    <s v="OSORNO"/>
    <x v="2"/>
    <s v="EJECUCION"/>
    <n v="30087456"/>
    <s v="30087456-EJECUCION"/>
    <m/>
    <s v="30087456"/>
    <s v="CONSTRUCCION CENTRO DE DIALIZADOS Y TRANSPLANTADOS RENALES"/>
    <n v="635599000"/>
    <n v="0"/>
    <n v="300000000"/>
    <n v="0"/>
    <n v="0"/>
    <n v="0"/>
    <n v="0"/>
    <n v="0"/>
    <n v="0"/>
    <n v="0"/>
    <n v="300000000"/>
    <n v="335599000"/>
    <s v="EN ADJUDICACION"/>
  </r>
  <r>
    <m/>
    <m/>
    <x v="0"/>
    <x v="0"/>
    <m/>
    <x v="0"/>
    <m/>
    <m/>
    <m/>
    <m/>
    <m/>
    <s v="TOTAL DE INICIATIVAS EN LICITACION/ADJUDICACION"/>
    <n v="2523100000"/>
    <n v="19997985"/>
    <n v="892927300"/>
    <n v="0"/>
    <n v="0"/>
    <n v="0"/>
    <n v="0"/>
    <n v="0"/>
    <n v="0"/>
    <n v="0"/>
    <n v="892927300"/>
    <n v="1610174715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CONVENIO Y TRAMITE"/>
    <m/>
    <m/>
    <m/>
    <m/>
    <m/>
    <m/>
    <m/>
    <m/>
    <m/>
    <m/>
    <m/>
    <m/>
    <m/>
  </r>
  <r>
    <n v="31"/>
    <s v="N"/>
    <x v="5"/>
    <x v="1"/>
    <s v="OSORNO"/>
    <x v="2"/>
    <s v="EJECUCION"/>
    <n v="30135711"/>
    <s v="30135711-EJECUCION"/>
    <m/>
    <s v="30135711"/>
    <s v="REPOSICION CASA DE ACOGIDA DE LA DISCAPACIDAD"/>
    <n v="151831000"/>
    <n v="0"/>
    <n v="7591550"/>
    <n v="0"/>
    <n v="0"/>
    <n v="0"/>
    <n v="0"/>
    <n v="0"/>
    <n v="0"/>
    <n v="0"/>
    <n v="7591550"/>
    <n v="144239450"/>
    <s v="TRAMITE CONVENIO"/>
  </r>
  <r>
    <m/>
    <m/>
    <x v="0"/>
    <x v="0"/>
    <m/>
    <x v="0"/>
    <m/>
    <m/>
    <m/>
    <m/>
    <m/>
    <s v="TOTAL DE INICIATIVAS EN CONVENIO Y TRAMITE"/>
    <n v="151831000"/>
    <n v="0"/>
    <n v="7591550"/>
    <n v="0"/>
    <n v="0"/>
    <n v="0"/>
    <n v="0"/>
    <n v="0"/>
    <n v="0"/>
    <n v="0"/>
    <n v="7591550"/>
    <n v="14423945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SIN MOVIMIENTO"/>
    <m/>
    <m/>
    <m/>
    <m/>
    <m/>
    <m/>
    <m/>
    <m/>
    <m/>
    <m/>
    <m/>
    <m/>
    <m/>
  </r>
  <r>
    <n v="31"/>
    <s v="N"/>
    <x v="6"/>
    <x v="1"/>
    <s v="OSORNO"/>
    <x v="3"/>
    <s v="EJECUCION"/>
    <n v="30070862"/>
    <s v="30070862-EJECUCION"/>
    <m/>
    <s v="30070862"/>
    <s v="REPOSICION LICEO CARMELA CARVAJAL DE PRAT"/>
    <n v="5200000000"/>
    <n v="0"/>
    <n v="10000000"/>
    <n v="0"/>
    <n v="0"/>
    <n v="0"/>
    <n v="0"/>
    <n v="0"/>
    <n v="0"/>
    <n v="0"/>
    <n v="10000000"/>
    <n v="5190000000"/>
    <s v="ARI"/>
  </r>
  <r>
    <n v="31"/>
    <s v="N"/>
    <x v="6"/>
    <x v="1"/>
    <s v="OSORNO"/>
    <x v="3"/>
    <s v="EJECUCION"/>
    <n v="30134836"/>
    <s v="30134836-EJECUCION"/>
    <m/>
    <s v="30134836"/>
    <s v="REPOSICION ESCUELA RURAL WALTERIO MEYER RUSCA, AGUA BUENA, OSORNO"/>
    <n v="3212012000"/>
    <n v="0"/>
    <n v="10000000"/>
    <n v="0"/>
    <n v="0"/>
    <n v="0"/>
    <n v="0"/>
    <n v="0"/>
    <n v="0"/>
    <n v="0"/>
    <n v="10000000"/>
    <n v="3202012000"/>
    <s v="ARI"/>
  </r>
  <r>
    <n v="31"/>
    <s v="N"/>
    <x v="7"/>
    <x v="1"/>
    <s v="OSORNO"/>
    <x v="2"/>
    <s v="EJECUCION"/>
    <n v="30118247"/>
    <s v="30118247-EJECUCION"/>
    <m/>
    <s v="30118247"/>
    <s v="CONSTRUCCION FERIA POBLACION MOYANO, OSORNO"/>
    <n v="1717763000"/>
    <n v="0"/>
    <n v="41720061"/>
    <n v="0"/>
    <n v="0"/>
    <n v="0"/>
    <n v="0"/>
    <n v="0"/>
    <n v="0"/>
    <n v="0"/>
    <n v="41720061"/>
    <n v="1676042939"/>
    <s v="ARI"/>
  </r>
  <r>
    <n v="31"/>
    <s v="N"/>
    <x v="1"/>
    <x v="1"/>
    <s v="OSORNO"/>
    <x v="2"/>
    <s v="EJECUCION"/>
    <n v="30481028"/>
    <s v="30481028-EJECUCION"/>
    <s v="30481028-FNDR"/>
    <s v="30481028"/>
    <s v="REPOSICION CENTRO DE SALUD FAMILIAR CON SAR RAHUE ALTO"/>
    <n v="7246631000"/>
    <n v="0"/>
    <n v="2000000"/>
    <n v="0"/>
    <n v="0"/>
    <n v="0"/>
    <n v="0"/>
    <n v="0"/>
    <n v="0"/>
    <n v="0"/>
    <n v="2000000"/>
    <n v="7244631000"/>
    <s v="ARI"/>
  </r>
  <r>
    <n v="31"/>
    <s v="N"/>
    <x v="1"/>
    <x v="1"/>
    <s v="OSORNO"/>
    <x v="2"/>
    <s v="DISEÑO"/>
    <n v="30484063"/>
    <s v="30484063-DISEÑO"/>
    <m/>
    <s v="30484063"/>
    <s v="CONSTRUCCION COSAM RAHUE"/>
    <n v="40000000"/>
    <n v="0"/>
    <n v="20000000"/>
    <n v="0"/>
    <n v="0"/>
    <n v="0"/>
    <n v="0"/>
    <n v="0"/>
    <n v="0"/>
    <n v="0"/>
    <n v="20000000"/>
    <n v="20000000"/>
    <s v="ARI"/>
  </r>
  <r>
    <n v="31"/>
    <s v="N"/>
    <x v="1"/>
    <x v="1"/>
    <s v="OSORNO"/>
    <x v="2"/>
    <s v="DISEÑO"/>
    <n v="30484067"/>
    <s v="30484067-DISEÑO"/>
    <m/>
    <s v="30484067"/>
    <s v="CONSTRUCCION CENTRO DIURNO DE REHABILITACION DE SALUD MENTAL"/>
    <n v="40000000"/>
    <n v="0"/>
    <n v="20000000"/>
    <n v="0"/>
    <n v="0"/>
    <n v="0"/>
    <n v="0"/>
    <n v="0"/>
    <n v="0"/>
    <n v="0"/>
    <n v="20000000"/>
    <n v="20000000"/>
    <s v="ARI"/>
  </r>
  <r>
    <n v="31"/>
    <s v="N"/>
    <x v="5"/>
    <x v="1"/>
    <s v="OSORNO"/>
    <x v="2"/>
    <s v="EJECUCION"/>
    <n v="30463800"/>
    <s v="30463800-EJECUCION"/>
    <m/>
    <s v="30463800"/>
    <s v="REPOSICION HOSPEDERIA HOGAR DE CRISTO, OSORNO"/>
    <n v="1660190000"/>
    <n v="0"/>
    <n v="10000000"/>
    <n v="0"/>
    <n v="0"/>
    <n v="0"/>
    <n v="0"/>
    <n v="0"/>
    <n v="0"/>
    <n v="0"/>
    <n v="10000000"/>
    <n v="1650190000"/>
    <s v="ARI"/>
  </r>
  <r>
    <n v="31"/>
    <s v="N"/>
    <x v="4"/>
    <x v="1"/>
    <s v="OSORNO"/>
    <x v="1"/>
    <s v="PREFACTIBILIDAD"/>
    <n v="30488444"/>
    <s v="30488444-PREFACTIBILIDAD"/>
    <m/>
    <s v="30488444"/>
    <s v="MEJORAMIENTO ACCESIBILIDAD SECTOR FRANCKE-CENTRO OSORNO"/>
    <n v="180000000"/>
    <n v="0"/>
    <n v="30000000"/>
    <n v="0"/>
    <n v="0"/>
    <n v="0"/>
    <n v="0"/>
    <n v="0"/>
    <n v="0"/>
    <n v="0"/>
    <n v="30000000"/>
    <n v="150000000"/>
    <s v="SOLICITUD TRANSPORTE"/>
  </r>
  <r>
    <m/>
    <m/>
    <x v="0"/>
    <x v="0"/>
    <m/>
    <x v="0"/>
    <m/>
    <m/>
    <m/>
    <m/>
    <m/>
    <s v="TOTAL DE INICIATIVAS SIN MOVIMIENTO"/>
    <n v="19296596000"/>
    <n v="0"/>
    <n v="143720061"/>
    <n v="0"/>
    <n v="0"/>
    <n v="0"/>
    <n v="0"/>
    <n v="0"/>
    <n v="0"/>
    <n v="0"/>
    <n v="143720061"/>
    <n v="19152875939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TOTAL COMUNA DE  OSORNO"/>
    <n v="37711774953"/>
    <n v="3388165217"/>
    <n v="6962314246"/>
    <n v="260033480"/>
    <n v="150621228"/>
    <n v="534885506"/>
    <n v="945540214"/>
    <n v="479708092"/>
    <n v="767460930"/>
    <n v="2192709236"/>
    <n v="4769605010"/>
    <n v="2736129549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COMUNA DE PUERTO OCTAY"/>
    <m/>
    <m/>
    <m/>
    <m/>
    <m/>
    <m/>
    <m/>
    <m/>
    <m/>
    <m/>
    <m/>
    <m/>
    <m/>
  </r>
  <r>
    <m/>
    <m/>
    <x v="0"/>
    <x v="0"/>
    <m/>
    <x v="0"/>
    <m/>
    <m/>
    <m/>
    <m/>
    <m/>
    <s v="INICIATIVAS EN EJECUCION"/>
    <m/>
    <m/>
    <m/>
    <m/>
    <m/>
    <m/>
    <m/>
    <m/>
    <m/>
    <m/>
    <m/>
    <m/>
    <m/>
  </r>
  <r>
    <n v="31"/>
    <s v="P"/>
    <x v="1"/>
    <x v="1"/>
    <s v="PTO. OCTAY"/>
    <x v="2"/>
    <s v="DISEÑO"/>
    <n v="30412923"/>
    <s v="30412923-DISEÑO"/>
    <s v="30412923-FNDR"/>
    <s v="30412923"/>
    <s v="CONSTRUCCION POSTA SALUD EL PONCHO"/>
    <n v="19780000"/>
    <n v="3756000"/>
    <n v="5934000"/>
    <n v="0"/>
    <n v="0"/>
    <n v="0"/>
    <n v="0"/>
    <n v="0"/>
    <n v="0"/>
    <n v="0"/>
    <n v="5934000"/>
    <n v="10090000"/>
    <s v="EN EJECUCION"/>
  </r>
  <r>
    <m/>
    <m/>
    <x v="0"/>
    <x v="0"/>
    <m/>
    <x v="0"/>
    <m/>
    <m/>
    <m/>
    <m/>
    <m/>
    <s v="TOTAL DE INICIATIVAS EN EJECUCION"/>
    <n v="19780000"/>
    <n v="3756000"/>
    <n v="5934000"/>
    <n v="0"/>
    <n v="0"/>
    <n v="0"/>
    <n v="0"/>
    <n v="0"/>
    <n v="0"/>
    <n v="0"/>
    <n v="5934000"/>
    <n v="1009000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CONVENIO Y TRAMITE"/>
    <m/>
    <m/>
    <m/>
    <m/>
    <m/>
    <m/>
    <m/>
    <m/>
    <m/>
    <m/>
    <m/>
    <m/>
    <m/>
  </r>
  <r>
    <n v="31"/>
    <s v="N"/>
    <x v="4"/>
    <x v="1"/>
    <s v="PTO. OCTAY"/>
    <x v="1"/>
    <s v="EJECUCION"/>
    <n v="40001267"/>
    <s v="40001267-EJECUCION"/>
    <m/>
    <s v="40001267"/>
    <s v="CONSERVACION CAMINOS NO ENROLADOS(C33)"/>
    <n v="483106000"/>
    <n v="0"/>
    <n v="50000000"/>
    <n v="0"/>
    <n v="0"/>
    <n v="0"/>
    <n v="0"/>
    <n v="0"/>
    <n v="0"/>
    <n v="0"/>
    <n v="50000000"/>
    <n v="433106000"/>
    <s v="TRAMITE CONVENIO"/>
  </r>
  <r>
    <m/>
    <m/>
    <x v="0"/>
    <x v="0"/>
    <m/>
    <x v="0"/>
    <m/>
    <m/>
    <m/>
    <m/>
    <m/>
    <s v="TOTAL DE INICIATIVAS EN CONVENIO Y TRAMITE"/>
    <n v="483106000"/>
    <n v="0"/>
    <n v="50000000"/>
    <n v="0"/>
    <n v="0"/>
    <n v="0"/>
    <n v="0"/>
    <n v="0"/>
    <n v="0"/>
    <n v="0"/>
    <n v="50000000"/>
    <n v="43310600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SIN MOVIMIENTO"/>
    <m/>
    <m/>
    <m/>
    <m/>
    <m/>
    <m/>
    <m/>
    <m/>
    <m/>
    <m/>
    <m/>
    <m/>
    <m/>
  </r>
  <r>
    <n v="33"/>
    <s v="A"/>
    <x v="8"/>
    <x v="1"/>
    <s v="PTO. OCTAY"/>
    <x v="4"/>
    <s v="EJECUCION"/>
    <n v="30068581"/>
    <s v="30068581-EJECUCION"/>
    <m/>
    <s v="30068581"/>
    <s v="INSTALACION SERVICIO DE ALCANTARILLADO DE CASCADA"/>
    <n v="1836998000"/>
    <n v="1369473125"/>
    <n v="0"/>
    <n v="0"/>
    <n v="0"/>
    <n v="0"/>
    <n v="0"/>
    <n v="0"/>
    <n v="0"/>
    <n v="0"/>
    <n v="0"/>
    <n v="467524875"/>
    <s v="EN EJECUCION"/>
  </r>
  <r>
    <n v="31"/>
    <s v="N"/>
    <x v="8"/>
    <x v="1"/>
    <s v="PTO. OCTAY"/>
    <x v="2"/>
    <s v="DISEÑO"/>
    <n v="40001236"/>
    <s v="40001236-DISEÑO"/>
    <m/>
    <s v="40001236"/>
    <s v="DISEÑO MEJORAMIENTO PLANTA DE TRATARAMIENTO DE AGUAS SERVIDAS"/>
    <n v="60000000"/>
    <n v="0"/>
    <n v="10000000"/>
    <n v="0"/>
    <n v="0"/>
    <n v="0"/>
    <n v="0"/>
    <n v="0"/>
    <n v="0"/>
    <n v="0"/>
    <n v="10000000"/>
    <n v="50000000"/>
    <s v="SOLICITUD"/>
  </r>
  <r>
    <n v="31"/>
    <s v="N"/>
    <x v="8"/>
    <x v="1"/>
    <s v="PTO. OCTAY"/>
    <x v="2"/>
    <s v="DISEÑO"/>
    <n v="40001280"/>
    <s v="40001280-DISEÑO"/>
    <m/>
    <s v="40001280"/>
    <s v="DISEÑO ALCANTARILLADO DE CASCADAS"/>
    <n v="80000000"/>
    <n v="0"/>
    <n v="15000000"/>
    <n v="0"/>
    <n v="0"/>
    <n v="0"/>
    <n v="0"/>
    <n v="0"/>
    <n v="0"/>
    <n v="0"/>
    <n v="15000000"/>
    <n v="65000000"/>
    <s v="SOLICITUD"/>
  </r>
  <r>
    <n v="31"/>
    <s v="N"/>
    <x v="5"/>
    <x v="1"/>
    <s v="PTO. OCTAY"/>
    <x v="2"/>
    <s v="DISEÑO"/>
    <n v="40001260"/>
    <s v="40001260-DISEÑO"/>
    <m/>
    <s v="40001260"/>
    <s v="DISEÑO CONSTRUCCION CEMENTERIO DE PUERTO OCTAY"/>
    <n v="40000000"/>
    <n v="0"/>
    <n v="10000000"/>
    <n v="0"/>
    <n v="0"/>
    <n v="0"/>
    <n v="0"/>
    <n v="0"/>
    <n v="0"/>
    <n v="0"/>
    <n v="10000000"/>
    <n v="30000000"/>
    <s v="SOLICITUD"/>
  </r>
  <r>
    <n v="31"/>
    <s v="N"/>
    <x v="8"/>
    <x v="1"/>
    <s v="PTO. OCTAY"/>
    <x v="2"/>
    <s v="EJECUCION"/>
    <n v="40001253"/>
    <s v="40001253-EJECUCION"/>
    <m/>
    <s v="40001253"/>
    <s v="CONSERVACION SISTEMAS DE APRS COMUNA PUERTO OCTAY (C33)"/>
    <n v="187385000"/>
    <n v="0"/>
    <n v="50000000"/>
    <n v="0"/>
    <n v="0"/>
    <n v="0"/>
    <n v="0"/>
    <n v="0"/>
    <n v="0"/>
    <n v="0"/>
    <n v="50000000"/>
    <n v="137385000"/>
    <s v="SOLICITUD"/>
  </r>
  <r>
    <m/>
    <m/>
    <x v="0"/>
    <x v="0"/>
    <m/>
    <x v="0"/>
    <m/>
    <m/>
    <m/>
    <m/>
    <m/>
    <s v="TOTAL DE INICIATIVAS SIN MOVIMIENTO"/>
    <n v="2204383000"/>
    <n v="1369473125"/>
    <n v="85000000"/>
    <n v="0"/>
    <n v="0"/>
    <n v="0"/>
    <n v="0"/>
    <n v="0"/>
    <n v="0"/>
    <n v="0"/>
    <n v="85000000"/>
    <n v="749909875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TOTAL COMUNA DE  PUERTO OCTAY"/>
    <n v="2707269000"/>
    <n v="1373229125"/>
    <n v="140934000"/>
    <n v="0"/>
    <n v="0"/>
    <n v="0"/>
    <n v="0"/>
    <n v="0"/>
    <n v="0"/>
    <n v="0"/>
    <n v="140934000"/>
    <n v="1193105875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COMUNA DE PURRANQUE"/>
    <m/>
    <m/>
    <m/>
    <m/>
    <m/>
    <m/>
    <m/>
    <m/>
    <m/>
    <m/>
    <m/>
    <m/>
    <m/>
  </r>
  <r>
    <m/>
    <m/>
    <x v="0"/>
    <x v="0"/>
    <m/>
    <x v="0"/>
    <m/>
    <m/>
    <m/>
    <m/>
    <m/>
    <s v="INICIATIVAS EN EJECUCION"/>
    <m/>
    <m/>
    <m/>
    <m/>
    <m/>
    <m/>
    <m/>
    <m/>
    <m/>
    <m/>
    <m/>
    <m/>
    <m/>
  </r>
  <r>
    <n v="31"/>
    <s v="A"/>
    <x v="1"/>
    <x v="1"/>
    <s v="PURRANQUE"/>
    <x v="2"/>
    <s v="DISEÑO"/>
    <n v="30171924"/>
    <s v="30171924-DISEÑO"/>
    <s v="30171924-FNDR"/>
    <s v="30171924"/>
    <s v="REPOSICION POSTA RURAL COLONIA PONCE, PURRANQUE"/>
    <n v="17905700"/>
    <n v="11161820"/>
    <n v="6743880"/>
    <n v="0"/>
    <n v="0"/>
    <n v="0"/>
    <n v="0"/>
    <n v="0"/>
    <n v="0"/>
    <n v="0"/>
    <n v="6743880"/>
    <n v="0"/>
    <s v="EN EJECUCION"/>
  </r>
  <r>
    <n v="31"/>
    <s v="N"/>
    <x v="1"/>
    <x v="1"/>
    <s v="PURRANQUE"/>
    <x v="1"/>
    <s v="DISEÑO"/>
    <n v="30068433"/>
    <s v="30068433-DISEÑO"/>
    <s v="30068433-FNDR"/>
    <s v="30068433"/>
    <s v="CONSTRUCCION POSTA DE MANQUEMAPU"/>
    <n v="507925000"/>
    <n v="12832500"/>
    <n v="20000000"/>
    <n v="0"/>
    <n v="0"/>
    <n v="0"/>
    <n v="0"/>
    <n v="0"/>
    <n v="0"/>
    <n v="0"/>
    <n v="20000000"/>
    <n v="475092500"/>
    <s v="EN EJECUCION"/>
  </r>
  <r>
    <n v="31"/>
    <s v="A"/>
    <x v="8"/>
    <x v="1"/>
    <s v="PURRANQUE"/>
    <x v="4"/>
    <s v="EJECUCION"/>
    <n v="30074834"/>
    <s v="30074834-EJECUCION"/>
    <m/>
    <s v="30074834"/>
    <s v="CONSTRUCCION ALCANTARILLADO  Y PLANTA DE TRATAMIENTO CRUCERO"/>
    <n v="999484566"/>
    <n v="929328037"/>
    <n v="55588067"/>
    <n v="55588067"/>
    <n v="0"/>
    <n v="0"/>
    <n v="55588067"/>
    <n v="0"/>
    <n v="0"/>
    <n v="55588067"/>
    <n v="0"/>
    <n v="14568462"/>
    <s v="EN EJECUCION"/>
  </r>
  <r>
    <m/>
    <m/>
    <x v="0"/>
    <x v="0"/>
    <m/>
    <x v="0"/>
    <m/>
    <m/>
    <m/>
    <m/>
    <m/>
    <s v="TOTAL DE INICIATIVAS EN EJECUCION"/>
    <n v="1525315266"/>
    <n v="953322357"/>
    <n v="82331947"/>
    <n v="55588067"/>
    <n v="0"/>
    <n v="0"/>
    <n v="55588067"/>
    <n v="0"/>
    <n v="0"/>
    <n v="55588067"/>
    <n v="26743880"/>
    <n v="489660962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LICITACION/ADJUDICACION"/>
    <m/>
    <m/>
    <m/>
    <m/>
    <m/>
    <m/>
    <m/>
    <m/>
    <m/>
    <m/>
    <m/>
    <m/>
    <m/>
  </r>
  <r>
    <n v="31"/>
    <s v="A"/>
    <x v="1"/>
    <x v="1"/>
    <s v="PURRANQUE"/>
    <x v="2"/>
    <s v="DISEÑO"/>
    <n v="30171923"/>
    <s v="30171923-DISEÑO"/>
    <s v="30171923-FNDR"/>
    <s v="30171923"/>
    <s v="REPOSICION POSTA DE SALUD RURAL HUEYUSCA, PURRANQUE"/>
    <n v="19500000"/>
    <n v="3900000"/>
    <n v="15600000"/>
    <n v="0"/>
    <n v="0"/>
    <n v="0"/>
    <n v="0"/>
    <n v="0"/>
    <n v="0"/>
    <n v="0"/>
    <n v="15600000"/>
    <n v="0"/>
    <s v="EN LICITACION"/>
  </r>
  <r>
    <n v="31"/>
    <s v="N"/>
    <x v="5"/>
    <x v="1"/>
    <s v="PURRANQUE"/>
    <x v="1"/>
    <s v="EJECUCION"/>
    <n v="40000636"/>
    <s v="40000636-EJECUCION"/>
    <m/>
    <s v="40000636"/>
    <s v="CONSERVACION ESPACIO PUBLICO BODEGON (C33)"/>
    <n v="139062000"/>
    <n v="0"/>
    <n v="20000000"/>
    <n v="0"/>
    <n v="0"/>
    <n v="0"/>
    <n v="0"/>
    <n v="0"/>
    <n v="0"/>
    <n v="0"/>
    <n v="20000000"/>
    <n v="119062000"/>
    <s v="EN LICITACION"/>
  </r>
  <r>
    <n v="29"/>
    <s v="P"/>
    <x v="5"/>
    <x v="1"/>
    <s v="PURRANQUE"/>
    <x v="2"/>
    <s v="EJECUCION"/>
    <n v="40000513"/>
    <s v="40000513-EJECUCION"/>
    <m/>
    <s v="40000513"/>
    <s v="REPOSICION DE CAMIONETAS MUNICIPALES (C33)"/>
    <n v="73173100"/>
    <n v="0"/>
    <n v="73173100"/>
    <n v="0"/>
    <n v="0"/>
    <n v="0"/>
    <n v="0"/>
    <n v="0"/>
    <n v="0"/>
    <n v="0"/>
    <n v="73173100"/>
    <n v="0"/>
    <s v="TERMINADO"/>
  </r>
  <r>
    <m/>
    <m/>
    <x v="0"/>
    <x v="0"/>
    <m/>
    <x v="0"/>
    <m/>
    <m/>
    <m/>
    <m/>
    <m/>
    <s v="TOTAL DE INICIATIVAS EN LICITACION/ADJUDICACION"/>
    <n v="231735100"/>
    <n v="3900000"/>
    <n v="108773100"/>
    <n v="0"/>
    <n v="0"/>
    <n v="0"/>
    <n v="0"/>
    <n v="0"/>
    <n v="0"/>
    <n v="0"/>
    <n v="108773100"/>
    <n v="11906200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TERMINADAS"/>
    <m/>
    <m/>
    <m/>
    <m/>
    <m/>
    <m/>
    <m/>
    <m/>
    <m/>
    <m/>
    <m/>
    <m/>
    <m/>
  </r>
  <r>
    <n v="31"/>
    <s v="A"/>
    <x v="3"/>
    <x v="1"/>
    <s v="PURRANQUE"/>
    <x v="2"/>
    <s v="EJECUCION"/>
    <n v="30134906"/>
    <s v="30134906-EJECUCION"/>
    <m/>
    <s v="30134906"/>
    <s v="REPOSICION PLAZA DE ARMAS CIUDAD DE PURRANQUE"/>
    <n v="1728886839"/>
    <n v="1727840672"/>
    <n v="1046167"/>
    <n v="1046167"/>
    <n v="0"/>
    <n v="0"/>
    <n v="1046167"/>
    <n v="0"/>
    <n v="0"/>
    <n v="1046167"/>
    <n v="0"/>
    <n v="0"/>
    <s v="TERMINADO"/>
  </r>
  <r>
    <m/>
    <m/>
    <x v="0"/>
    <x v="0"/>
    <m/>
    <x v="0"/>
    <m/>
    <m/>
    <m/>
    <m/>
    <m/>
    <s v="TOTAL DE INICIATIVAS TERMINADAS"/>
    <n v="1728886839"/>
    <n v="1727840672"/>
    <n v="1046167"/>
    <n v="1046167"/>
    <n v="0"/>
    <n v="0"/>
    <n v="1046167"/>
    <n v="0"/>
    <n v="0"/>
    <n v="1046167"/>
    <n v="0"/>
    <n v="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CONVENIO Y TRAMITE"/>
    <m/>
    <m/>
    <m/>
    <m/>
    <m/>
    <m/>
    <m/>
    <m/>
    <m/>
    <m/>
    <m/>
    <m/>
    <m/>
  </r>
  <r>
    <n v="31"/>
    <s v="P"/>
    <x v="8"/>
    <x v="1"/>
    <s v="PURRANQUE"/>
    <x v="2"/>
    <s v="EJECUCION"/>
    <n v="30397335"/>
    <s v="30397335-EJECUCION"/>
    <m/>
    <s v="30397335"/>
    <s v="CONSTRUCCION SERVICIO APR COLONIA PONCE, PURRANQUE"/>
    <n v="529939000"/>
    <n v="0"/>
    <n v="52993900"/>
    <n v="0"/>
    <n v="0"/>
    <n v="0"/>
    <n v="0"/>
    <n v="0"/>
    <n v="0"/>
    <n v="0"/>
    <n v="52993900"/>
    <n v="476945100"/>
    <s v="CON CONVENIO"/>
  </r>
  <r>
    <n v="31"/>
    <s v="P"/>
    <x v="4"/>
    <x v="1"/>
    <s v="PURRANQUE"/>
    <x v="1"/>
    <s v="EJECUCION"/>
    <n v="40000611"/>
    <s v="40000611-EJECUCION"/>
    <m/>
    <s v="40000611"/>
    <s v="CONSERVACION VEREDAS DE LA POBLACION CARRASCO (C33)"/>
    <n v="222275000"/>
    <n v="0"/>
    <n v="20000000"/>
    <n v="0"/>
    <n v="0"/>
    <n v="0"/>
    <n v="0"/>
    <n v="0"/>
    <n v="0"/>
    <n v="0"/>
    <n v="20000000"/>
    <n v="202275000"/>
    <s v="CON CONVENIO"/>
  </r>
  <r>
    <n v="31"/>
    <s v="A"/>
    <x v="1"/>
    <x v="1"/>
    <s v="PURRANQUE"/>
    <x v="2"/>
    <s v="DISEÑO"/>
    <n v="30171875"/>
    <s v="30171875-DISEÑO"/>
    <s v="30171875-FNDR"/>
    <s v="30171875"/>
    <s v="REPOSICION POSTA SALUD RURAL COLIGUAL, PURRANQUE"/>
    <n v="19500000"/>
    <n v="0"/>
    <n v="13453833"/>
    <n v="0"/>
    <n v="0"/>
    <n v="0"/>
    <n v="0"/>
    <n v="0"/>
    <n v="0"/>
    <n v="0"/>
    <n v="13453833"/>
    <n v="6046167"/>
    <s v="TRAMITE CONVENIO"/>
  </r>
  <r>
    <m/>
    <m/>
    <x v="0"/>
    <x v="0"/>
    <m/>
    <x v="0"/>
    <m/>
    <m/>
    <m/>
    <m/>
    <m/>
    <s v="TOTAL DE INICIATIVAS EN CONVENIO Y TRAMITE"/>
    <n v="771714000"/>
    <n v="0"/>
    <n v="86447733"/>
    <n v="0"/>
    <n v="0"/>
    <n v="0"/>
    <n v="0"/>
    <n v="0"/>
    <n v="0"/>
    <n v="0"/>
    <n v="86447733"/>
    <n v="685266267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SIN MOVIMIENTO"/>
    <m/>
    <m/>
    <m/>
    <m/>
    <m/>
    <m/>
    <m/>
    <m/>
    <m/>
    <m/>
    <m/>
    <m/>
    <m/>
  </r>
  <r>
    <n v="31"/>
    <s v="N"/>
    <x v="9"/>
    <x v="1"/>
    <s v="PURRANQUE"/>
    <x v="2"/>
    <s v="EJECUCION"/>
    <n v="30134930"/>
    <s v="30134930-EJECUCION"/>
    <m/>
    <s v="30134930"/>
    <s v="CONSTRUCCION ESTADIO CORTE-ALTO, PURRANQUE"/>
    <n v="937003000"/>
    <n v="0"/>
    <n v="11622900"/>
    <n v="0"/>
    <n v="0"/>
    <n v="0"/>
    <n v="0"/>
    <n v="0"/>
    <n v="0"/>
    <n v="0"/>
    <n v="11622900"/>
    <n v="925380100"/>
    <s v="ARI"/>
  </r>
  <r>
    <n v="31"/>
    <s v="N"/>
    <x v="8"/>
    <x v="1"/>
    <s v="PURRANQUE"/>
    <x v="4"/>
    <s v="DISEÑO"/>
    <n v="30486132"/>
    <s v="30486132-DISEÑO"/>
    <m/>
    <s v="30486132"/>
    <s v="CONSTRUCCION APR CRUCERO NUEVO, COMUNA DE PURRANQUE"/>
    <n v="38000000"/>
    <n v="0"/>
    <n v="5000000"/>
    <n v="0"/>
    <n v="0"/>
    <n v="0"/>
    <n v="0"/>
    <n v="0"/>
    <n v="0"/>
    <n v="0"/>
    <n v="5000000"/>
    <n v="33000000"/>
    <s v="ARI"/>
  </r>
  <r>
    <n v="31"/>
    <s v="N"/>
    <x v="10"/>
    <x v="1"/>
    <s v="PURRANQUE"/>
    <x v="5"/>
    <s v="EJECUCION"/>
    <n v="30426925"/>
    <s v="30426925-EJECUCION"/>
    <m/>
    <s v="30426925"/>
    <s v="HABILITACION SUMINISTRO ENERGIA ELECTRICA, SECTOR LA POZA"/>
    <n v="246139000"/>
    <n v="0"/>
    <n v="10000000"/>
    <n v="0"/>
    <n v="0"/>
    <n v="0"/>
    <n v="0"/>
    <n v="0"/>
    <n v="0"/>
    <n v="0"/>
    <n v="10000000"/>
    <n v="236139000"/>
    <s v="ARI"/>
  </r>
  <r>
    <n v="31"/>
    <s v="N"/>
    <x v="10"/>
    <x v="1"/>
    <s v="PURRANQUE"/>
    <x v="5"/>
    <s v="EJECUCION"/>
    <n v="40000904"/>
    <s v="40000904-EJECUCION"/>
    <m/>
    <s v="40000904"/>
    <s v="HABILITACION SUMINISTRO ENERGIA ELECTRICA, SECTOR COLLIHUINCO"/>
    <n v="214146000"/>
    <n v="0"/>
    <n v="10000000"/>
    <n v="0"/>
    <n v="0"/>
    <n v="0"/>
    <n v="0"/>
    <n v="0"/>
    <n v="0"/>
    <n v="0"/>
    <n v="10000000"/>
    <n v="204146000"/>
    <s v="ARI"/>
  </r>
  <r>
    <m/>
    <m/>
    <x v="0"/>
    <x v="0"/>
    <m/>
    <x v="0"/>
    <m/>
    <m/>
    <m/>
    <m/>
    <m/>
    <s v="TOTAL DE INICIATIVAS SIN MOVIMIENTO"/>
    <n v="1435288000"/>
    <n v="0"/>
    <n v="36622900"/>
    <n v="0"/>
    <n v="0"/>
    <n v="0"/>
    <n v="0"/>
    <n v="0"/>
    <n v="0"/>
    <n v="0"/>
    <n v="36622900"/>
    <n v="139866510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TOTAL COMUNA DE  PURRANQUE"/>
    <n v="5692939205"/>
    <n v="2685063029"/>
    <n v="315221847"/>
    <n v="56634234"/>
    <n v="0"/>
    <n v="0"/>
    <n v="56634234"/>
    <n v="0"/>
    <n v="0"/>
    <n v="56634234"/>
    <n v="258587613"/>
    <n v="2692654329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COMUNA DE PUYEHUE"/>
    <m/>
    <m/>
    <m/>
    <m/>
    <m/>
    <m/>
    <m/>
    <m/>
    <m/>
    <m/>
    <m/>
    <m/>
    <m/>
  </r>
  <r>
    <m/>
    <m/>
    <x v="0"/>
    <x v="0"/>
    <m/>
    <x v="0"/>
    <m/>
    <m/>
    <m/>
    <m/>
    <m/>
    <s v="INICIATIVAS EN EJECUCION"/>
    <m/>
    <m/>
    <m/>
    <m/>
    <m/>
    <m/>
    <m/>
    <m/>
    <m/>
    <m/>
    <m/>
    <m/>
    <m/>
  </r>
  <r>
    <n v="31"/>
    <s v="A"/>
    <x v="6"/>
    <x v="1"/>
    <s v="PUYEHUE"/>
    <x v="3"/>
    <s v="EJECUCION"/>
    <n v="30067012"/>
    <s v="30067012-EJECUCION"/>
    <m/>
    <s v="30067012"/>
    <s v="REPOSICION PARCIAL LICEO LAS AMERICAS ENTRE LAGOS"/>
    <n v="2959919000"/>
    <n v="1753882020"/>
    <n v="1159919000"/>
    <n v="230610100"/>
    <n v="230581537"/>
    <n v="190296590"/>
    <n v="651488227"/>
    <n v="112468479"/>
    <n v="101261260"/>
    <n v="865217966"/>
    <n v="294701034"/>
    <n v="46117980"/>
    <s v="EN EJECUCION"/>
  </r>
  <r>
    <n v="31"/>
    <s v="A"/>
    <x v="8"/>
    <x v="1"/>
    <s v="PUYEHUE"/>
    <x v="4"/>
    <s v="EJECUCION"/>
    <n v="20132784"/>
    <s v="20132784-EJECUCION"/>
    <m/>
    <s v="20132784"/>
    <s v="CONSTRUCCION INFRAESTRUCTURA SANITARIA ALCANTARILLADO PILMAIQUEN"/>
    <n v="1319103033"/>
    <n v="1231260133"/>
    <n v="42657804"/>
    <n v="37016645"/>
    <n v="0"/>
    <n v="0"/>
    <n v="37016645"/>
    <n v="0"/>
    <n v="0"/>
    <n v="37016645"/>
    <n v="5641159"/>
    <n v="45185096"/>
    <s v="EN EJECUCION"/>
  </r>
  <r>
    <m/>
    <m/>
    <x v="0"/>
    <x v="0"/>
    <m/>
    <x v="0"/>
    <m/>
    <m/>
    <m/>
    <m/>
    <m/>
    <s v="TOTAL DE INICIATIVAS EN EJECUCION"/>
    <n v="4279022033"/>
    <n v="2985142153"/>
    <n v="1202576804"/>
    <n v="267626745"/>
    <n v="230581537"/>
    <n v="190296590"/>
    <n v="688504872"/>
    <n v="112468479"/>
    <n v="101261260"/>
    <n v="902234611"/>
    <n v="300342193"/>
    <n v="91303076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SIN MOVIMIENTO"/>
    <m/>
    <m/>
    <m/>
    <m/>
    <m/>
    <m/>
    <m/>
    <m/>
    <m/>
    <m/>
    <m/>
    <m/>
    <m/>
  </r>
  <r>
    <n v="31"/>
    <s v="N"/>
    <x v="8"/>
    <x v="1"/>
    <s v="PUYEHUE"/>
    <x v="4"/>
    <s v="EJECUCION"/>
    <n v="30485286"/>
    <s v="30485286-EJECUCION"/>
    <m/>
    <s v="30485286"/>
    <s v="CONSTRUCCION PLANTA DE TRATAMIENTO DE AGUAS SERVIDAS ENTRE LAGOS"/>
    <n v="2200000000"/>
    <n v="0"/>
    <n v="10000000"/>
    <n v="0"/>
    <n v="0"/>
    <n v="0"/>
    <n v="0"/>
    <n v="0"/>
    <n v="0"/>
    <n v="0"/>
    <n v="10000000"/>
    <n v="2190000000"/>
    <s v="ARI"/>
  </r>
  <r>
    <n v="31"/>
    <s v="N"/>
    <x v="5"/>
    <x v="1"/>
    <s v="PUYEHUE"/>
    <x v="2"/>
    <s v="DISEÑO"/>
    <n v="30401324"/>
    <s v="30401324-DISEÑO"/>
    <m/>
    <s v="30401324"/>
    <s v="REPOSICION CENTRO COMUNITARIO EL COLORADO"/>
    <n v="41500000"/>
    <n v="0"/>
    <n v="2075000"/>
    <n v="0"/>
    <n v="0"/>
    <n v="0"/>
    <n v="0"/>
    <n v="0"/>
    <n v="0"/>
    <n v="0"/>
    <n v="2075000"/>
    <n v="39425000"/>
    <s v="ARI"/>
  </r>
  <r>
    <n v="31"/>
    <s v="N"/>
    <x v="4"/>
    <x v="1"/>
    <s v="PUYEHUE"/>
    <x v="1"/>
    <s v="EJECUCION"/>
    <n v="30359222"/>
    <s v="30359222-EJECUCION"/>
    <m/>
    <s v="30359222"/>
    <s v="CONSERVACION CAMINOS NO ENROLADOS DE LA COMUNA DE PUYEHUE (C33)"/>
    <n v="274008000"/>
    <n v="0"/>
    <n v="10000000"/>
    <n v="0"/>
    <n v="0"/>
    <n v="0"/>
    <n v="0"/>
    <n v="0"/>
    <n v="0"/>
    <n v="0"/>
    <n v="10000000"/>
    <n v="264008000"/>
    <s v="ARI"/>
  </r>
  <r>
    <m/>
    <m/>
    <x v="0"/>
    <x v="0"/>
    <m/>
    <x v="0"/>
    <m/>
    <m/>
    <m/>
    <m/>
    <m/>
    <s v="TOTAL DE INICIATIVAS SIN MOVIMIENTO"/>
    <n v="2515508000"/>
    <n v="0"/>
    <n v="22075000"/>
    <n v="0"/>
    <n v="0"/>
    <n v="0"/>
    <n v="0"/>
    <n v="0"/>
    <n v="0"/>
    <n v="0"/>
    <n v="22075000"/>
    <n v="249343300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TOTAL COMUNA DE  PUYEHUE"/>
    <n v="6794530033"/>
    <n v="2985142153"/>
    <n v="1224651804"/>
    <n v="267626745"/>
    <n v="230581537"/>
    <n v="190296590"/>
    <n v="688504872"/>
    <n v="112468479"/>
    <n v="101261260"/>
    <n v="902234611"/>
    <n v="322417193"/>
    <n v="2584736076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COMUNA DE RIO NEGRO"/>
    <m/>
    <m/>
    <m/>
    <m/>
    <m/>
    <m/>
    <m/>
    <m/>
    <m/>
    <m/>
    <m/>
    <m/>
    <m/>
  </r>
  <r>
    <m/>
    <m/>
    <x v="0"/>
    <x v="0"/>
    <m/>
    <x v="0"/>
    <m/>
    <m/>
    <m/>
    <m/>
    <m/>
    <s v="INICIATIVAS EN EJECUCION"/>
    <m/>
    <m/>
    <m/>
    <m/>
    <m/>
    <m/>
    <m/>
    <m/>
    <m/>
    <m/>
    <m/>
    <m/>
    <m/>
  </r>
  <r>
    <n v="31"/>
    <s v="A"/>
    <x v="9"/>
    <x v="1"/>
    <s v="RIO NEGRO"/>
    <x v="2"/>
    <s v="EJECUCION"/>
    <n v="30102235"/>
    <s v="30102235-EJECUCION"/>
    <m/>
    <s v="30102235"/>
    <s v="CONSERVACION GIMNASIO FISCAL DE RIO NEGRO (C33)"/>
    <n v="373536000"/>
    <n v="0"/>
    <n v="223536000"/>
    <n v="0"/>
    <n v="0"/>
    <n v="16436249"/>
    <n v="16436249"/>
    <n v="12778811"/>
    <n v="38209982"/>
    <n v="67425042"/>
    <n v="156110958"/>
    <n v="150000000"/>
    <s v="EN EJECUCION"/>
  </r>
  <r>
    <n v="31"/>
    <s v="A"/>
    <x v="6"/>
    <x v="1"/>
    <s v="RIO NEGRO"/>
    <x v="2"/>
    <s v="DISEÑO"/>
    <n v="30088194"/>
    <s v="30088194-DISEÑO"/>
    <m/>
    <s v="30088194"/>
    <s v="REPOSICION ESCUELA ANDREW JACKSON RIO NEGRO"/>
    <n v="128339324"/>
    <n v="32463865"/>
    <n v="52671459"/>
    <n v="0"/>
    <n v="0"/>
    <n v="0"/>
    <n v="0"/>
    <n v="0"/>
    <n v="0"/>
    <n v="0"/>
    <n v="52671459"/>
    <n v="43204000"/>
    <s v="EN REEVALUACION"/>
  </r>
  <r>
    <m/>
    <m/>
    <x v="0"/>
    <x v="0"/>
    <m/>
    <x v="0"/>
    <m/>
    <m/>
    <m/>
    <m/>
    <m/>
    <s v="TOTAL DE INICIATIVAS EN EJECUCION"/>
    <n v="501875324"/>
    <n v="32463865"/>
    <n v="276207459"/>
    <n v="0"/>
    <n v="0"/>
    <n v="16436249"/>
    <n v="16436249"/>
    <n v="12778811"/>
    <n v="38209982"/>
    <n v="67425042"/>
    <n v="208782417"/>
    <n v="19320400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SIN MOVIMIENTO"/>
    <m/>
    <m/>
    <m/>
    <m/>
    <m/>
    <m/>
    <m/>
    <m/>
    <m/>
    <m/>
    <m/>
    <m/>
    <m/>
  </r>
  <r>
    <n v="29"/>
    <s v="N"/>
    <x v="7"/>
    <x v="1"/>
    <s v="RIO NEGRO"/>
    <x v="2"/>
    <s v="EJECUCION"/>
    <n v="30287173"/>
    <s v="30287173-EJECUCION"/>
    <m/>
    <s v="30287173"/>
    <s v="ADQUISICION PLANTA MOVIL FAENADORA DE GANADO MENOR(C33)"/>
    <n v="338411000"/>
    <n v="0"/>
    <n v="16920550"/>
    <n v="0"/>
    <n v="0"/>
    <n v="0"/>
    <n v="0"/>
    <n v="0"/>
    <n v="0"/>
    <n v="0"/>
    <n v="16920550"/>
    <n v="321490450"/>
    <s v="ARI"/>
  </r>
  <r>
    <n v="31"/>
    <s v="N"/>
    <x v="5"/>
    <x v="1"/>
    <s v="RIO NEGRO"/>
    <x v="2"/>
    <s v="DISEÑO"/>
    <n v="30102226"/>
    <s v="30102226-DISEÑO"/>
    <m/>
    <s v="30102226"/>
    <s v="REPOSICION EDIFICIO CONSISTORIAL RIO NEGRO"/>
    <n v="157404000"/>
    <n v="0"/>
    <n v="7870200"/>
    <n v="0"/>
    <n v="0"/>
    <n v="0"/>
    <n v="0"/>
    <n v="0"/>
    <n v="0"/>
    <n v="0"/>
    <n v="7870200"/>
    <n v="149533800"/>
    <s v="ARI"/>
  </r>
  <r>
    <n v="31"/>
    <s v="N"/>
    <x v="1"/>
    <x v="1"/>
    <s v="RIO NEGRO"/>
    <x v="2"/>
    <s v="EJECUCION"/>
    <n v="30280673"/>
    <s v="30280673-EJECUCION"/>
    <s v="30280673-FNDR"/>
    <s v="30280673"/>
    <s v="CONSTRUCCION POSTA SALUD RURAL CHAN CHAN"/>
    <n v="325967000"/>
    <n v="0"/>
    <n v="16298350"/>
    <n v="0"/>
    <n v="0"/>
    <n v="0"/>
    <n v="0"/>
    <n v="0"/>
    <n v="0"/>
    <n v="0"/>
    <n v="16298350"/>
    <n v="309668650"/>
    <s v="ARI"/>
  </r>
  <r>
    <m/>
    <m/>
    <x v="0"/>
    <x v="0"/>
    <m/>
    <x v="0"/>
    <m/>
    <m/>
    <m/>
    <m/>
    <m/>
    <s v="TOTAL DE INICIATIVAS SIN MOVIMIENTO"/>
    <n v="821782000"/>
    <n v="0"/>
    <n v="41089100"/>
    <n v="0"/>
    <n v="0"/>
    <n v="0"/>
    <n v="0"/>
    <n v="0"/>
    <n v="0"/>
    <n v="0"/>
    <n v="41089100"/>
    <n v="78069290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TOTAL COMUNA DE  RIO NEGRO"/>
    <n v="1323657324"/>
    <n v="32463865"/>
    <n v="317296559"/>
    <n v="0"/>
    <n v="0"/>
    <n v="16436249"/>
    <n v="16436249"/>
    <n v="12778811"/>
    <n v="38209982"/>
    <n v="67425042"/>
    <n v="249871517"/>
    <n v="97389690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COMUNA DE SAN JUAN DE LA COSTA"/>
    <m/>
    <m/>
    <m/>
    <m/>
    <m/>
    <m/>
    <m/>
    <m/>
    <m/>
    <m/>
    <m/>
    <m/>
    <m/>
  </r>
  <r>
    <m/>
    <m/>
    <x v="0"/>
    <x v="0"/>
    <m/>
    <x v="0"/>
    <m/>
    <m/>
    <m/>
    <m/>
    <m/>
    <s v="INICIATIVAS EN EJECUCION"/>
    <m/>
    <m/>
    <m/>
    <m/>
    <m/>
    <m/>
    <m/>
    <m/>
    <m/>
    <m/>
    <m/>
    <m/>
    <m/>
  </r>
  <r>
    <n v="31"/>
    <s v="A"/>
    <x v="9"/>
    <x v="1"/>
    <s v="SAN JUAN DE LA COSTA"/>
    <x v="1"/>
    <s v="EJECUCION"/>
    <n v="30269724"/>
    <s v="30269724-EJECUCION"/>
    <m/>
    <s v="30269724"/>
    <s v="CONSTRUCCION CANCHA SINTETICA Y ESTADIO MUNICIPAL DE PUAUCHO SAN JUAN DE LA COSTA"/>
    <n v="1154269824"/>
    <n v="1138036824"/>
    <n v="0"/>
    <n v="0"/>
    <n v="0"/>
    <n v="0"/>
    <n v="0"/>
    <n v="0"/>
    <n v="0"/>
    <n v="0"/>
    <n v="0"/>
    <n v="16233000"/>
    <s v="EN EJECUCION"/>
  </r>
  <r>
    <m/>
    <m/>
    <x v="0"/>
    <x v="0"/>
    <m/>
    <x v="0"/>
    <m/>
    <m/>
    <m/>
    <m/>
    <m/>
    <s v="TOTAL DE INICIATIVAS EN EJECUCION"/>
    <n v="1154269824"/>
    <n v="1138036824"/>
    <n v="0"/>
    <n v="0"/>
    <n v="0"/>
    <n v="0"/>
    <n v="0"/>
    <n v="0"/>
    <n v="0"/>
    <n v="0"/>
    <n v="0"/>
    <n v="1623300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LICITACION/ADJUDICACION"/>
    <m/>
    <m/>
    <m/>
    <m/>
    <m/>
    <m/>
    <m/>
    <m/>
    <m/>
    <m/>
    <m/>
    <m/>
    <m/>
  </r>
  <r>
    <n v="31"/>
    <s v="A"/>
    <x v="6"/>
    <x v="1"/>
    <s v="SAN JUAN DE LA COSTA"/>
    <x v="3"/>
    <s v="EJECUCION"/>
    <n v="30110580"/>
    <s v="30110580-EJECUCION"/>
    <m/>
    <s v="30110580"/>
    <s v="REPOSICION LICEO INTERNADO ANTULAFKEN PUAUCHO"/>
    <n v="2735592418"/>
    <n v="55971432"/>
    <n v="825481000"/>
    <n v="0"/>
    <n v="0"/>
    <n v="0"/>
    <n v="0"/>
    <n v="0"/>
    <n v="0"/>
    <n v="0"/>
    <n v="825481000"/>
    <n v="1854139986"/>
    <s v="EN ADJUDICACION"/>
  </r>
  <r>
    <n v="29"/>
    <s v="N"/>
    <x v="5"/>
    <x v="1"/>
    <s v="SAN JUAN DE LA COSTA"/>
    <x v="2"/>
    <s v="EJECUCION"/>
    <n v="40001677"/>
    <s v="40001677-EJECUCION"/>
    <m/>
    <s v="40001677"/>
    <s v="REPOSICION VEHICULOS MUNICIPALES, SAN JUAN DE LA COSTA (C33)"/>
    <n v="74519000"/>
    <n v="0"/>
    <n v="74519000"/>
    <n v="0"/>
    <n v="0"/>
    <n v="0"/>
    <n v="0"/>
    <n v="0"/>
    <n v="0"/>
    <n v="0"/>
    <n v="74519000"/>
    <n v="0"/>
    <s v="TERMINADO"/>
  </r>
  <r>
    <m/>
    <m/>
    <x v="0"/>
    <x v="0"/>
    <m/>
    <x v="0"/>
    <m/>
    <m/>
    <m/>
    <m/>
    <m/>
    <s v="TOTAL DE INICIATIVAS EN LICITACION/ADJUDICACION"/>
    <n v="2810111418"/>
    <n v="55971432"/>
    <n v="900000000"/>
    <n v="0"/>
    <n v="0"/>
    <n v="0"/>
    <n v="0"/>
    <n v="0"/>
    <n v="0"/>
    <n v="0"/>
    <n v="900000000"/>
    <n v="1854139986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TERMINADAS"/>
    <m/>
    <m/>
    <m/>
    <m/>
    <m/>
    <m/>
    <m/>
    <m/>
    <m/>
    <m/>
    <m/>
    <m/>
    <m/>
  </r>
  <r>
    <n v="31"/>
    <s v="A"/>
    <x v="1"/>
    <x v="1"/>
    <s v="SAN JUAN DE LA COSTA"/>
    <x v="1"/>
    <s v="EJECUCION"/>
    <n v="30135939"/>
    <s v="30135939-EJECUCION"/>
    <s v="30135939-FNDR"/>
    <s v="30135939"/>
    <s v="CONSTRUCCION POSTA SALUD RURAL LA PIEDRA"/>
    <n v="435711564"/>
    <n v="435711564"/>
    <n v="0"/>
    <n v="0"/>
    <n v="0"/>
    <n v="0"/>
    <n v="0"/>
    <n v="0"/>
    <n v="0"/>
    <n v="0"/>
    <n v="0"/>
    <n v="0"/>
    <s v="TERMINADO"/>
  </r>
  <r>
    <n v="31"/>
    <s v="A"/>
    <x v="1"/>
    <x v="1"/>
    <s v="SAN JUAN DE LA COSTA"/>
    <x v="1"/>
    <s v="EJECUCION"/>
    <n v="30071876"/>
    <s v="30071876-EJECUCION"/>
    <s v="30071876-FNDR"/>
    <s v="30071876"/>
    <s v="CONSTRUCCION POSTA SALUD RURAL CHAMILCO"/>
    <n v="441054507"/>
    <n v="441054507"/>
    <n v="0"/>
    <n v="0"/>
    <n v="0"/>
    <n v="0"/>
    <n v="0"/>
    <n v="0"/>
    <n v="0"/>
    <n v="0"/>
    <n v="0"/>
    <n v="0"/>
    <s v="TERMINADO"/>
  </r>
  <r>
    <m/>
    <m/>
    <x v="0"/>
    <x v="0"/>
    <m/>
    <x v="0"/>
    <m/>
    <m/>
    <m/>
    <m/>
    <m/>
    <s v="TOTAL DE INICIATIVAS TERMINADAS"/>
    <n v="876766071"/>
    <n v="876766071"/>
    <n v="0"/>
    <n v="0"/>
    <n v="0"/>
    <n v="0"/>
    <n v="0"/>
    <n v="0"/>
    <n v="0"/>
    <n v="0"/>
    <n v="0"/>
    <n v="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CONVENIO Y TRAMITE"/>
    <m/>
    <m/>
    <m/>
    <m/>
    <m/>
    <m/>
    <m/>
    <m/>
    <m/>
    <m/>
    <m/>
    <m/>
    <m/>
  </r>
  <r>
    <n v="31"/>
    <s v="N"/>
    <x v="10"/>
    <x v="1"/>
    <s v="SAN JUAN DE LA COSTA"/>
    <x v="5"/>
    <s v="EJECUCION"/>
    <n v="20170733"/>
    <s v="20170733-EJECUCION"/>
    <m/>
    <s v="20170733"/>
    <s v="HABILITACION SUMINISTRO ENERGIA ELECTRICA, SECTOR PUNINQUE COMP"/>
    <n v="120128000"/>
    <n v="0"/>
    <n v="120128000"/>
    <n v="0"/>
    <n v="0"/>
    <n v="0"/>
    <n v="0"/>
    <n v="0"/>
    <n v="0"/>
    <n v="0"/>
    <n v="120128000"/>
    <n v="0"/>
    <s v="TRAMITE CONVENIO"/>
  </r>
  <r>
    <n v="31"/>
    <s v="N"/>
    <x v="10"/>
    <x v="1"/>
    <s v="SAN JUAN DE LA COSTA"/>
    <x v="5"/>
    <s v="EJECUCION"/>
    <n v="30118485"/>
    <s v="30118485-EJECUCION"/>
    <m/>
    <s v="30118485"/>
    <s v="HABILITACION SUMINISTRO ENERGIA ELECTRICA, SECTOR POPOEM"/>
    <n v="405000000"/>
    <n v="0"/>
    <n v="405000000"/>
    <n v="0"/>
    <n v="0"/>
    <n v="0"/>
    <n v="0"/>
    <n v="0"/>
    <n v="0"/>
    <n v="0"/>
    <n v="405000000"/>
    <n v="0"/>
    <s v="TRAMITE CONVENIO"/>
  </r>
  <r>
    <n v="31"/>
    <s v="N"/>
    <x v="10"/>
    <x v="1"/>
    <s v="SAN JUAN DE LA COSTA"/>
    <x v="5"/>
    <s v="EJECUCION"/>
    <n v="30463407"/>
    <s v="30463407-EJECUCION"/>
    <m/>
    <s v="30463407"/>
    <s v="HABILITACION SUMINISTRO ENERGIA ELECTRICA, PICHILAFQUENMAPU SN JUAN DE LA COSTA"/>
    <n v="250593000"/>
    <n v="0"/>
    <n v="250593000"/>
    <n v="0"/>
    <n v="0"/>
    <n v="0"/>
    <n v="0"/>
    <n v="0"/>
    <n v="0"/>
    <n v="0"/>
    <n v="250593000"/>
    <n v="0"/>
    <s v="TRAMITE CONVENIO"/>
  </r>
  <r>
    <m/>
    <m/>
    <x v="0"/>
    <x v="0"/>
    <m/>
    <x v="0"/>
    <m/>
    <m/>
    <m/>
    <m/>
    <m/>
    <s v="TOTAL DE INICIATIVAS EN CONVENIO Y TRAMITE"/>
    <n v="775721000"/>
    <n v="0"/>
    <n v="775721000"/>
    <n v="0"/>
    <n v="0"/>
    <n v="0"/>
    <n v="0"/>
    <n v="0"/>
    <n v="0"/>
    <n v="0"/>
    <n v="775721000"/>
    <n v="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SIN MOVIMIENTO"/>
    <m/>
    <m/>
    <m/>
    <m/>
    <m/>
    <m/>
    <m/>
    <m/>
    <m/>
    <m/>
    <m/>
    <m/>
    <m/>
  </r>
  <r>
    <n v="31"/>
    <s v="N"/>
    <x v="1"/>
    <x v="1"/>
    <s v="SAN JUAN DE LA COSTA"/>
    <x v="2"/>
    <s v="EJECUCION"/>
    <n v="30291073"/>
    <s v="30291073-EJECUCION"/>
    <s v="30291073-FNDR"/>
    <s v="30291073"/>
    <s v="CONSTRUCCION POSTA DE SALUD RURAL PUCATRIHUE"/>
    <n v="442085000"/>
    <n v="0"/>
    <n v="22104250"/>
    <n v="0"/>
    <n v="0"/>
    <n v="0"/>
    <n v="0"/>
    <n v="0"/>
    <n v="0"/>
    <n v="0"/>
    <n v="22104250"/>
    <n v="419980750"/>
    <s v="ARI"/>
  </r>
  <r>
    <n v="31"/>
    <s v="N"/>
    <x v="1"/>
    <x v="1"/>
    <s v="SAN JUAN DE LA COSTA"/>
    <x v="2"/>
    <s v="EJECUCION"/>
    <n v="30071878"/>
    <s v="30071878-EJECUCION"/>
    <s v="30071878-FNDR"/>
    <s v="30071878"/>
    <s v="REPOSICION CENTRO DE SALUD BAHIA MANSA"/>
    <n v="2396359000"/>
    <n v="0"/>
    <n v="40000000"/>
    <n v="0"/>
    <n v="0"/>
    <n v="0"/>
    <n v="0"/>
    <n v="0"/>
    <n v="0"/>
    <n v="0"/>
    <n v="40000000"/>
    <n v="2356359000"/>
    <s v="ARI"/>
  </r>
  <r>
    <n v="31"/>
    <s v="N"/>
    <x v="10"/>
    <x v="1"/>
    <s v="SAN JUAN DE LA COSTA"/>
    <x v="5"/>
    <s v="EJECUCION"/>
    <n v="30124377"/>
    <s v="30124377-EJECUCION"/>
    <m/>
    <s v="30124377"/>
    <s v="HABILITACION SUMINISTRO ENERGIA ELECTRICA, QUILLOIMO SAN JUAN DE LA COSTA"/>
    <n v="285604000"/>
    <n v="0"/>
    <n v="67634000"/>
    <n v="0"/>
    <n v="0"/>
    <n v="0"/>
    <n v="0"/>
    <n v="0"/>
    <n v="0"/>
    <n v="0"/>
    <n v="67634000"/>
    <n v="217970000"/>
    <s v="ARI"/>
  </r>
  <r>
    <n v="31"/>
    <s v="N"/>
    <x v="10"/>
    <x v="1"/>
    <s v="SAN JUAN DE LA COSTA"/>
    <x v="5"/>
    <s v="EJECUCION"/>
    <n v="30124368"/>
    <s v="30124368-EJECUCION"/>
    <m/>
    <s v="30124368"/>
    <s v="HABILITACION SUMINISTRO ENERGIA ELECTRICA,  ALEUCAPI SAN JUAN DE LA COSTA"/>
    <n v="182674000"/>
    <n v="0"/>
    <n v="20000000"/>
    <n v="0"/>
    <n v="0"/>
    <n v="0"/>
    <n v="0"/>
    <n v="0"/>
    <n v="0"/>
    <n v="0"/>
    <n v="20000000"/>
    <n v="162674000"/>
    <s v="ARI"/>
  </r>
  <r>
    <m/>
    <m/>
    <x v="0"/>
    <x v="0"/>
    <m/>
    <x v="0"/>
    <m/>
    <m/>
    <m/>
    <m/>
    <m/>
    <s v="TOTAL DE INICIATIVAS SIN MOVIMIENTO"/>
    <n v="3306722000"/>
    <n v="0"/>
    <n v="149738250"/>
    <n v="0"/>
    <n v="0"/>
    <n v="0"/>
    <n v="0"/>
    <n v="0"/>
    <n v="0"/>
    <n v="0"/>
    <n v="149738250"/>
    <n v="315698375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TOTAL COMUNA DE  SAN JUAN DE LA COSTA"/>
    <n v="8923590313"/>
    <n v="2070774327"/>
    <n v="1825459250"/>
    <n v="0"/>
    <n v="0"/>
    <n v="0"/>
    <n v="0"/>
    <n v="0"/>
    <n v="0"/>
    <n v="0"/>
    <n v="1825459250"/>
    <n v="5027356736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COMUNA DE SAN PABLO"/>
    <m/>
    <m/>
    <m/>
    <m/>
    <m/>
    <m/>
    <m/>
    <m/>
    <m/>
    <m/>
    <m/>
    <m/>
    <m/>
  </r>
  <r>
    <m/>
    <m/>
    <x v="0"/>
    <x v="0"/>
    <m/>
    <x v="0"/>
    <m/>
    <m/>
    <m/>
    <m/>
    <m/>
    <s v="INICIATIVAS EN EJECUCION"/>
    <m/>
    <m/>
    <m/>
    <m/>
    <m/>
    <m/>
    <m/>
    <m/>
    <m/>
    <m/>
    <m/>
    <m/>
    <m/>
  </r>
  <r>
    <n v="31"/>
    <s v="A"/>
    <x v="4"/>
    <x v="1"/>
    <s v="SAN PABLO"/>
    <x v="1"/>
    <s v="DISEÑO"/>
    <n v="30247072"/>
    <s v="30247072-DISEÑO"/>
    <m/>
    <s v="30247072"/>
    <s v="MEJORAMIENTO ACCESO NORTE DE SAN PABLO"/>
    <n v="74800000"/>
    <n v="2093000"/>
    <n v="41140000"/>
    <n v="0"/>
    <n v="0"/>
    <n v="26180000"/>
    <n v="26180000"/>
    <n v="0"/>
    <n v="0"/>
    <n v="26180000"/>
    <n v="14960000"/>
    <n v="31567000"/>
    <s v="EN EJECUCION"/>
  </r>
  <r>
    <m/>
    <m/>
    <x v="0"/>
    <x v="0"/>
    <m/>
    <x v="0"/>
    <m/>
    <m/>
    <m/>
    <m/>
    <m/>
    <s v="TOTAL DE INICIATIVAS EN EJECUCION"/>
    <n v="74800000"/>
    <n v="2093000"/>
    <n v="41140000"/>
    <n v="0"/>
    <n v="0"/>
    <n v="26180000"/>
    <n v="26180000"/>
    <n v="0"/>
    <n v="0"/>
    <n v="26180000"/>
    <n v="14960000"/>
    <n v="3156700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TERMINADAS"/>
    <m/>
    <m/>
    <m/>
    <m/>
    <m/>
    <m/>
    <m/>
    <m/>
    <m/>
    <m/>
    <m/>
    <m/>
    <m/>
  </r>
  <r>
    <n v="29"/>
    <s v="P"/>
    <x v="5"/>
    <x v="1"/>
    <s v="SAN PABLO"/>
    <x v="2"/>
    <s v="EJECUCION"/>
    <n v="30487187"/>
    <s v="30487187-EJECUCION"/>
    <m/>
    <s v="30487187"/>
    <s v="ADQUISICION DE VEHICULOS PARA LA EJECUCION DE LABORALES MUNICIPALES(C33)"/>
    <n v="116320068"/>
    <n v="89920068"/>
    <n v="26400000"/>
    <n v="0"/>
    <n v="0"/>
    <n v="0"/>
    <n v="0"/>
    <n v="26400000"/>
    <n v="0"/>
    <n v="26400000"/>
    <n v="0"/>
    <n v="0"/>
    <s v="TERMINADO"/>
  </r>
  <r>
    <m/>
    <m/>
    <x v="0"/>
    <x v="0"/>
    <m/>
    <x v="0"/>
    <m/>
    <m/>
    <m/>
    <m/>
    <m/>
    <s v="TOTAL DE INICIATIVAS TERMINADAS"/>
    <n v="116320068"/>
    <n v="89920068"/>
    <n v="26400000"/>
    <n v="0"/>
    <n v="0"/>
    <n v="0"/>
    <n v="0"/>
    <n v="26400000"/>
    <n v="0"/>
    <n v="26400000"/>
    <n v="0"/>
    <n v="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CONVENIO Y TRAMITE"/>
    <m/>
    <m/>
    <m/>
    <m/>
    <m/>
    <m/>
    <m/>
    <m/>
    <m/>
    <m/>
    <m/>
    <m/>
    <m/>
  </r>
  <r>
    <n v="29"/>
    <s v="N"/>
    <x v="5"/>
    <x v="1"/>
    <s v="SAN PABLO"/>
    <x v="2"/>
    <s v="EJECUCION"/>
    <n v="40001702"/>
    <s v="40001702-EJECUCION"/>
    <m/>
    <s v="40001702"/>
    <s v="REPOSICION VEHICULO DIRECCION DE ASEO Y ORNATO (C33)"/>
    <n v="70000000"/>
    <n v="0"/>
    <n v="70000000"/>
    <n v="0"/>
    <n v="0"/>
    <n v="0"/>
    <n v="0"/>
    <n v="0"/>
    <n v="0"/>
    <n v="0"/>
    <n v="70000000"/>
    <n v="0"/>
    <s v="TERMINADO"/>
  </r>
  <r>
    <m/>
    <m/>
    <x v="0"/>
    <x v="0"/>
    <m/>
    <x v="0"/>
    <m/>
    <m/>
    <m/>
    <m/>
    <m/>
    <s v="TOTAL DE INICIATIVAS EN CONVENIO Y TRAMITE"/>
    <n v="70000000"/>
    <n v="0"/>
    <n v="70000000"/>
    <n v="0"/>
    <n v="0"/>
    <n v="0"/>
    <n v="0"/>
    <n v="0"/>
    <n v="0"/>
    <n v="0"/>
    <n v="70000000"/>
    <n v="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SIN MOVIMIENTO"/>
    <m/>
    <m/>
    <m/>
    <m/>
    <m/>
    <m/>
    <m/>
    <m/>
    <m/>
    <m/>
    <m/>
    <m/>
    <m/>
  </r>
  <r>
    <n v="31"/>
    <s v="N"/>
    <x v="1"/>
    <x v="1"/>
    <s v="SAN PABLO"/>
    <x v="2"/>
    <s v="DISEÑO"/>
    <n v="30405773"/>
    <s v="30405773-DISEÑO"/>
    <s v="30405773-FNDR"/>
    <s v="30405773"/>
    <s v="REPOSICION POSTA RURAL LA POZA, COMUNA DE SAN PABLO"/>
    <n v="25000000"/>
    <n v="0"/>
    <n v="2500000"/>
    <n v="0"/>
    <n v="0"/>
    <n v="0"/>
    <n v="0"/>
    <n v="0"/>
    <n v="0"/>
    <n v="0"/>
    <n v="2500000"/>
    <n v="22500000"/>
    <s v="ARI"/>
  </r>
  <r>
    <n v="31"/>
    <s v="N"/>
    <x v="10"/>
    <x v="1"/>
    <s v="SAN PABLO"/>
    <x v="5"/>
    <s v="EJECUCION"/>
    <n v="30465145"/>
    <s v="30465145-EJECUCION"/>
    <m/>
    <s v="30465145"/>
    <s v="HABILITACION SUMINISTRO ENERGIA ELECTRICA,  SECTOR COSTA SAN PABLO"/>
    <n v="429195000"/>
    <n v="0"/>
    <n v="21459750"/>
    <n v="0"/>
    <n v="0"/>
    <n v="0"/>
    <n v="0"/>
    <n v="0"/>
    <n v="0"/>
    <n v="0"/>
    <n v="21459750"/>
    <n v="407735250"/>
    <s v="ARI"/>
  </r>
  <r>
    <n v="31"/>
    <s v="N"/>
    <x v="10"/>
    <x v="1"/>
    <s v="SAN PABLO"/>
    <x v="5"/>
    <s v="EJECUCION"/>
    <n v="30176872"/>
    <s v="30176872-EJECUCION"/>
    <m/>
    <s v="30176872"/>
    <s v="HABILITACION SUMINISTRO ENERGIA ELECTRICA, SECTOR LLANO CENTRAL"/>
    <n v="247206000"/>
    <n v="0"/>
    <n v="12360300"/>
    <n v="0"/>
    <n v="0"/>
    <n v="0"/>
    <n v="0"/>
    <n v="0"/>
    <n v="0"/>
    <n v="0"/>
    <n v="12360300"/>
    <n v="234845700"/>
    <s v="ARI"/>
  </r>
  <r>
    <n v="31"/>
    <s v="N"/>
    <x v="3"/>
    <x v="1"/>
    <s v="SAN PABLO"/>
    <x v="2"/>
    <s v="EJECUCION"/>
    <n v="30465141"/>
    <s v="30465141-EJECUCION"/>
    <m/>
    <s v="30465141"/>
    <s v="CONSERVACION PLAZA DE ARMAS DE SAN PABLO (C33)"/>
    <n v="225854000"/>
    <n v="0"/>
    <n v="4438632"/>
    <n v="0"/>
    <n v="0"/>
    <n v="0"/>
    <n v="0"/>
    <n v="0"/>
    <n v="0"/>
    <n v="0"/>
    <n v="4438632"/>
    <n v="221415368"/>
    <s v="ARI"/>
  </r>
  <r>
    <m/>
    <m/>
    <x v="0"/>
    <x v="0"/>
    <m/>
    <x v="0"/>
    <m/>
    <m/>
    <m/>
    <m/>
    <m/>
    <s v="TOTAL DE INICIATIVAS SIN MOVIMIENTO"/>
    <n v="927255000"/>
    <n v="0"/>
    <n v="40758682"/>
    <n v="0"/>
    <n v="0"/>
    <n v="0"/>
    <n v="0"/>
    <n v="0"/>
    <n v="0"/>
    <n v="0"/>
    <n v="40758682"/>
    <n v="886496318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TOTAL COMUNA DE  SAN PABLO"/>
    <n v="1188375068"/>
    <n v="92013068"/>
    <n v="178298682"/>
    <n v="0"/>
    <n v="0"/>
    <n v="26180000"/>
    <n v="26180000"/>
    <n v="26400000"/>
    <n v="0"/>
    <n v="52580000"/>
    <n v="125718682"/>
    <n v="918063318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PROVINCIALES"/>
    <m/>
    <m/>
    <m/>
    <m/>
    <m/>
    <m/>
    <m/>
    <m/>
    <m/>
    <m/>
    <m/>
    <m/>
    <m/>
  </r>
  <r>
    <m/>
    <m/>
    <x v="0"/>
    <x v="0"/>
    <m/>
    <x v="0"/>
    <m/>
    <m/>
    <m/>
    <m/>
    <m/>
    <s v="INICIATIVAS EN EJECUCION"/>
    <m/>
    <m/>
    <m/>
    <m/>
    <m/>
    <m/>
    <m/>
    <m/>
    <m/>
    <m/>
    <m/>
    <m/>
    <m/>
  </r>
  <r>
    <n v="31"/>
    <s v="A"/>
    <x v="5"/>
    <x v="1"/>
    <s v="PROV. OSORNO"/>
    <x v="6"/>
    <s v="EJECUCION"/>
    <n v="30086815"/>
    <s v="30086815-EJECUCION"/>
    <m/>
    <s v="30086815"/>
    <s v="CONSTRUCCION  RELLENO SANITARIO PROV. DE OSORNO"/>
    <n v="15318985549"/>
    <n v="4648166927"/>
    <n v="5000000000"/>
    <n v="0"/>
    <n v="0"/>
    <n v="0"/>
    <n v="0"/>
    <n v="88439156"/>
    <n v="0"/>
    <n v="88439156"/>
    <n v="4911560844"/>
    <n v="5670818622"/>
    <s v="EN EJECUCION"/>
  </r>
  <r>
    <n v="31"/>
    <s v="A"/>
    <x v="1"/>
    <x v="1"/>
    <s v="PROV. OSORNO"/>
    <x v="2"/>
    <s v="EJECUCION"/>
    <n v="30158072"/>
    <s v="30158072-EJECUCION"/>
    <s v="30158072-FNDR"/>
    <s v="30158072"/>
    <s v="MEJORAMIENTO HOSPITAL DE PTO OCTAY"/>
    <n v="3257705000"/>
    <n v="2093000"/>
    <n v="1200000000"/>
    <n v="0"/>
    <n v="0"/>
    <n v="0"/>
    <n v="0"/>
    <n v="0"/>
    <n v="196957341"/>
    <n v="196957341"/>
    <n v="1003042659"/>
    <n v="2055612000"/>
    <s v="EN EJECUCION"/>
  </r>
  <r>
    <n v="33"/>
    <s v="P"/>
    <x v="5"/>
    <x v="1"/>
    <s v="PROV. OSORNO"/>
    <x v="7"/>
    <s v="EJECUCION"/>
    <s v="S/C"/>
    <s v="S/C-EJECUCION"/>
    <m/>
    <s v="S/C"/>
    <s v="FONDO  REGIONAL DE INICIATIVA LOCAL"/>
    <n v="1381816800"/>
    <n v="0"/>
    <n v="1381816800"/>
    <n v="31077847"/>
    <n v="252592897"/>
    <n v="386662130"/>
    <n v="670332874"/>
    <n v="233715991"/>
    <n v="339847220"/>
    <n v="1243896085"/>
    <n v="137920715"/>
    <n v="0"/>
    <s v="EN EJECUCION"/>
  </r>
  <r>
    <m/>
    <m/>
    <x v="0"/>
    <x v="0"/>
    <m/>
    <x v="0"/>
    <m/>
    <m/>
    <m/>
    <m/>
    <m/>
    <s v="TOTAL DE INICIATIVAS EN EJECUCION"/>
    <n v="19958507349"/>
    <n v="4650259927"/>
    <n v="7581816800"/>
    <n v="31077847"/>
    <n v="252592897"/>
    <n v="386662130"/>
    <n v="670332874"/>
    <n v="322155147"/>
    <n v="536804561"/>
    <n v="1529292582"/>
    <n v="6052524218"/>
    <n v="7726430622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LICITACION/ADJUDICACION"/>
    <m/>
    <m/>
    <m/>
    <m/>
    <m/>
    <m/>
    <m/>
    <m/>
    <m/>
    <m/>
    <m/>
    <m/>
    <m/>
  </r>
  <r>
    <n v="31"/>
    <s v="A"/>
    <x v="2"/>
    <x v="1"/>
    <s v="PROV. OSORNO"/>
    <x v="1"/>
    <s v="EJECUCION"/>
    <n v="30087497"/>
    <s v="30087497-EJECUCION"/>
    <m/>
    <s v="30087497"/>
    <s v="REPOSICION CUARTEL POLICIAL PREFECTURA PROVINCIAL OSORNO"/>
    <n v="5473500000"/>
    <n v="16381000"/>
    <n v="2807791668"/>
    <n v="0"/>
    <n v="0"/>
    <n v="0"/>
    <n v="0"/>
    <n v="0"/>
    <n v="0"/>
    <n v="0"/>
    <n v="2807791668"/>
    <n v="2649327332"/>
    <s v="EN ADJUDICACION"/>
  </r>
  <r>
    <n v="31"/>
    <s v="A"/>
    <x v="4"/>
    <x v="1"/>
    <s v="PROV. OSORNO"/>
    <x v="2"/>
    <s v="DISEÑO"/>
    <n v="30465788"/>
    <s v="30465788-DISEÑO"/>
    <m/>
    <s v="30465788"/>
    <s v="AMPLIACION AERODROMO CAÑAL BAJO"/>
    <n v="325073000"/>
    <n v="3999000"/>
    <n v="297001000"/>
    <n v="0"/>
    <n v="0"/>
    <n v="0"/>
    <n v="0"/>
    <n v="0"/>
    <n v="0"/>
    <n v="0"/>
    <n v="297001000"/>
    <n v="24073000"/>
    <s v="EN ADJUDICACION"/>
  </r>
  <r>
    <n v="31"/>
    <s v="P"/>
    <x v="1"/>
    <x v="1"/>
    <s v="PROV. OSORNO"/>
    <x v="2"/>
    <s v="EJECUCION"/>
    <n v="30126943"/>
    <s v="30126943-EJECUCION"/>
    <s v="30126943-FNDR"/>
    <s v="30126943"/>
    <s v="MEJORAMIENTO HOSPITAL DE RIO NEGRO"/>
    <n v="3242559000"/>
    <n v="2092000"/>
    <n v="1144411933"/>
    <n v="0"/>
    <n v="0"/>
    <n v="0"/>
    <n v="0"/>
    <n v="0"/>
    <n v="0"/>
    <n v="0"/>
    <n v="1144411933"/>
    <n v="2096055067"/>
    <s v="EN ADJUDICACION"/>
  </r>
  <r>
    <n v="29"/>
    <s v="P"/>
    <x v="5"/>
    <x v="1"/>
    <s v="PROV. OSORNO"/>
    <x v="6"/>
    <s v="EJECUCION"/>
    <n v="30085619"/>
    <s v="30085619-EJECUCION"/>
    <m/>
    <s v="30085619"/>
    <s v="ADQUISICION CAMION MULTIPROPOSITO Y ADQUISICION DE 20  CONTENEDORES (C33)"/>
    <n v="190400000"/>
    <n v="0"/>
    <n v="190400000"/>
    <n v="0"/>
    <n v="0"/>
    <n v="0"/>
    <n v="0"/>
    <n v="0"/>
    <n v="0"/>
    <n v="0"/>
    <n v="190400000"/>
    <n v="0"/>
    <s v="TERMINADO"/>
  </r>
  <r>
    <m/>
    <m/>
    <x v="0"/>
    <x v="0"/>
    <m/>
    <x v="0"/>
    <m/>
    <m/>
    <m/>
    <m/>
    <m/>
    <s v="TOTAL DE INICIATIVAS EN LICITACION/ADJUDICACION"/>
    <n v="9231532000"/>
    <n v="22472000"/>
    <n v="4439604601"/>
    <n v="0"/>
    <n v="0"/>
    <n v="0"/>
    <n v="0"/>
    <n v="0"/>
    <n v="0"/>
    <n v="0"/>
    <n v="4439604601"/>
    <n v="4769455399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CONVENIO Y TRAMITE"/>
    <m/>
    <m/>
    <m/>
    <m/>
    <m/>
    <m/>
    <m/>
    <m/>
    <m/>
    <m/>
    <m/>
    <m/>
    <m/>
  </r>
  <r>
    <n v="29"/>
    <s v="P"/>
    <x v="1"/>
    <x v="1"/>
    <s v="PROV. OSORNO"/>
    <x v="2"/>
    <s v="EJECUCION"/>
    <n v="30486204"/>
    <s v="30486204-EJECUCION"/>
    <m/>
    <s v="30486204"/>
    <s v="ADQUISICION CABINA FOTOTERAPIA PARA HOSPITAL BASE DE OSORNO(C33)"/>
    <n v="24847200"/>
    <n v="0"/>
    <n v="24847200"/>
    <n v="0"/>
    <n v="0"/>
    <n v="0"/>
    <n v="0"/>
    <n v="0"/>
    <n v="24847200"/>
    <n v="24847200"/>
    <n v="0"/>
    <n v="0"/>
    <s v="TERMINADO"/>
  </r>
  <r>
    <n v="29"/>
    <s v="N"/>
    <x v="2"/>
    <x v="1"/>
    <s v="PROV. OSORNO"/>
    <x v="2"/>
    <s v="EJECUCION"/>
    <n v="40001457"/>
    <s v="40001457-EJECUCION"/>
    <m/>
    <s v="40001457"/>
    <s v="REPOSICION VEHICULOS PDI, PROVINCIA DE OSORNO (C33)"/>
    <n v="249575000"/>
    <n v="0"/>
    <n v="249575000"/>
    <n v="0"/>
    <n v="0"/>
    <n v="0"/>
    <n v="0"/>
    <n v="0"/>
    <n v="0"/>
    <n v="0"/>
    <n v="249575000"/>
    <n v="0"/>
    <s v="CON CONVENIO"/>
  </r>
  <r>
    <n v="31"/>
    <s v="P"/>
    <x v="4"/>
    <x v="1"/>
    <s v="PROV. OSORNO"/>
    <x v="1"/>
    <s v="EJECUCION"/>
    <n v="30448275"/>
    <s v="30448275-EJECUCION"/>
    <m/>
    <s v="30448275"/>
    <s v="CONSERVACION CAMINOS VECINALES POR GLOSA 7, ETAPA 1, PROVINCIA OSORNO(C33)"/>
    <n v="328333000"/>
    <n v="0"/>
    <n v="50000000"/>
    <n v="0"/>
    <n v="0"/>
    <n v="0"/>
    <n v="0"/>
    <n v="0"/>
    <n v="0"/>
    <n v="0"/>
    <n v="50000000"/>
    <n v="278333000"/>
    <s v="CON CONVENIO"/>
  </r>
  <r>
    <n v="31"/>
    <s v="P"/>
    <x v="5"/>
    <x v="1"/>
    <s v="PROV. OSORNO"/>
    <x v="2"/>
    <s v="EJECUCION"/>
    <n v="30126075"/>
    <s v="30126075-EJECUCION"/>
    <m/>
    <s v="30126075"/>
    <s v="MEJORAMIENTO INFRAESTRUCTURA PASO CARDENAL SAMORE(PATIO CAMIONES)"/>
    <n v="886118000"/>
    <n v="0"/>
    <n v="300000000"/>
    <n v="0"/>
    <n v="0"/>
    <n v="0"/>
    <n v="0"/>
    <n v="0"/>
    <n v="0"/>
    <n v="0"/>
    <n v="300000000"/>
    <n v="586118000"/>
    <s v="CON CONVENIO"/>
  </r>
  <r>
    <n v="24"/>
    <s v="P"/>
    <x v="6"/>
    <x v="1"/>
    <s v="PROV. OSORNO"/>
    <x v="2"/>
    <s v="EJECUCION"/>
    <s v="SUBT 24"/>
    <s v="SUBT 24-EJECUCION"/>
    <m/>
    <s v="SUBT 24"/>
    <s v="ACTIVIDADES CULTURALES"/>
    <n v="359099988.79963976"/>
    <n v="0"/>
    <n v="359099988.79963976"/>
    <n v="0"/>
    <n v="0"/>
    <n v="0"/>
    <n v="0"/>
    <n v="904413"/>
    <n v="0"/>
    <n v="904413"/>
    <n v="358195575.79963976"/>
    <n v="0"/>
    <s v="CONCURSO"/>
  </r>
  <r>
    <n v="24"/>
    <s v="P"/>
    <x v="9"/>
    <x v="1"/>
    <s v="PROV. OSORNO"/>
    <x v="2"/>
    <s v="EJECUCION"/>
    <s v="SUBT 24"/>
    <s v="SUBT 24-EJECUCION"/>
    <m/>
    <s v="SUBT 24"/>
    <s v="ACTIVIDADES DEPORTIVAS"/>
    <n v="359099988.79963976"/>
    <n v="0"/>
    <n v="359099988.79963976"/>
    <n v="0"/>
    <n v="1350000"/>
    <n v="0"/>
    <n v="1350000"/>
    <n v="0"/>
    <n v="0"/>
    <n v="1350000"/>
    <n v="357749988.79963976"/>
    <n v="0"/>
    <s v="CONCURSO"/>
  </r>
  <r>
    <n v="24"/>
    <s v="P"/>
    <x v="2"/>
    <x v="1"/>
    <s v="PROV. OSORNO"/>
    <x v="2"/>
    <s v="EJECUCION"/>
    <s v="SUBT 24"/>
    <s v="SUBT 24-EJECUCION"/>
    <m/>
    <s v="SUBT 24"/>
    <s v="ACTIVIDADES COMUNIDAD ACTIVA"/>
    <n v="359099988.79963976"/>
    <n v="0"/>
    <n v="359099988.79963976"/>
    <n v="0"/>
    <n v="0"/>
    <n v="0"/>
    <n v="0"/>
    <n v="0"/>
    <n v="0"/>
    <n v="0"/>
    <n v="359099988.79963976"/>
    <n v="0"/>
    <s v="CONCURSO"/>
  </r>
  <r>
    <m/>
    <m/>
    <x v="0"/>
    <x v="0"/>
    <m/>
    <x v="0"/>
    <m/>
    <m/>
    <m/>
    <m/>
    <m/>
    <s v="TOTAL DE INICIATIVAS EN CONVENIO Y TRAMITE"/>
    <n v="2566173166.3989191"/>
    <n v="0"/>
    <n v="1701722166.3989191"/>
    <n v="0"/>
    <n v="1350000"/>
    <n v="0"/>
    <n v="1350000"/>
    <n v="904413"/>
    <n v="24847200"/>
    <n v="27101613"/>
    <n v="1674620553.3989191"/>
    <n v="86445100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SIN MOVIMIENTO"/>
    <m/>
    <m/>
    <m/>
    <m/>
    <m/>
    <m/>
    <m/>
    <m/>
    <m/>
    <m/>
    <m/>
    <m/>
    <m/>
  </r>
  <r>
    <n v="31"/>
    <s v="N"/>
    <x v="1"/>
    <x v="1"/>
    <s v="PROV. OSORNO"/>
    <x v="2"/>
    <s v="EJECUCION"/>
    <n v="30324573"/>
    <s v="30324573-EJECUCION"/>
    <s v="30324573-FNDR"/>
    <s v="30324573"/>
    <s v="CONSTRUCCION CENTRO DE DESPACHO Y BASE SAMU PROVINCIA DE OSORNO"/>
    <n v="1496798000"/>
    <n v="0"/>
    <n v="10000000"/>
    <n v="0"/>
    <n v="0"/>
    <n v="0"/>
    <n v="0"/>
    <n v="0"/>
    <n v="0"/>
    <n v="0"/>
    <n v="10000000"/>
    <n v="1486798000"/>
    <s v="SOLICITUD"/>
  </r>
  <r>
    <n v="31"/>
    <s v="P"/>
    <x v="8"/>
    <x v="1"/>
    <s v="PROV. OSORNO"/>
    <x v="2"/>
    <s v="EJECUCION"/>
    <n v="30358072"/>
    <s v="30358072-EJECUCION"/>
    <m/>
    <s v="30358072"/>
    <s v="CONSERVACION SISTEMA DE AGUAS PREDIALES COMUNIDADES INDIGENAS (C33)"/>
    <n v="100000000"/>
    <n v="0"/>
    <n v="10000000"/>
    <n v="0"/>
    <n v="0"/>
    <n v="0"/>
    <n v="0"/>
    <n v="0"/>
    <n v="0"/>
    <n v="0"/>
    <n v="10000000"/>
    <n v="90000000"/>
    <s v="SOLICITUD"/>
  </r>
  <r>
    <n v="31"/>
    <s v="N"/>
    <x v="4"/>
    <x v="1"/>
    <s v="PROV. OSORNO"/>
    <x v="1"/>
    <s v="EJECUCION"/>
    <n v="40001554"/>
    <s v="40001554-EJECUCION"/>
    <m/>
    <s v="40001554"/>
    <s v="CONSERVACION CAMINOS RURALES INDIGENA PUYEHUE, RIO NEGRO, PURRANQUE(C33)"/>
    <n v="300000000"/>
    <n v="0"/>
    <n v="50000000"/>
    <n v="0"/>
    <n v="0"/>
    <n v="0"/>
    <n v="0"/>
    <n v="0"/>
    <n v="0"/>
    <n v="0"/>
    <n v="50000000"/>
    <n v="250000000"/>
    <s v="SOLICITUD"/>
  </r>
  <r>
    <n v="31"/>
    <s v="P"/>
    <x v="1"/>
    <x v="1"/>
    <s v="PROV. OSORNO"/>
    <x v="2"/>
    <s v="EJECUCION"/>
    <n v="30136310"/>
    <s v="30136310-EJECUCION"/>
    <s v="30136310-FNDR"/>
    <s v="30136310"/>
    <s v="MEJORAMIENTO IMAGENOLOGIA COMPLEJA HOSPITAL BASE SAN JOSE DE OSORNO"/>
    <n v="1811122000"/>
    <n v="0"/>
    <n v="190966068"/>
    <n v="0"/>
    <n v="0"/>
    <n v="0"/>
    <n v="0"/>
    <n v="0"/>
    <n v="0"/>
    <n v="0"/>
    <n v="190966068"/>
    <n v="1620155932"/>
    <s v="EN REEVALUACION"/>
  </r>
  <r>
    <m/>
    <m/>
    <x v="0"/>
    <x v="0"/>
    <m/>
    <x v="0"/>
    <m/>
    <m/>
    <m/>
    <m/>
    <m/>
    <s v="TOTAL DE INICIATIVAS SIN MOVIMIENTO"/>
    <n v="3707920000"/>
    <n v="0"/>
    <n v="260966068"/>
    <n v="0"/>
    <n v="0"/>
    <n v="0"/>
    <n v="0"/>
    <n v="0"/>
    <n v="0"/>
    <n v="0"/>
    <n v="260966068"/>
    <n v="3446953932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TOTAL PROVINCIALES"/>
    <n v="35464132515.398918"/>
    <n v="4672731927"/>
    <n v="13984109635.398918"/>
    <n v="31077847"/>
    <n v="253942897"/>
    <n v="386662130"/>
    <n v="671682874"/>
    <n v="323059560"/>
    <n v="561651761"/>
    <n v="1556394195"/>
    <n v="12427715440.398918"/>
    <n v="16807290953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TOTAL PROVINCIA DE OSORNO"/>
    <n v="99806268411.398926"/>
    <n v="17299582711"/>
    <n v="24948286023.398918"/>
    <n v="615372306"/>
    <n v="635145662"/>
    <n v="1154460475"/>
    <n v="2404978443"/>
    <n v="954414942"/>
    <n v="1468583933"/>
    <n v="4827977318"/>
    <n v="20120308705.398918"/>
    <n v="57558399677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COMUNA DE PUERTO MONTT"/>
    <m/>
    <m/>
    <m/>
    <m/>
    <m/>
    <m/>
    <m/>
    <m/>
    <m/>
    <m/>
    <m/>
    <m/>
    <m/>
  </r>
  <r>
    <m/>
    <m/>
    <x v="0"/>
    <x v="0"/>
    <m/>
    <x v="0"/>
    <m/>
    <m/>
    <m/>
    <m/>
    <m/>
    <s v="INICIATIVAS EN EJECUCION"/>
    <m/>
    <m/>
    <m/>
    <m/>
    <m/>
    <m/>
    <m/>
    <m/>
    <m/>
    <m/>
    <m/>
    <m/>
    <m/>
  </r>
  <r>
    <n v="31"/>
    <s v="A"/>
    <x v="4"/>
    <x v="2"/>
    <s v="P. MONTT"/>
    <x v="1"/>
    <s v="EJECUCION"/>
    <n v="30356933"/>
    <s v="30356933-EJECUCION"/>
    <m/>
    <s v="30356933"/>
    <s v="MEJORAMIENTO CALLE BARROS ARANA"/>
    <n v="892628000"/>
    <n v="1147000"/>
    <n v="676106875"/>
    <n v="1560000"/>
    <n v="1560000"/>
    <n v="38682638"/>
    <n v="41802638"/>
    <n v="51616006"/>
    <n v="58607291"/>
    <n v="152025935"/>
    <n v="524080940"/>
    <n v="215374125"/>
    <s v="EN EJECUCION"/>
  </r>
  <r>
    <n v="31"/>
    <s v="A"/>
    <x v="5"/>
    <x v="2"/>
    <s v="P. MONTT"/>
    <x v="1"/>
    <s v="EJECUCION"/>
    <n v="30129273"/>
    <s v="30129273-EJECUCION"/>
    <m/>
    <s v="30129273"/>
    <s v="CONSTRUCCION HOSPEDERIA HOGAR DE CRISTO"/>
    <n v="2021937012"/>
    <n v="2014383699"/>
    <n v="7553313"/>
    <n v="0"/>
    <n v="0"/>
    <n v="1198372"/>
    <n v="1198372"/>
    <n v="381705"/>
    <n v="0"/>
    <n v="1580077"/>
    <n v="5973236"/>
    <n v="0"/>
    <s v="EN EJECUCION"/>
  </r>
  <r>
    <n v="31"/>
    <s v="A"/>
    <x v="9"/>
    <x v="2"/>
    <s v="P. MONTT"/>
    <x v="2"/>
    <s v="EJECUCION"/>
    <n v="30199074"/>
    <s v="30199074-EJECUCION"/>
    <m/>
    <s v="30199074"/>
    <s v="REPOSICION ESTADIO VIEJOS CRACK CHINQUIHUE"/>
    <n v="1816198434"/>
    <n v="1751057725"/>
    <n v="7335507"/>
    <n v="0"/>
    <n v="2015116"/>
    <n v="0"/>
    <n v="2015116"/>
    <n v="3580359"/>
    <n v="512844"/>
    <n v="6108319"/>
    <n v="1227188"/>
    <n v="57805202"/>
    <s v="EN EJECUCION"/>
  </r>
  <r>
    <n v="31"/>
    <s v="A"/>
    <x v="6"/>
    <x v="2"/>
    <s v="P. MONTT"/>
    <x v="3"/>
    <s v="EJECUCION"/>
    <n v="30063478"/>
    <s v="30063478-EJECUCION"/>
    <m/>
    <s v="30063478"/>
    <s v="REPOSICION ESCUELA MAILLEN ESTERO"/>
    <n v="2265125957"/>
    <n v="2214659319"/>
    <n v="17793967"/>
    <n v="0"/>
    <n v="0"/>
    <n v="0"/>
    <n v="0"/>
    <n v="0"/>
    <n v="0"/>
    <n v="0"/>
    <n v="17793967"/>
    <n v="32672671"/>
    <s v="EN EJECUCION"/>
  </r>
  <r>
    <n v="31"/>
    <s v="A"/>
    <x v="1"/>
    <x v="2"/>
    <s v="P. MONTT"/>
    <x v="2"/>
    <s v="EJECUCION"/>
    <n v="30034666"/>
    <s v="30034666-EJECUCION"/>
    <m/>
    <s v="30034666"/>
    <s v="REPOSICION POSTA DEL SECTOR RURAL DE CHAICAS"/>
    <n v="262243848"/>
    <n v="242272569"/>
    <n v="19971279"/>
    <n v="0"/>
    <n v="0"/>
    <n v="0"/>
    <n v="0"/>
    <n v="0"/>
    <n v="17404953"/>
    <n v="17404953"/>
    <n v="2566326"/>
    <n v="0"/>
    <s v="EN EJECUCION"/>
  </r>
  <r>
    <n v="31"/>
    <s v="A"/>
    <x v="6"/>
    <x v="2"/>
    <s v="P. MONTT"/>
    <x v="3"/>
    <s v="EJECUCION"/>
    <n v="30103446"/>
    <s v="30103446-EJECUCION"/>
    <m/>
    <s v="30103446"/>
    <s v="CONSTRUCCION ESTABLECIMIENTO EDUCACIONAL SEC. ALERCE I ETAPA P MONTT"/>
    <n v="4575910582"/>
    <n v="4513636083"/>
    <n v="62274499"/>
    <n v="0"/>
    <n v="0"/>
    <n v="0"/>
    <n v="0"/>
    <n v="5477422"/>
    <n v="0"/>
    <n v="5477422"/>
    <n v="56797077"/>
    <n v="0"/>
    <s v="EN EJECUCION"/>
  </r>
  <r>
    <n v="31"/>
    <s v="A"/>
    <x v="9"/>
    <x v="2"/>
    <s v="P. MONTT"/>
    <x v="2"/>
    <s v="EJECUCION"/>
    <n v="30199272"/>
    <s v="30199272-EJECUCION"/>
    <m/>
    <s v="30199272"/>
    <s v="REPOSICION ESTADIO ANTONIO VARAS COMUNA PUERTO MONTT "/>
    <n v="1683911357"/>
    <n v="1673202656"/>
    <n v="10708701"/>
    <n v="2015116"/>
    <n v="0"/>
    <n v="0"/>
    <n v="2015116"/>
    <n v="4400465"/>
    <n v="0"/>
    <n v="6415581"/>
    <n v="4293120"/>
    <n v="0"/>
    <s v="EN EJECUCION"/>
  </r>
  <r>
    <n v="31"/>
    <s v="A"/>
    <x v="4"/>
    <x v="2"/>
    <s v="P. MONTT"/>
    <x v="1"/>
    <s v="EJECUCION"/>
    <n v="30084978"/>
    <s v="30084978-EJECUCION"/>
    <m/>
    <s v="30084978"/>
    <s v="MEJORAMIENTO CALLES QUEMCHI Y ELEUTERIO RAMIREZ"/>
    <n v="233740051"/>
    <n v="217661768"/>
    <n v="16078283"/>
    <n v="0"/>
    <n v="0"/>
    <n v="0"/>
    <n v="0"/>
    <n v="0"/>
    <n v="0"/>
    <n v="0"/>
    <n v="16078283"/>
    <n v="0"/>
    <s v="EN EJECUCION"/>
  </r>
  <r>
    <n v="31"/>
    <s v="A"/>
    <x v="5"/>
    <x v="2"/>
    <s v="P. MONTT"/>
    <x v="2"/>
    <s v="EJECUCION"/>
    <n v="30073367"/>
    <s v="30073367-EJECUCION"/>
    <m/>
    <s v="30073367"/>
    <s v="CONSTRUCCION OFICINA REGISTRO CIVIL E IDENTIF. ALERCE, PUERTO MONTT"/>
    <n v="428305415"/>
    <n v="343624242"/>
    <n v="63950650"/>
    <n v="0"/>
    <n v="5597159"/>
    <n v="4639291"/>
    <n v="10236450"/>
    <n v="0"/>
    <n v="0"/>
    <n v="10236450"/>
    <n v="53714200"/>
    <n v="20730523"/>
    <s v="EN EJECUCION"/>
  </r>
  <r>
    <n v="31"/>
    <s v="A"/>
    <x v="1"/>
    <x v="2"/>
    <s v="P. MONTT"/>
    <x v="2"/>
    <s v="EJECUCION"/>
    <n v="20190549"/>
    <s v="20190549-EJECUCION"/>
    <m/>
    <s v="20190549"/>
    <s v="AMPLIACION Y REMODELACION CONSULTORIO ANTONIO VARAS"/>
    <n v="3985138607"/>
    <n v="3955473444"/>
    <n v="29665163"/>
    <n v="0"/>
    <n v="0"/>
    <n v="0"/>
    <n v="0"/>
    <n v="0"/>
    <n v="0"/>
    <n v="0"/>
    <n v="29665163"/>
    <n v="0"/>
    <s v="EN EJECUCION"/>
  </r>
  <r>
    <n v="31"/>
    <s v="A"/>
    <x v="2"/>
    <x v="2"/>
    <s v="P. MONTT"/>
    <x v="1"/>
    <s v="EJECUCION"/>
    <n v="30076941"/>
    <s v="30076941-EJECUCION"/>
    <m/>
    <s v="30076941"/>
    <s v="REPOSICION SUBCOMISARIA ALERCE"/>
    <n v="1774352506"/>
    <n v="1710357726"/>
    <n v="63994780"/>
    <n v="0"/>
    <n v="0"/>
    <n v="0"/>
    <n v="0"/>
    <n v="0"/>
    <n v="0"/>
    <n v="0"/>
    <n v="63994780"/>
    <n v="0"/>
    <s v="EN EJECUCION"/>
  </r>
  <r>
    <n v="31"/>
    <s v="P"/>
    <x v="5"/>
    <x v="2"/>
    <s v="P. MONTT"/>
    <x v="6"/>
    <s v="EJECUCION"/>
    <n v="30104476"/>
    <s v="30104476-EJECUCION"/>
    <m/>
    <s v="30104476"/>
    <s v="CONSTRUCCION CIERRE VERTEDERO MUNICIPAL COMUNA DE PUERTO MONTT"/>
    <n v="1085187000"/>
    <n v="2101000"/>
    <n v="50000000"/>
    <n v="0"/>
    <n v="0"/>
    <n v="0"/>
    <n v="0"/>
    <n v="0"/>
    <n v="0"/>
    <n v="0"/>
    <n v="50000000"/>
    <n v="1033086000"/>
    <s v="EN EJECUCION"/>
  </r>
  <r>
    <n v="31"/>
    <s v="A"/>
    <x v="6"/>
    <x v="2"/>
    <s v="P. MONTT"/>
    <x v="3"/>
    <s v="EJECUCION"/>
    <n v="30440174"/>
    <s v="30440174-EJECUCION"/>
    <m/>
    <s v="30440174"/>
    <s v="CONSERVACION MULTICANCHA CUBIERTA LICEO MANUEL MONTT (C33)"/>
    <n v="425709000"/>
    <n v="0"/>
    <n v="396024193"/>
    <n v="0"/>
    <n v="148195484"/>
    <n v="102354097"/>
    <n v="250549581"/>
    <n v="45639828"/>
    <n v="36216879"/>
    <n v="332406288"/>
    <n v="63617905"/>
    <n v="29684807"/>
    <s v="EN EJECUCION"/>
  </r>
  <r>
    <n v="31"/>
    <s v="A"/>
    <x v="6"/>
    <x v="2"/>
    <s v="P. MONTT"/>
    <x v="2"/>
    <s v="DISEÑO"/>
    <n v="30106468"/>
    <s v="30106468-DISEÑO"/>
    <m/>
    <s v="30106468"/>
    <s v="REPOSICION ESCUELA RURAL LAGUNITAS PUERTO MONTT"/>
    <n v="117000000"/>
    <n v="4200000"/>
    <n v="112799750"/>
    <n v="9588000"/>
    <n v="0"/>
    <n v="19176000"/>
    <n v="28764000"/>
    <n v="0"/>
    <n v="28764000"/>
    <n v="57528000"/>
    <n v="55271750"/>
    <n v="250"/>
    <s v="EN EJECUCION"/>
  </r>
  <r>
    <n v="31"/>
    <s v="N"/>
    <x v="1"/>
    <x v="2"/>
    <s v="P. MONTT"/>
    <x v="2"/>
    <s v="DISEÑO"/>
    <n v="30080729"/>
    <s v="30080729-DISEÑO"/>
    <s v="30080729-FNDR"/>
    <s v="30080729"/>
    <s v="REPOSICION CENTRO SALUD FAMILIAR ANGELMO"/>
    <n v="1438056000"/>
    <n v="0"/>
    <n v="65117250"/>
    <n v="0"/>
    <n v="0"/>
    <n v="0"/>
    <n v="0"/>
    <n v="28576250"/>
    <n v="0"/>
    <n v="28576250"/>
    <n v="36541000"/>
    <n v="1372938750"/>
    <s v="EN EJECUCION"/>
  </r>
  <r>
    <n v="29"/>
    <s v="P"/>
    <x v="1"/>
    <x v="2"/>
    <s v="P. MONTT"/>
    <x v="2"/>
    <s v="EJECUCION"/>
    <n v="40000194"/>
    <s v="40000194-EJECUCION"/>
    <m/>
    <s v="40000194"/>
    <s v="ADQUISICION EQUIPOS Y EQUIPAMIENTO CENTRO ONCOLOGICO AMBULATORIO (C33)"/>
    <n v="1039322000"/>
    <n v="28247017"/>
    <n v="947080203"/>
    <n v="0"/>
    <n v="0"/>
    <n v="9936055"/>
    <n v="9936055"/>
    <n v="41618281"/>
    <n v="9773327"/>
    <n v="61327663"/>
    <n v="885752540"/>
    <n v="63994780"/>
    <s v="EN EJECUCION"/>
  </r>
  <r>
    <n v="29"/>
    <s v="P"/>
    <x v="5"/>
    <x v="2"/>
    <s v="P. MONTT"/>
    <x v="6"/>
    <s v="EJECUCION"/>
    <n v="30481457"/>
    <s v="30481457-EJECUCION"/>
    <m/>
    <s v="30481457"/>
    <s v="ADQUISICION CAMION CARGA LATERAL Y TRANSBORDO MOVIL PARA RECOLECCION RESIDUOS SOLIDOS DOMICILIARIOS (C33)"/>
    <n v="471072000"/>
    <n v="0"/>
    <n v="471072000"/>
    <n v="0"/>
    <n v="0"/>
    <n v="0"/>
    <n v="0"/>
    <n v="0"/>
    <n v="470645000"/>
    <n v="470645000"/>
    <n v="427000"/>
    <n v="0"/>
    <s v="EN EJECUCION"/>
  </r>
  <r>
    <m/>
    <m/>
    <x v="0"/>
    <x v="0"/>
    <m/>
    <x v="0"/>
    <m/>
    <m/>
    <m/>
    <m/>
    <m/>
    <s v="TOTAL DE INICIATIVAS EN EJECUCION"/>
    <n v="24515837769"/>
    <n v="18672024248"/>
    <n v="3017526413"/>
    <n v="13163116"/>
    <n v="157367759"/>
    <n v="175986453"/>
    <n v="346517328"/>
    <n v="181290316"/>
    <n v="621924294"/>
    <n v="1149731938"/>
    <n v="1867794475"/>
    <n v="2826287108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TERMINADAS"/>
    <m/>
    <m/>
    <m/>
    <m/>
    <m/>
    <m/>
    <m/>
    <m/>
    <m/>
    <m/>
    <m/>
    <m/>
    <m/>
  </r>
  <r>
    <n v="31"/>
    <s v="A"/>
    <x v="8"/>
    <x v="2"/>
    <s v="P. MONTT"/>
    <x v="2"/>
    <s v="EJECUCION"/>
    <n v="30388872"/>
    <s v="30388872-EJECUCION"/>
    <m/>
    <s v="30388872"/>
    <s v="CONSTRUCCION SERVICIO APR CHINCHIN GRANDE "/>
    <n v="244155487"/>
    <n v="220680329"/>
    <n v="23475158"/>
    <n v="0"/>
    <n v="23475158"/>
    <n v="0"/>
    <n v="23475158"/>
    <n v="0"/>
    <n v="0"/>
    <n v="23475158"/>
    <n v="0"/>
    <n v="0"/>
    <s v="TERMINADO"/>
  </r>
  <r>
    <n v="31"/>
    <s v="A"/>
    <x v="9"/>
    <x v="2"/>
    <s v="P. MONTT"/>
    <x v="2"/>
    <s v="EJECUCION"/>
    <n v="30097978"/>
    <s v="30097978-EJECUCION"/>
    <m/>
    <s v="30097978"/>
    <s v="AMPLIACION COMPLEJO DEPORTIVO ESTERO LOBOS"/>
    <n v="2184339043"/>
    <n v="2184339043"/>
    <n v="0"/>
    <n v="0"/>
    <n v="0"/>
    <n v="0"/>
    <n v="0"/>
    <n v="0"/>
    <n v="0"/>
    <n v="0"/>
    <n v="0"/>
    <n v="0"/>
    <s v="TERMINADO"/>
  </r>
  <r>
    <m/>
    <m/>
    <x v="0"/>
    <x v="0"/>
    <m/>
    <x v="0"/>
    <m/>
    <m/>
    <m/>
    <m/>
    <m/>
    <s v="TOTAL DE INICIATIVAS TERMINADAS"/>
    <n v="2428494530"/>
    <n v="2405019372"/>
    <n v="23475158"/>
    <n v="0"/>
    <n v="23475158"/>
    <n v="0"/>
    <n v="23475158"/>
    <n v="0"/>
    <n v="0"/>
    <n v="23475158"/>
    <n v="0"/>
    <n v="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LICITACION/ADJUDICACION"/>
    <m/>
    <m/>
    <m/>
    <m/>
    <m/>
    <m/>
    <m/>
    <m/>
    <m/>
    <m/>
    <m/>
    <m/>
    <m/>
  </r>
  <r>
    <n v="31"/>
    <s v="P"/>
    <x v="8"/>
    <x v="2"/>
    <s v="P. MONTT"/>
    <x v="4"/>
    <s v="EJECUCION"/>
    <n v="30461279"/>
    <s v="30461279-EJECUCION"/>
    <m/>
    <s v="30461279"/>
    <s v="AMPLIACION APR LAS QUEMAS SAN ANTONIO SECTOR CHAQUEIHUA"/>
    <n v="395716000"/>
    <n v="0"/>
    <n v="118714800"/>
    <n v="0"/>
    <n v="0"/>
    <n v="0"/>
    <n v="0"/>
    <n v="0"/>
    <n v="0"/>
    <n v="0"/>
    <n v="118714800"/>
    <n v="277001200"/>
    <s v="EN ADJUDICACION"/>
  </r>
  <r>
    <n v="31"/>
    <s v="P"/>
    <x v="4"/>
    <x v="2"/>
    <s v="P. MONTT"/>
    <x v="1"/>
    <s v="EJECUCION"/>
    <n v="20195455"/>
    <s v="20195455-EJECUCION"/>
    <m/>
    <s v="20195455"/>
    <s v="MEJORAMIENTO CALLE PADRE HARTER"/>
    <n v="1032398000"/>
    <n v="0"/>
    <n v="211629167"/>
    <n v="0"/>
    <n v="0"/>
    <n v="0"/>
    <n v="0"/>
    <n v="0"/>
    <n v="0"/>
    <n v="0"/>
    <n v="211629167"/>
    <n v="820768833"/>
    <s v="EN ADJUDICACION"/>
  </r>
  <r>
    <n v="31"/>
    <s v="P"/>
    <x v="4"/>
    <x v="2"/>
    <s v="P. MONTT"/>
    <x v="1"/>
    <s v="EJECUCION"/>
    <n v="30080460"/>
    <s v="30080460-EJECUCION"/>
    <m/>
    <s v="30080460"/>
    <s v="CONSTRUCCION PUENTE EL SARGAZO DE PTO MONTT"/>
    <n v="272533000"/>
    <n v="0"/>
    <n v="20000000"/>
    <n v="0"/>
    <n v="0"/>
    <n v="0"/>
    <n v="0"/>
    <n v="0"/>
    <n v="0"/>
    <n v="0"/>
    <n v="20000000"/>
    <n v="252533000"/>
    <s v="EN ADJUDICACION"/>
  </r>
  <r>
    <n v="31"/>
    <s v="P"/>
    <x v="8"/>
    <x v="2"/>
    <s v="P. MONTT"/>
    <x v="4"/>
    <s v="EJECUCION"/>
    <n v="30429872"/>
    <s v="30429872-EJECUCION"/>
    <m/>
    <s v="30429872"/>
    <s v="CONSTRUCCION REDES AGUA POTABLE Y ALCANT VILLA LOS PINOS ALTOS"/>
    <n v="413476000"/>
    <n v="0"/>
    <n v="120000000"/>
    <n v="0"/>
    <n v="0"/>
    <n v="0"/>
    <n v="0"/>
    <n v="0"/>
    <n v="0"/>
    <n v="0"/>
    <n v="120000000"/>
    <n v="293476000"/>
    <s v="EN LICITACION"/>
  </r>
  <r>
    <m/>
    <m/>
    <x v="0"/>
    <x v="0"/>
    <m/>
    <x v="0"/>
    <m/>
    <m/>
    <m/>
    <m/>
    <m/>
    <s v="TOTAL DE INICIATIVAS EN LICITACION/ADJUDICACION"/>
    <n v="2114123000"/>
    <n v="0"/>
    <n v="470343967"/>
    <n v="0"/>
    <n v="0"/>
    <n v="0"/>
    <n v="0"/>
    <n v="0"/>
    <n v="0"/>
    <n v="0"/>
    <n v="470343967"/>
    <n v="1643779033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CONVENIO Y TRAMITE"/>
    <m/>
    <m/>
    <m/>
    <m/>
    <m/>
    <m/>
    <m/>
    <m/>
    <m/>
    <m/>
    <m/>
    <m/>
    <m/>
  </r>
  <r>
    <n v="31"/>
    <s v="N"/>
    <x v="1"/>
    <x v="2"/>
    <s v="P. MONTT"/>
    <x v="2"/>
    <s v="EJECUCION"/>
    <n v="30364305"/>
    <s v="30364305-EJECUCION"/>
    <m/>
    <s v="30364305"/>
    <s v="AMPLIACION Y MEJORAMIENTO INSTITUTO TELETON"/>
    <n v="2629279000"/>
    <n v="0"/>
    <n v="262688853"/>
    <n v="0"/>
    <n v="0"/>
    <n v="0"/>
    <n v="0"/>
    <n v="0"/>
    <n v="5480000"/>
    <n v="5480000"/>
    <n v="257208853"/>
    <n v="2366590147"/>
    <s v="CON CONVENIO"/>
  </r>
  <r>
    <n v="31"/>
    <s v="P"/>
    <x v="2"/>
    <x v="2"/>
    <s v="P. MONTT"/>
    <x v="2"/>
    <s v="EJECUCION"/>
    <n v="30115395"/>
    <s v="30115395-EJECUCION"/>
    <m/>
    <s v="30115395"/>
    <s v="CONSTRUCCION CUARTEL 8° COMPAÑIA DE BOMBEROS"/>
    <n v="790552000"/>
    <n v="0"/>
    <n v="235967228"/>
    <n v="0"/>
    <n v="0"/>
    <n v="0"/>
    <n v="0"/>
    <n v="0"/>
    <n v="0"/>
    <n v="0"/>
    <n v="235967228"/>
    <n v="554584772"/>
    <s v="CON CONVENIO"/>
  </r>
  <r>
    <n v="31"/>
    <s v="N"/>
    <x v="4"/>
    <x v="2"/>
    <s v="P. MONTT"/>
    <x v="2"/>
    <s v="EJECUCION"/>
    <n v="30487413"/>
    <s v="30487413-EJECUCION"/>
    <m/>
    <s v="30487413"/>
    <s v="CONSERVACION VIAS URBANAS PUERTO MONTT (C33)"/>
    <n v="248354000"/>
    <n v="0"/>
    <n v="0"/>
    <n v="0"/>
    <n v="0"/>
    <n v="0"/>
    <n v="0"/>
    <n v="0"/>
    <n v="0"/>
    <n v="0"/>
    <n v="0"/>
    <n v="248354000"/>
    <s v="CON CONVENIO"/>
  </r>
  <r>
    <n v="31"/>
    <s v="P"/>
    <x v="1"/>
    <x v="2"/>
    <s v="P. MONTT"/>
    <x v="2"/>
    <s v="EJECUCION"/>
    <n v="30128140"/>
    <s v="30128140-EJECUCION"/>
    <m/>
    <s v="30128140"/>
    <s v="NORMALIZACION CESFAM ALERCE "/>
    <n v="4090107000"/>
    <n v="4000000"/>
    <n v="773788090"/>
    <n v="0"/>
    <n v="0"/>
    <n v="0"/>
    <n v="0"/>
    <n v="0"/>
    <n v="0"/>
    <n v="0"/>
    <n v="773788090"/>
    <n v="3312318910"/>
    <s v="CON CONVENIO"/>
  </r>
  <r>
    <n v="31"/>
    <s v="N"/>
    <x v="8"/>
    <x v="2"/>
    <s v="P. MONTT"/>
    <x v="2"/>
    <s v="EJECUCION"/>
    <n v="30481304"/>
    <s v="30481304-EJECUCION"/>
    <m/>
    <s v="30481304"/>
    <s v="AMPLIACION SERVICIO APR LAGUNITAS, VALLE CARDONAL "/>
    <n v="597291000"/>
    <n v="0"/>
    <n v="0"/>
    <n v="0"/>
    <n v="0"/>
    <n v="0"/>
    <n v="0"/>
    <n v="0"/>
    <n v="0"/>
    <n v="0"/>
    <n v="0"/>
    <n v="597291000"/>
    <s v="CON CONVENIO"/>
  </r>
  <r>
    <n v="31"/>
    <s v="N"/>
    <x v="10"/>
    <x v="2"/>
    <s v="P. MONTT"/>
    <x v="5"/>
    <s v="EJECUCION"/>
    <n v="30488869"/>
    <s v="30488869-EJECUCION"/>
    <m/>
    <s v="30488869"/>
    <s v="HABILITACION SUMINISTRO DE ENERGIA ELECTRICA SECTOR LA QUEMADA"/>
    <n v="55662000"/>
    <n v="0"/>
    <n v="55662000"/>
    <n v="0"/>
    <n v="0"/>
    <n v="0"/>
    <n v="0"/>
    <n v="0"/>
    <n v="0"/>
    <n v="0"/>
    <n v="55662000"/>
    <n v="0"/>
    <s v="TRAMITE CONVENIO"/>
  </r>
  <r>
    <m/>
    <m/>
    <x v="0"/>
    <x v="0"/>
    <m/>
    <x v="0"/>
    <m/>
    <m/>
    <m/>
    <m/>
    <m/>
    <s v="TOTAL DE INICIATIVAS EN CONVENIO Y TRAMITE"/>
    <n v="8411245000"/>
    <n v="4000000"/>
    <n v="1328106171"/>
    <n v="0"/>
    <n v="0"/>
    <n v="0"/>
    <n v="0"/>
    <n v="0"/>
    <n v="5480000"/>
    <n v="5480000"/>
    <n v="1322626171"/>
    <n v="7079138829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SIN MOVIMIENTO"/>
    <m/>
    <m/>
    <m/>
    <m/>
    <m/>
    <m/>
    <m/>
    <m/>
    <m/>
    <m/>
    <m/>
    <m/>
    <m/>
  </r>
  <r>
    <n v="31"/>
    <s v="N"/>
    <x v="4"/>
    <x v="2"/>
    <s v="P. MONTT"/>
    <x v="1"/>
    <s v="DISEÑO"/>
    <n v="30480704"/>
    <s v="30480704-DISEÑO"/>
    <m/>
    <s v="30480704"/>
    <s v="CONSERVACION CALLE GRANITICO DE PUERTO MONTT (C33)"/>
    <n v="37736000"/>
    <n v="0"/>
    <n v="37736000"/>
    <n v="0"/>
    <n v="0"/>
    <n v="0"/>
    <n v="0"/>
    <n v="0"/>
    <n v="0"/>
    <n v="0"/>
    <n v="37736000"/>
    <n v="0"/>
    <s v="APROBADO CORE"/>
  </r>
  <r>
    <n v="31"/>
    <s v="N"/>
    <x v="5"/>
    <x v="2"/>
    <s v="P. MONTT"/>
    <x v="2"/>
    <s v="EJECUCION"/>
    <n v="30339322"/>
    <s v="30339322-EJECUCION"/>
    <m/>
    <s v="30339322"/>
    <s v="HABILITACION EDIFICIO EGAÑA 60 PUERTO MONTT REG. LOS LAGOS"/>
    <n v="3500000000"/>
    <n v="0"/>
    <n v="10000000"/>
    <n v="0"/>
    <n v="0"/>
    <n v="0"/>
    <n v="0"/>
    <n v="0"/>
    <n v="0"/>
    <n v="0"/>
    <n v="10000000"/>
    <n v="3490000000"/>
    <s v="ARI"/>
  </r>
  <r>
    <n v="31"/>
    <s v="N"/>
    <x v="4"/>
    <x v="2"/>
    <s v="P. MONTT"/>
    <x v="1"/>
    <s v="DISEÑO"/>
    <n v="30437675"/>
    <s v="30437675-DISEÑO"/>
    <m/>
    <s v="30437675"/>
    <s v="CONSTRUCCION CONECTIVIDAD INTERTERRAZAS PUERTO MONTT"/>
    <n v="548000000"/>
    <n v="0"/>
    <n v="30000000"/>
    <n v="0"/>
    <n v="0"/>
    <n v="0"/>
    <n v="0"/>
    <n v="0"/>
    <n v="0"/>
    <n v="0"/>
    <n v="30000000"/>
    <n v="518000000"/>
    <s v="SOLICITUD TRANSPORTE"/>
  </r>
  <r>
    <n v="31"/>
    <s v="N"/>
    <x v="4"/>
    <x v="2"/>
    <s v="P. MONTT"/>
    <x v="1"/>
    <s v="EJECUCION"/>
    <n v="30127010"/>
    <s v="30127010-EJECUCION"/>
    <m/>
    <s v="30127010"/>
    <s v="MEJORAMIENTO CALLE EL TENIENTE, BARRIO INDUSTRIAL"/>
    <n v="2515811000"/>
    <n v="0"/>
    <n v="34402700"/>
    <n v="0"/>
    <n v="0"/>
    <n v="0"/>
    <n v="0"/>
    <n v="0"/>
    <n v="0"/>
    <n v="0"/>
    <n v="34402700"/>
    <n v="2481408300"/>
    <s v="SOLICITUD TRANSPORTE"/>
  </r>
  <r>
    <n v="31"/>
    <s v="N"/>
    <x v="4"/>
    <x v="2"/>
    <s v="P. MONTT"/>
    <x v="1"/>
    <s v="DISEÑO"/>
    <n v="30092104"/>
    <s v="30092104-DISEÑO"/>
    <m/>
    <s v="30092104"/>
    <s v="MEJORAMIENTO INTERCONEXION VIAL CENTRO-PONIENTE"/>
    <n v="500000000"/>
    <n v="0"/>
    <n v="30000000"/>
    <n v="0"/>
    <n v="0"/>
    <n v="0"/>
    <n v="0"/>
    <n v="0"/>
    <n v="0"/>
    <n v="0"/>
    <n v="30000000"/>
    <n v="470000000"/>
    <s v="SOLICITUD TRANSPORTE"/>
  </r>
  <r>
    <n v="31"/>
    <s v="N"/>
    <x v="6"/>
    <x v="2"/>
    <s v="P. MONTT"/>
    <x v="8"/>
    <s v="EJECUCION"/>
    <n v="30077490"/>
    <s v="30077490-EJECUCION"/>
    <m/>
    <s v="30077490"/>
    <s v="CONSERVACION CASA PAULY PUERTO MONTT (C33)"/>
    <n v="1686871000"/>
    <n v="0"/>
    <n v="47147995"/>
    <n v="0"/>
    <n v="0"/>
    <n v="0"/>
    <n v="0"/>
    <n v="0"/>
    <n v="0"/>
    <n v="0"/>
    <n v="47147995"/>
    <n v="1639723005"/>
    <s v="SOLICITUD"/>
  </r>
  <r>
    <m/>
    <m/>
    <x v="0"/>
    <x v="0"/>
    <m/>
    <x v="0"/>
    <m/>
    <m/>
    <m/>
    <m/>
    <m/>
    <s v="TOTAL DE INICIATIVAS SIN MOVIMIENTO"/>
    <n v="8788418000"/>
    <n v="0"/>
    <n v="189286695"/>
    <n v="0"/>
    <n v="0"/>
    <n v="0"/>
    <n v="0"/>
    <n v="0"/>
    <n v="0"/>
    <n v="0"/>
    <n v="189286695"/>
    <n v="8599131305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TOTAL COMUNA DE  P. MONTT"/>
    <n v="46258118299"/>
    <n v="21081043620"/>
    <n v="5028738404"/>
    <n v="13163116"/>
    <n v="180842917"/>
    <n v="175986453"/>
    <n v="369992486"/>
    <n v="181290316"/>
    <n v="627404294"/>
    <n v="1178687096"/>
    <n v="3850051308"/>
    <n v="20148336275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COMUNA DE CALBUCO"/>
    <m/>
    <m/>
    <m/>
    <m/>
    <m/>
    <m/>
    <m/>
    <m/>
    <m/>
    <m/>
    <m/>
    <m/>
    <m/>
  </r>
  <r>
    <m/>
    <m/>
    <x v="0"/>
    <x v="0"/>
    <m/>
    <x v="0"/>
    <m/>
    <m/>
    <m/>
    <m/>
    <m/>
    <s v="INICIATIVAS EN EJECUCION"/>
    <m/>
    <m/>
    <m/>
    <m/>
    <m/>
    <m/>
    <m/>
    <m/>
    <m/>
    <m/>
    <m/>
    <m/>
    <m/>
  </r>
  <r>
    <n v="31"/>
    <s v="A"/>
    <x v="6"/>
    <x v="2"/>
    <s v="CALBUCO"/>
    <x v="2"/>
    <s v="EJECUCION"/>
    <n v="20086686"/>
    <s v="20086686-EJECUCION"/>
    <m/>
    <s v="20086686"/>
    <s v="REPOSICION PARCIAL LICEO POLITECNICO DE CALBUCO"/>
    <n v="7033944000"/>
    <n v="95882250"/>
    <n v="287670250"/>
    <n v="0"/>
    <n v="0"/>
    <n v="0"/>
    <n v="0"/>
    <n v="0"/>
    <n v="0"/>
    <n v="0"/>
    <n v="287670250"/>
    <n v="6650391500"/>
    <s v="DISEÑO TERMINADO"/>
  </r>
  <r>
    <n v="31"/>
    <s v="A"/>
    <x v="5"/>
    <x v="2"/>
    <s v="CALBUCO"/>
    <x v="6"/>
    <s v="DISEÑO"/>
    <n v="30135967"/>
    <s v="30135967-DISEÑO"/>
    <m/>
    <s v="30135967"/>
    <s v="CONSTRUCCION ESTACION DE TRANSFERENCIA LA CAMPANA CALBUCO"/>
    <n v="90000000"/>
    <n v="67500000"/>
    <n v="22500000"/>
    <n v="0"/>
    <n v="0"/>
    <n v="0"/>
    <n v="0"/>
    <n v="0"/>
    <n v="0"/>
    <n v="0"/>
    <n v="22500000"/>
    <n v="0"/>
    <s v="EN EJECUCION"/>
  </r>
  <r>
    <n v="31"/>
    <s v="P"/>
    <x v="4"/>
    <x v="2"/>
    <s v="CALBUCO"/>
    <x v="1"/>
    <s v="EJECUCION"/>
    <n v="30115349"/>
    <s v="30115349-EJECUCION"/>
    <m/>
    <s v="30115349"/>
    <s v="CONSTRUCCION PAVIMENTOS AVENIDA PRESIDENTE IBAÑEZ, CALBUCO"/>
    <n v="677044000"/>
    <n v="3001000"/>
    <n v="674043000"/>
    <n v="0"/>
    <n v="0"/>
    <n v="149999999"/>
    <n v="149999999"/>
    <n v="142299999"/>
    <n v="77990000"/>
    <n v="370289998"/>
    <n v="303753002"/>
    <n v="0"/>
    <s v="EN EJECUCION"/>
  </r>
  <r>
    <n v="31"/>
    <s v="A"/>
    <x v="3"/>
    <x v="2"/>
    <s v="CALBUCO"/>
    <x v="2"/>
    <s v="EJECUCION"/>
    <n v="30087299"/>
    <s v="30087299-EJECUCION"/>
    <m/>
    <s v="30087299"/>
    <s v="CONSTRUCCION CEMENTERIO MUNICIPAL DE CALBUCO"/>
    <n v="1136464000"/>
    <n v="0"/>
    <n v="901195000"/>
    <n v="0"/>
    <n v="0"/>
    <n v="0"/>
    <n v="0"/>
    <n v="0"/>
    <n v="75956162"/>
    <n v="75956162"/>
    <n v="825238838"/>
    <n v="235269000"/>
    <s v="EN EJECUCION"/>
  </r>
  <r>
    <m/>
    <m/>
    <x v="0"/>
    <x v="0"/>
    <m/>
    <x v="0"/>
    <m/>
    <m/>
    <m/>
    <m/>
    <m/>
    <s v="TOTAL DE INICIATIVAS EN EJECUCION"/>
    <n v="8937452000"/>
    <n v="166383250"/>
    <n v="1885408250"/>
    <n v="0"/>
    <n v="0"/>
    <n v="149999999"/>
    <n v="149999999"/>
    <n v="142299999"/>
    <n v="153946162"/>
    <n v="446246160"/>
    <n v="1439162090"/>
    <n v="688566050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TERMINADAS"/>
    <m/>
    <m/>
    <m/>
    <m/>
    <m/>
    <m/>
    <m/>
    <m/>
    <m/>
    <m/>
    <m/>
    <m/>
    <m/>
  </r>
  <r>
    <n v="31"/>
    <s v="A"/>
    <x v="10"/>
    <x v="2"/>
    <s v="CALBUCO"/>
    <x v="5"/>
    <s v="EJECUCION"/>
    <n v="30339483"/>
    <s v="30339483-EJECUCION"/>
    <m/>
    <s v="30339483"/>
    <s v="HABILITACION SUMINISTRO ENERGIA ELECTRICA, QUEULLIN"/>
    <n v="1586863743"/>
    <n v="1586863743"/>
    <n v="0"/>
    <n v="0"/>
    <n v="0"/>
    <n v="0"/>
    <n v="0"/>
    <n v="0"/>
    <n v="0"/>
    <n v="0"/>
    <n v="0"/>
    <n v="0"/>
    <s v="TERMINADO"/>
  </r>
  <r>
    <m/>
    <m/>
    <x v="0"/>
    <x v="0"/>
    <m/>
    <x v="0"/>
    <m/>
    <m/>
    <m/>
    <m/>
    <m/>
    <s v="TOTAL DE INICIATIVAS TERMINADAS"/>
    <n v="1586863743"/>
    <n v="1586863743"/>
    <n v="0"/>
    <n v="0"/>
    <n v="0"/>
    <n v="0"/>
    <n v="0"/>
    <n v="0"/>
    <n v="0"/>
    <n v="0"/>
    <n v="0"/>
    <n v="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CONVENIO Y TRAMITE"/>
    <m/>
    <m/>
    <m/>
    <m/>
    <m/>
    <m/>
    <m/>
    <m/>
    <m/>
    <m/>
    <m/>
    <m/>
    <m/>
  </r>
  <r>
    <n v="29"/>
    <s v="N"/>
    <x v="1"/>
    <x v="2"/>
    <s v="CALBUCO"/>
    <x v="2"/>
    <s v="EJECUCION"/>
    <n v="30485663"/>
    <s v="30485663-EJECUCION"/>
    <m/>
    <s v="30485663"/>
    <s v="REPOSICION Y DESTINACION VEHICULOS TRASLADO PACIENTES DIALISIS HOSPITAL DE CALBUCO (C33)"/>
    <n v="65212000"/>
    <n v="0"/>
    <n v="65212000"/>
    <n v="0"/>
    <n v="0"/>
    <n v="0"/>
    <n v="0"/>
    <n v="0"/>
    <n v="0"/>
    <n v="0"/>
    <n v="65212000"/>
    <n v="0"/>
    <s v="TERMINADO"/>
  </r>
  <r>
    <n v="29"/>
    <s v="N"/>
    <x v="5"/>
    <x v="2"/>
    <s v="CALBUCO"/>
    <x v="2"/>
    <s v="EJECUCION"/>
    <n v="30465002"/>
    <s v="30465002-EJECUCION"/>
    <m/>
    <s v="30465002"/>
    <s v="ADQUISICION CAMION MULTIPROPOSITO, COMUNA CALBUCO(C33)"/>
    <n v="218961000"/>
    <n v="0"/>
    <n v="218961000"/>
    <n v="0"/>
    <n v="0"/>
    <n v="0"/>
    <n v="0"/>
    <n v="0"/>
    <n v="0"/>
    <n v="0"/>
    <n v="218961000"/>
    <n v="0"/>
    <s v="TERMINADO"/>
  </r>
  <r>
    <n v="31"/>
    <s v="N"/>
    <x v="1"/>
    <x v="2"/>
    <s v="CALBUCO"/>
    <x v="2"/>
    <s v="EJECUCION"/>
    <n v="30380331"/>
    <s v="30380331-EJECUCION"/>
    <m/>
    <s v="30380331"/>
    <s v="CONSTRUCCION Y HABILITACION CENTRO DE DIALISIS HOSPITAL DE CALBUCO"/>
    <n v="1802409000"/>
    <n v="0"/>
    <n v="0"/>
    <n v="0"/>
    <n v="0"/>
    <n v="0"/>
    <n v="0"/>
    <n v="0"/>
    <n v="0"/>
    <n v="0"/>
    <n v="0"/>
    <n v="1802409000"/>
    <s v="TRAMITE CONVENIO"/>
  </r>
  <r>
    <m/>
    <m/>
    <x v="0"/>
    <x v="0"/>
    <m/>
    <x v="0"/>
    <m/>
    <m/>
    <m/>
    <m/>
    <m/>
    <s v="TOTAL DE INICIATIVAS EN CONVENIO Y TRAMITE"/>
    <n v="2086582000"/>
    <n v="0"/>
    <n v="284173000"/>
    <n v="0"/>
    <n v="0"/>
    <n v="0"/>
    <n v="0"/>
    <n v="0"/>
    <n v="0"/>
    <n v="0"/>
    <n v="284173000"/>
    <n v="180240900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SIN MOVIMIENTO"/>
    <m/>
    <m/>
    <m/>
    <m/>
    <m/>
    <m/>
    <m/>
    <m/>
    <m/>
    <m/>
    <m/>
    <m/>
    <m/>
  </r>
  <r>
    <n v="31"/>
    <s v="N"/>
    <x v="4"/>
    <x v="2"/>
    <s v="CALBUCO"/>
    <x v="1"/>
    <s v="EJECUCION"/>
    <n v="30480531"/>
    <s v="30480531-EJECUCION"/>
    <m/>
    <s v="30480531"/>
    <s v="CONSTRUCCION PAVIMENTACION CALLES CARLOS CONDELL Y WILLIAM REBOLLEDO"/>
    <n v="469704000"/>
    <n v="0"/>
    <n v="200000000"/>
    <n v="0"/>
    <n v="0"/>
    <n v="0"/>
    <n v="0"/>
    <n v="0"/>
    <n v="0"/>
    <n v="0"/>
    <n v="200000000"/>
    <n v="269704000"/>
    <s v="TRAMITE CONVENIO"/>
  </r>
  <r>
    <n v="31"/>
    <s v="N"/>
    <x v="8"/>
    <x v="2"/>
    <s v="CALBUCO"/>
    <x v="4"/>
    <s v="EJECUCION"/>
    <n v="30427273"/>
    <s v="30427273-EJECUCION"/>
    <m/>
    <s v="30427273"/>
    <s v="CONSTRUCCION INFRAESTRUCTURA SANITARIA LOCALIDAD DE PARGUA"/>
    <n v="1073021000"/>
    <n v="0"/>
    <n v="10000000"/>
    <n v="0"/>
    <n v="0"/>
    <n v="0"/>
    <n v="0"/>
    <n v="0"/>
    <n v="0"/>
    <n v="0"/>
    <n v="10000000"/>
    <n v="1063021000"/>
    <s v="ARI"/>
  </r>
  <r>
    <n v="31"/>
    <s v="N"/>
    <x v="2"/>
    <x v="2"/>
    <s v="CALBUCO"/>
    <x v="2"/>
    <s v="EJECUCION"/>
    <n v="30472587"/>
    <s v="30472587-EJECUCION"/>
    <m/>
    <s v="30472587"/>
    <s v="REPOSICION REPOSICION CUARTEL 2° CIA. BOMBEROS CALBUCO"/>
    <n v="617565000"/>
    <n v="0"/>
    <n v="10000000"/>
    <n v="0"/>
    <n v="0"/>
    <n v="0"/>
    <n v="0"/>
    <n v="0"/>
    <n v="0"/>
    <n v="0"/>
    <n v="10000000"/>
    <n v="607565000"/>
    <s v="ARI"/>
  </r>
  <r>
    <n v="31"/>
    <s v="N"/>
    <x v="1"/>
    <x v="2"/>
    <s v="CALBUCO"/>
    <x v="2"/>
    <s v="EJECUCION"/>
    <n v="20181416"/>
    <s v="20181416-EJECUCION"/>
    <m/>
    <s v="20181416"/>
    <s v="REPOSICION POSTA DE SALUD PEÑASMO"/>
    <n v="391426000"/>
    <n v="0"/>
    <n v="10000000"/>
    <n v="0"/>
    <n v="0"/>
    <n v="0"/>
    <n v="0"/>
    <n v="0"/>
    <n v="0"/>
    <n v="0"/>
    <n v="10000000"/>
    <n v="381426000"/>
    <s v="ARI"/>
  </r>
  <r>
    <m/>
    <m/>
    <x v="0"/>
    <x v="0"/>
    <m/>
    <x v="0"/>
    <m/>
    <m/>
    <m/>
    <m/>
    <m/>
    <s v="TOTAL DE INICIATIVAS SIN MOVIMIENTO"/>
    <n v="2551716000"/>
    <n v="0"/>
    <n v="230000000"/>
    <n v="0"/>
    <n v="0"/>
    <n v="0"/>
    <n v="0"/>
    <n v="0"/>
    <n v="0"/>
    <n v="0"/>
    <n v="230000000"/>
    <n v="232171600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TOTAL COMUNA DE  CALBUCO"/>
    <n v="15162613743"/>
    <n v="1753246993"/>
    <n v="2399581250"/>
    <n v="0"/>
    <n v="0"/>
    <n v="149999999"/>
    <n v="149999999"/>
    <n v="142299999"/>
    <n v="153946162"/>
    <n v="446246160"/>
    <n v="1953335090"/>
    <n v="1100978550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COMUNA DE COCHAMO"/>
    <m/>
    <m/>
    <m/>
    <m/>
    <m/>
    <m/>
    <m/>
    <m/>
    <m/>
    <m/>
    <m/>
    <m/>
    <m/>
  </r>
  <r>
    <m/>
    <m/>
    <x v="0"/>
    <x v="0"/>
    <m/>
    <x v="0"/>
    <m/>
    <m/>
    <m/>
    <m/>
    <m/>
    <s v="INICIATIVAS EN EJECUCION"/>
    <m/>
    <m/>
    <m/>
    <m/>
    <m/>
    <m/>
    <m/>
    <m/>
    <m/>
    <m/>
    <m/>
    <m/>
    <m/>
  </r>
  <r>
    <n v="31"/>
    <s v="A"/>
    <x v="8"/>
    <x v="2"/>
    <s v="COCHAMO"/>
    <x v="9"/>
    <s v="DISEÑO"/>
    <n v="30131517"/>
    <s v="30131517-DISEÑO"/>
    <m/>
    <s v="30131517"/>
    <s v="CONSTRUCCION SISTEMA APR EL QUECHE"/>
    <n v="27000000"/>
    <n v="5400000"/>
    <n v="21600000"/>
    <n v="0"/>
    <n v="0"/>
    <n v="0"/>
    <n v="0"/>
    <n v="0"/>
    <n v="0"/>
    <n v="0"/>
    <n v="21600000"/>
    <n v="0"/>
    <s v="EN EJECUCION"/>
  </r>
  <r>
    <n v="31"/>
    <s v="A"/>
    <x v="1"/>
    <x v="2"/>
    <s v="COCHAMO"/>
    <x v="2"/>
    <s v="EJECUCION"/>
    <n v="30047349"/>
    <s v="30047349-EJECUCION"/>
    <m/>
    <s v="30047349"/>
    <s v="CONSTRUCCION CENTRO DE SALUD COCHAMO"/>
    <n v="1975000000"/>
    <n v="1946992316"/>
    <n v="14455056"/>
    <n v="0"/>
    <n v="0"/>
    <n v="0"/>
    <n v="0"/>
    <n v="0"/>
    <n v="0"/>
    <n v="0"/>
    <n v="14455056"/>
    <n v="13552628"/>
    <s v="EN EJECUCION"/>
  </r>
  <r>
    <n v="31"/>
    <s v="A"/>
    <x v="2"/>
    <x v="2"/>
    <s v="COCHAMO"/>
    <x v="9"/>
    <s v="EJECUCION"/>
    <n v="30046830"/>
    <s v="30046830-EJECUCION"/>
    <m/>
    <s v="30046830"/>
    <s v="REPOSICION RETEN CARABINEROS DE COCHAMO"/>
    <n v="748449085"/>
    <n v="713793031"/>
    <n v="34656054"/>
    <n v="0"/>
    <n v="0"/>
    <n v="4877054"/>
    <n v="4877054"/>
    <n v="0"/>
    <n v="0"/>
    <n v="4877054"/>
    <n v="29779000"/>
    <n v="0"/>
    <s v="EN EJECUCION"/>
  </r>
  <r>
    <n v="29"/>
    <s v="N"/>
    <x v="5"/>
    <x v="2"/>
    <s v="COCHAMO"/>
    <x v="2"/>
    <s v="EJECUCION"/>
    <n v="30329325"/>
    <s v="30329325-EJECUCION"/>
    <m/>
    <s v="30329325"/>
    <s v="ADQUISICION MAQUINARIA PARA TRABAJOS MUNICIPALES"/>
    <n v="292147000"/>
    <n v="0"/>
    <n v="292147000"/>
    <n v="0"/>
    <n v="0"/>
    <n v="0"/>
    <n v="0"/>
    <n v="0"/>
    <n v="0"/>
    <n v="0"/>
    <n v="292147000"/>
    <n v="0"/>
    <s v="TERMINADO"/>
  </r>
  <r>
    <n v="31"/>
    <s v="A"/>
    <x v="4"/>
    <x v="2"/>
    <s v="COCHAMO"/>
    <x v="9"/>
    <s v="EJECUCION"/>
    <n v="30342773"/>
    <s v="30342773-EJECUCION"/>
    <m/>
    <s v="30342773"/>
    <s v="MEJORAMIENTO RUTA V 69 SECTOR RALUN COCHAMO"/>
    <n v="7077310000"/>
    <n v="135002990"/>
    <n v="1670562131"/>
    <n v="0"/>
    <n v="6698601"/>
    <n v="614217"/>
    <n v="7312818"/>
    <n v="677550"/>
    <n v="0"/>
    <n v="7990368"/>
    <n v="1662571763"/>
    <n v="5271744879"/>
    <s v="EN EJECUCION"/>
  </r>
  <r>
    <n v="31"/>
    <s v="P"/>
    <x v="9"/>
    <x v="2"/>
    <s v="COCHAMO"/>
    <x v="9"/>
    <s v="EJECUCION"/>
    <n v="30248522"/>
    <s v="30248522-EJECUCION"/>
    <m/>
    <s v="30248522"/>
    <s v="CONSTRUCCION ESTADIO MUNCIPAL DE COCHAMO"/>
    <n v="1053374000"/>
    <n v="2500000"/>
    <n v="200000000"/>
    <n v="0"/>
    <n v="0"/>
    <n v="0"/>
    <n v="0"/>
    <n v="0"/>
    <n v="0"/>
    <n v="0"/>
    <n v="200000000"/>
    <n v="850874000"/>
    <s v="EN REEVALUACION"/>
  </r>
  <r>
    <m/>
    <m/>
    <x v="0"/>
    <x v="0"/>
    <m/>
    <x v="0"/>
    <m/>
    <m/>
    <m/>
    <m/>
    <m/>
    <s v="TOTAL DE INICIATIVAS EN EJECUCION"/>
    <n v="11173280085"/>
    <n v="2803688337"/>
    <n v="2233420241"/>
    <n v="0"/>
    <n v="6698601"/>
    <n v="5491271"/>
    <n v="12189872"/>
    <n v="677550"/>
    <n v="0"/>
    <n v="12867422"/>
    <n v="2220552819"/>
    <n v="6136171507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TERMINADAS"/>
    <m/>
    <m/>
    <m/>
    <m/>
    <m/>
    <m/>
    <m/>
    <m/>
    <m/>
    <m/>
    <m/>
    <m/>
    <m/>
  </r>
  <r>
    <n v="29"/>
    <s v="P"/>
    <x v="5"/>
    <x v="2"/>
    <s v="COCHAMO"/>
    <x v="2"/>
    <s v="EJECUCION"/>
    <n v="30188272"/>
    <s v="30188272-EJECUCION"/>
    <m/>
    <s v="30188272"/>
    <s v="REPOSICION BUS DE PASAJEROS DE LA COMUNA DE COCHAMO (C33)"/>
    <n v="115506498"/>
    <n v="0"/>
    <n v="115506498"/>
    <n v="0"/>
    <n v="0"/>
    <n v="0"/>
    <n v="0"/>
    <n v="115506498"/>
    <n v="0"/>
    <n v="115506498"/>
    <n v="0"/>
    <n v="0"/>
    <s v="TERMINADO"/>
  </r>
  <r>
    <n v="29"/>
    <s v="N"/>
    <x v="5"/>
    <x v="2"/>
    <s v="COCHAMO"/>
    <x v="2"/>
    <s v="EJECUCION"/>
    <n v="40002212"/>
    <s v="40002212-EJECUCION"/>
    <m/>
    <s v="40002212"/>
    <s v="ADQUISICION Y REPOSICION DE CAMIONETAS PARA EL TRANSPORTE MUNICIPAL (C33)"/>
    <n v="420650000"/>
    <n v="0"/>
    <n v="42054838"/>
    <n v="0"/>
    <n v="0"/>
    <n v="0"/>
    <n v="0"/>
    <n v="0"/>
    <n v="42054838"/>
    <n v="42054838"/>
    <n v="0"/>
    <n v="378595162"/>
    <s v="EN EJECUCION"/>
  </r>
  <r>
    <n v="24"/>
    <s v="N"/>
    <x v="11"/>
    <x v="2"/>
    <s v="COCHAMO"/>
    <x v="5"/>
    <s v="EJECUCION"/>
    <n v="40005022"/>
    <s v="40005022-EJECUCION"/>
    <m/>
    <m/>
    <s v="TRANSFERENCIA SUBSIDIO OPER. SISTEMA AUTOGENERACION SECTOR SOTOMO"/>
    <n v="49762122"/>
    <n v="0"/>
    <n v="49762122"/>
    <m/>
    <m/>
    <m/>
    <n v="0"/>
    <n v="0"/>
    <n v="49762122"/>
    <n v="49762122"/>
    <n v="0"/>
    <n v="0"/>
    <s v="EN EJECUCION"/>
  </r>
  <r>
    <m/>
    <m/>
    <x v="0"/>
    <x v="0"/>
    <m/>
    <x v="0"/>
    <m/>
    <m/>
    <m/>
    <m/>
    <m/>
    <s v="TOTAL DE INICIATIVAS TERMINADAS"/>
    <n v="585918620"/>
    <n v="0"/>
    <n v="207323458"/>
    <n v="0"/>
    <n v="0"/>
    <n v="0"/>
    <n v="0"/>
    <n v="115506498"/>
    <n v="91816960"/>
    <n v="207323458"/>
    <n v="0"/>
    <n v="378595162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SIN MOVIMIENTO"/>
    <m/>
    <m/>
    <m/>
    <m/>
    <m/>
    <m/>
    <m/>
    <m/>
    <m/>
    <m/>
    <m/>
    <m/>
    <m/>
  </r>
  <r>
    <n v="31"/>
    <s v="N"/>
    <x v="4"/>
    <x v="2"/>
    <s v="COCHAMO"/>
    <x v="1"/>
    <s v="EJECUCION"/>
    <n v="30459455"/>
    <s v="30459455-EJECUCION"/>
    <m/>
    <s v="30459455"/>
    <s v="CONSERVACION VARIOS CAMINOS VECINALES GLOSA 7, COMUNA DE COCHAMO (C33)"/>
    <n v="305031000"/>
    <n v="0"/>
    <n v="10237878"/>
    <n v="0"/>
    <n v="0"/>
    <n v="0"/>
    <n v="0"/>
    <n v="0"/>
    <n v="0"/>
    <n v="0"/>
    <n v="10237878"/>
    <n v="294793122"/>
    <s v="EVALUADO"/>
  </r>
  <r>
    <n v="31"/>
    <s v="N"/>
    <x v="8"/>
    <x v="2"/>
    <s v="COCHAMO"/>
    <x v="9"/>
    <s v="EJECUCION"/>
    <n v="30116480"/>
    <s v="30116480-EJECUCION"/>
    <m/>
    <s v="30116480"/>
    <s v="CONSTRUCCION SISTEMA APR DE YATES COCHAMO"/>
    <n v="167764000"/>
    <n v="0"/>
    <n v="5000000"/>
    <n v="0"/>
    <n v="0"/>
    <n v="0"/>
    <n v="0"/>
    <n v="0"/>
    <n v="0"/>
    <n v="0"/>
    <n v="5000000"/>
    <n v="162764000"/>
    <s v="ARI"/>
  </r>
  <r>
    <n v="31"/>
    <s v="N"/>
    <x v="10"/>
    <x v="2"/>
    <s v="COCHAMO"/>
    <x v="9"/>
    <s v="EJECUCION"/>
    <n v="30328273"/>
    <s v="30328273-EJECUCION"/>
    <m/>
    <s v="30328273"/>
    <s v="CONSTRUCCION MICROCENTRAL HIDROELECTRICA SOTOMO"/>
    <n v="100500000"/>
    <n v="0"/>
    <n v="5000000"/>
    <n v="0"/>
    <n v="0"/>
    <n v="0"/>
    <n v="0"/>
    <n v="0"/>
    <n v="0"/>
    <n v="0"/>
    <n v="5000000"/>
    <n v="95500000"/>
    <s v="ARI"/>
  </r>
  <r>
    <n v="31"/>
    <s v="N"/>
    <x v="8"/>
    <x v="2"/>
    <s v="COCHAMO"/>
    <x v="9"/>
    <s v="DISEÑO"/>
    <n v="30474433"/>
    <s v="30474433-DISEÑO"/>
    <m/>
    <s v="30474433"/>
    <s v="CONSTRUCCION SISTEMA APR ALTO PUELO, COCHAMO"/>
    <n v="33856000"/>
    <n v="0"/>
    <n v="3385600"/>
    <n v="0"/>
    <n v="0"/>
    <n v="0"/>
    <n v="0"/>
    <n v="0"/>
    <n v="0"/>
    <n v="0"/>
    <n v="3385600"/>
    <n v="30470400"/>
    <s v="ARI"/>
  </r>
  <r>
    <m/>
    <m/>
    <x v="0"/>
    <x v="0"/>
    <m/>
    <x v="0"/>
    <m/>
    <m/>
    <m/>
    <m/>
    <m/>
    <s v="TOTAL DE INICIATIVAS SIN MOVIMIENTO"/>
    <n v="607151000"/>
    <n v="0"/>
    <n v="23623478"/>
    <n v="0"/>
    <n v="0"/>
    <n v="0"/>
    <n v="0"/>
    <n v="0"/>
    <n v="0"/>
    <n v="0"/>
    <n v="23623478"/>
    <n v="583527522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TOTAL COMUNA DE  COCHAMO"/>
    <n v="12366349705"/>
    <n v="2803688337"/>
    <n v="2464367177"/>
    <n v="0"/>
    <n v="6698601"/>
    <n v="5491271"/>
    <n v="12189872"/>
    <n v="116184048"/>
    <n v="91816960"/>
    <n v="220190880"/>
    <n v="2244176297"/>
    <n v="7098294191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COMUNA DE FRESIA"/>
    <m/>
    <m/>
    <m/>
    <m/>
    <m/>
    <m/>
    <m/>
    <m/>
    <m/>
    <m/>
    <m/>
    <m/>
    <m/>
  </r>
  <r>
    <m/>
    <m/>
    <x v="0"/>
    <x v="0"/>
    <m/>
    <x v="0"/>
    <m/>
    <m/>
    <m/>
    <m/>
    <m/>
    <s v="INICIATIVAS EN EJECUCION"/>
    <m/>
    <m/>
    <m/>
    <m/>
    <m/>
    <m/>
    <m/>
    <m/>
    <m/>
    <m/>
    <m/>
    <m/>
    <m/>
  </r>
  <r>
    <n v="31"/>
    <s v="A"/>
    <x v="8"/>
    <x v="2"/>
    <s v="FRESIA"/>
    <x v="1"/>
    <s v="EJECUCION"/>
    <n v="30212372"/>
    <s v="30212372-EJECUCION"/>
    <m/>
    <s v="30212372"/>
    <s v="CONSTRUCCION APR SECTOR RURAL LA VEGA"/>
    <n v="339876608"/>
    <n v="294876608"/>
    <n v="30621463"/>
    <n v="0"/>
    <n v="0"/>
    <n v="0"/>
    <n v="0"/>
    <n v="30621463"/>
    <n v="0"/>
    <n v="30621463"/>
    <n v="0"/>
    <n v="14378537"/>
    <s v="EN EJECUCION"/>
  </r>
  <r>
    <n v="31"/>
    <s v="A"/>
    <x v="1"/>
    <x v="2"/>
    <s v="FRESIA"/>
    <x v="2"/>
    <s v="EJECUCION"/>
    <n v="30125825"/>
    <s v="30125825-EJECUCION"/>
    <m/>
    <s v="30125825"/>
    <s v="MEJORAMIENTO INFRAESTRUCTURA HOSPITAL DE FRESIA"/>
    <n v="621915375"/>
    <n v="604331952"/>
    <n v="358690"/>
    <n v="0"/>
    <n v="0"/>
    <n v="0"/>
    <n v="0"/>
    <n v="0"/>
    <n v="0"/>
    <n v="0"/>
    <n v="358690"/>
    <n v="17224733"/>
    <s v="EN EJECUCION"/>
  </r>
  <r>
    <n v="31"/>
    <s v="P"/>
    <x v="4"/>
    <x v="2"/>
    <s v="FRESIA"/>
    <x v="1"/>
    <s v="EJECUCION"/>
    <n v="30130451"/>
    <s v="30130451-EJECUCION"/>
    <m/>
    <s v="30130451"/>
    <s v="MEJORAMIENTO 03 CALLES LOCALIDAD DE PARGA, FRESIA"/>
    <n v="545873331"/>
    <n v="176857169"/>
    <n v="369016162"/>
    <n v="306849062"/>
    <n v="4500000"/>
    <n v="2400000"/>
    <n v="313749062"/>
    <n v="52967100"/>
    <n v="2300000"/>
    <n v="369016162"/>
    <n v="0"/>
    <n v="0"/>
    <s v="TERMINADO"/>
  </r>
  <r>
    <n v="29"/>
    <s v="P"/>
    <x v="4"/>
    <x v="2"/>
    <s v="FRESIA"/>
    <x v="1"/>
    <s v="EJECUCION"/>
    <n v="30396186"/>
    <s v="30396186-EJECUCION"/>
    <m/>
    <s v="30396186"/>
    <s v="REPOSICION 03 CAMIONES TOLVA Y 01 RETROEXCAVADORA, FRESIA(C33)"/>
    <n v="406262000"/>
    <n v="0"/>
    <n v="339210994"/>
    <n v="0"/>
    <n v="0"/>
    <n v="75268994"/>
    <n v="75268994"/>
    <n v="0"/>
    <n v="0"/>
    <n v="75268994"/>
    <n v="263942000"/>
    <n v="67051006"/>
    <s v="EN EJECUCION"/>
  </r>
  <r>
    <n v="33"/>
    <s v="P"/>
    <x v="8"/>
    <x v="2"/>
    <s v="FRESIA"/>
    <x v="4"/>
    <s v="EJECUCION"/>
    <n v="30458130"/>
    <s v="30458130-EJECUCION"/>
    <m/>
    <s v="30458130"/>
    <s v="CONSTRUCCION CASETAS SANITARIAS Y CONEXION SECTOR LOS PRADOS, FRESIA"/>
    <n v="377930000"/>
    <n v="0"/>
    <n v="185102900"/>
    <n v="0"/>
    <n v="0"/>
    <n v="0"/>
    <n v="0"/>
    <n v="82302900"/>
    <n v="100082115"/>
    <n v="182385015"/>
    <n v="2717885"/>
    <n v="192827100"/>
    <s v="EN EJECUCION"/>
  </r>
  <r>
    <n v="31"/>
    <s v="A"/>
    <x v="8"/>
    <x v="2"/>
    <s v="FRESIA"/>
    <x v="1"/>
    <s v="EJECUCION"/>
    <n v="30212472"/>
    <s v="30212472-EJECUCION"/>
    <m/>
    <s v="30212472"/>
    <s v="CONSTRUCCION SERVICIO APR SECTOR RURAL EL MAÑIO"/>
    <n v="451393359"/>
    <n v="424766706"/>
    <n v="6658277"/>
    <n v="0"/>
    <n v="0"/>
    <n v="0"/>
    <n v="0"/>
    <n v="0"/>
    <n v="0"/>
    <n v="0"/>
    <n v="6658277"/>
    <n v="19968376"/>
    <s v="EN EJECUCION"/>
  </r>
  <r>
    <m/>
    <m/>
    <x v="0"/>
    <x v="0"/>
    <m/>
    <x v="0"/>
    <m/>
    <m/>
    <m/>
    <m/>
    <m/>
    <s v="TOTAL DE INICIATIVAS EN EJECUCION"/>
    <n v="2743250673"/>
    <n v="1500832435"/>
    <n v="930968486"/>
    <n v="306849062"/>
    <n v="4500000"/>
    <n v="77668994"/>
    <n v="389018056"/>
    <n v="165891463"/>
    <n v="102382115"/>
    <n v="657291634"/>
    <n v="273676852"/>
    <n v="311449752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LICITACION/ADJUDICACION"/>
    <m/>
    <m/>
    <m/>
    <m/>
    <m/>
    <m/>
    <m/>
    <m/>
    <m/>
    <m/>
    <m/>
    <m/>
    <m/>
  </r>
  <r>
    <n v="29"/>
    <s v="N"/>
    <x v="5"/>
    <x v="2"/>
    <s v="FRESIA"/>
    <x v="2"/>
    <s v="EJECUCION"/>
    <n v="30377674"/>
    <s v="30377674-EJECUCION"/>
    <m/>
    <s v="30377674"/>
    <s v="ADQUISICION CAMION MULTIPROPOSITO MUNICIPAL (C33)"/>
    <n v="265742000"/>
    <n v="0"/>
    <n v="265742000"/>
    <n v="0"/>
    <n v="0"/>
    <n v="0"/>
    <n v="0"/>
    <n v="0"/>
    <n v="0"/>
    <n v="0"/>
    <n v="265742000"/>
    <n v="0"/>
    <s v="TERMINADO"/>
  </r>
  <r>
    <m/>
    <m/>
    <x v="0"/>
    <x v="0"/>
    <m/>
    <x v="0"/>
    <m/>
    <m/>
    <m/>
    <m/>
    <m/>
    <s v="TOTAL DE INICIATIVAS EN LICITACION/ADJUDICACION"/>
    <n v="265742000"/>
    <n v="0"/>
    <n v="265742000"/>
    <n v="0"/>
    <n v="0"/>
    <n v="0"/>
    <n v="0"/>
    <n v="0"/>
    <n v="0"/>
    <n v="0"/>
    <n v="265742000"/>
    <n v="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CONVENIO Y TRAMITE"/>
    <m/>
    <m/>
    <m/>
    <m/>
    <m/>
    <m/>
    <m/>
    <m/>
    <m/>
    <m/>
    <m/>
    <m/>
    <m/>
  </r>
  <r>
    <n v="31"/>
    <s v="P"/>
    <x v="4"/>
    <x v="2"/>
    <s v="FRESIA"/>
    <x v="1"/>
    <s v="EJECUCION"/>
    <n v="30458322"/>
    <s v="30458322-EJECUCION"/>
    <m/>
    <s v="30458322"/>
    <s v="CONSERVACION VARIOS CAMINOS VECINALES GLOSA 7 COMUNA DE FRESIA(C33)"/>
    <n v="313240000"/>
    <n v="7350000"/>
    <n v="30000000"/>
    <n v="0"/>
    <n v="0"/>
    <n v="0"/>
    <n v="0"/>
    <n v="0"/>
    <n v="0"/>
    <n v="0"/>
    <n v="30000000"/>
    <n v="275890000"/>
    <s v="CON CONVENIO"/>
  </r>
  <r>
    <n v="31"/>
    <s v="A"/>
    <x v="8"/>
    <x v="2"/>
    <s v="FRESIA"/>
    <x v="10"/>
    <s v="EJECUCION"/>
    <n v="30088011"/>
    <s v="30088011-EJECUCION"/>
    <m/>
    <s v="30088011"/>
    <s v="CONSTRUCCION PLANTA DE TRATAMIENTO PARGA"/>
    <n v="608334000"/>
    <n v="0"/>
    <n v="0"/>
    <n v="0"/>
    <n v="0"/>
    <n v="0"/>
    <n v="0"/>
    <n v="0"/>
    <n v="0"/>
    <n v="0"/>
    <n v="0"/>
    <n v="608334000"/>
    <s v="TRAMITE CONVENIO"/>
  </r>
  <r>
    <m/>
    <m/>
    <x v="0"/>
    <x v="0"/>
    <m/>
    <x v="0"/>
    <m/>
    <m/>
    <m/>
    <m/>
    <m/>
    <s v="TOTAL DE INICIATIVAS EN CONVENIO Y TRAMITE"/>
    <n v="921574000"/>
    <n v="7350000"/>
    <n v="30000000"/>
    <n v="0"/>
    <n v="0"/>
    <n v="0"/>
    <n v="0"/>
    <n v="0"/>
    <n v="0"/>
    <n v="0"/>
    <n v="30000000"/>
    <n v="88422400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SIN MOVIMIENTO"/>
    <m/>
    <m/>
    <m/>
    <m/>
    <m/>
    <m/>
    <m/>
    <m/>
    <m/>
    <m/>
    <m/>
    <m/>
    <m/>
  </r>
  <r>
    <n v="31"/>
    <s v="N"/>
    <x v="9"/>
    <x v="2"/>
    <s v="FRESIA"/>
    <x v="2"/>
    <s v="EJECUCION"/>
    <n v="30134714"/>
    <s v="30134714-EJECUCION"/>
    <m/>
    <s v="30134714"/>
    <s v="CONSTRUCCION ESTADIO MUNICIPAL ANFUR, COMUNA DE FRESIA"/>
    <n v="737484000"/>
    <n v="0"/>
    <n v="4130000"/>
    <n v="0"/>
    <n v="0"/>
    <n v="0"/>
    <n v="0"/>
    <n v="0"/>
    <n v="0"/>
    <n v="0"/>
    <n v="4130000"/>
    <n v="733354000"/>
    <s v="ARI"/>
  </r>
  <r>
    <n v="31"/>
    <s v="N"/>
    <x v="1"/>
    <x v="2"/>
    <s v="FRESIA"/>
    <x v="2"/>
    <s v="EJECUCION"/>
    <n v="30282773"/>
    <s v="30282773-EJECUCION"/>
    <m/>
    <s v="30282773"/>
    <s v="REPOSICION POSTA DE SALUD RURAL EL TRAIGUEN, FRESIA"/>
    <n v="484346000"/>
    <n v="0"/>
    <n v="19378537"/>
    <n v="0"/>
    <n v="0"/>
    <n v="0"/>
    <n v="0"/>
    <n v="0"/>
    <n v="0"/>
    <n v="0"/>
    <n v="19378537"/>
    <n v="464967463"/>
    <s v="ARI"/>
  </r>
  <r>
    <n v="31"/>
    <s v="N"/>
    <x v="8"/>
    <x v="2"/>
    <s v="FRESIA"/>
    <x v="2"/>
    <s v="EJECUCION"/>
    <n v="30397144"/>
    <s v="30397144-EJECUCION"/>
    <m/>
    <s v="30397144"/>
    <s v="CONSTRUCCION SISTEMA APR SECTOR LAS CRUCES, COMUNA DE FRESIA"/>
    <n v="1163589000"/>
    <n v="0"/>
    <n v="10000000"/>
    <n v="0"/>
    <n v="0"/>
    <n v="0"/>
    <n v="0"/>
    <n v="0"/>
    <n v="0"/>
    <n v="0"/>
    <n v="10000000"/>
    <n v="1153589000"/>
    <s v="ARI"/>
  </r>
  <r>
    <n v="31"/>
    <s v="N"/>
    <x v="6"/>
    <x v="2"/>
    <s v="FRESIA"/>
    <x v="2"/>
    <s v="EJECUCION"/>
    <n v="30396276"/>
    <s v="30396276-EJECUCION"/>
    <m/>
    <s v="30396276"/>
    <s v="CONSERVACION EDIFICIO DAEM, FRESIA (C33)"/>
    <n v="326911000"/>
    <n v="0"/>
    <n v="10000000"/>
    <n v="0"/>
    <n v="0"/>
    <n v="0"/>
    <n v="0"/>
    <n v="0"/>
    <n v="0"/>
    <n v="0"/>
    <n v="10000000"/>
    <n v="316911000"/>
    <s v="ARI"/>
  </r>
  <r>
    <n v="31"/>
    <s v="N"/>
    <x v="6"/>
    <x v="2"/>
    <s v="FRESIA"/>
    <x v="2"/>
    <s v="EJECUCION"/>
    <n v="30435722"/>
    <s v="30435722-EJECUCION"/>
    <m/>
    <s v="30435722"/>
    <s v="CONSTRUCCION CENTRO CULTURAL, COMUNA DE FRESIA"/>
    <n v="1191898000"/>
    <n v="0"/>
    <n v="3341723"/>
    <n v="0"/>
    <n v="0"/>
    <n v="0"/>
    <n v="0"/>
    <n v="0"/>
    <n v="0"/>
    <n v="0"/>
    <n v="3341723"/>
    <n v="1188556277"/>
    <s v="ARI"/>
  </r>
  <r>
    <m/>
    <m/>
    <x v="0"/>
    <x v="0"/>
    <m/>
    <x v="0"/>
    <m/>
    <m/>
    <m/>
    <m/>
    <m/>
    <s v="TOTAL DE INICIATIVAS SIN MOVIMIENTO"/>
    <n v="3904228000"/>
    <n v="0"/>
    <n v="46850260"/>
    <n v="0"/>
    <n v="0"/>
    <n v="0"/>
    <n v="0"/>
    <n v="0"/>
    <n v="0"/>
    <n v="0"/>
    <n v="46850260"/>
    <n v="385737774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TOTAL COMUNA DE  FRESIA"/>
    <n v="7834794673"/>
    <n v="1508182435"/>
    <n v="1273560746"/>
    <n v="306849062"/>
    <n v="4500000"/>
    <n v="77668994"/>
    <n v="389018056"/>
    <n v="165891463"/>
    <n v="102382115"/>
    <n v="657291634"/>
    <n v="616269112"/>
    <n v="5053051492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COMUNA DE FRUTILLAR"/>
    <m/>
    <m/>
    <m/>
    <m/>
    <m/>
    <m/>
    <m/>
    <m/>
    <m/>
    <m/>
    <m/>
    <m/>
    <m/>
  </r>
  <r>
    <m/>
    <m/>
    <x v="0"/>
    <x v="0"/>
    <m/>
    <x v="0"/>
    <m/>
    <m/>
    <m/>
    <m/>
    <m/>
    <s v="INICIATIVAS EN EJECUCION"/>
    <m/>
    <m/>
    <m/>
    <m/>
    <m/>
    <m/>
    <m/>
    <m/>
    <m/>
    <m/>
    <m/>
    <m/>
    <m/>
  </r>
  <r>
    <n v="31"/>
    <s v="A"/>
    <x v="6"/>
    <x v="2"/>
    <s v="FRUTILLAR"/>
    <x v="1"/>
    <s v="EJECUCION"/>
    <n v="30291172"/>
    <s v="30291172-EJECUCION"/>
    <m/>
    <s v="30291172"/>
    <s v="REPOSICION Y AMPLIACION BIBLIOTECA MUNICIPAL"/>
    <n v="1317857690"/>
    <n v="881409797"/>
    <n v="436447893"/>
    <n v="120507605"/>
    <n v="85164423"/>
    <n v="72174748"/>
    <n v="277846776"/>
    <n v="2275000"/>
    <n v="2275000"/>
    <n v="282396776"/>
    <n v="154051117"/>
    <n v="0"/>
    <s v="EN EJECUCION"/>
  </r>
  <r>
    <n v="31"/>
    <s v="A"/>
    <x v="6"/>
    <x v="2"/>
    <s v="FRUTILLAR"/>
    <x v="3"/>
    <s v="EJECUCION"/>
    <n v="30073164"/>
    <s v="30073164-EJECUCION"/>
    <m/>
    <s v="30073164"/>
    <s v="CONSTRUCCION ESCUELA ESPECIAL SAN AGUSTIN"/>
    <n v="853219620"/>
    <n v="703219620"/>
    <n v="150000000"/>
    <n v="0"/>
    <n v="0"/>
    <n v="0"/>
    <n v="0"/>
    <n v="0"/>
    <n v="0"/>
    <n v="0"/>
    <n v="150000000"/>
    <n v="0"/>
    <s v="EN EJECUCION"/>
  </r>
  <r>
    <n v="31"/>
    <s v="P"/>
    <x v="8"/>
    <x v="2"/>
    <s v="FRUTILLAR"/>
    <x v="4"/>
    <s v="EJECUCION"/>
    <n v="30465244"/>
    <s v="30465244-EJECUCION"/>
    <m/>
    <s v="30465244"/>
    <s v="CONSTRUCCION RED APR SECTOR COLONIA SAN MARTIN(C33)"/>
    <n v="362925000"/>
    <n v="1500000"/>
    <n v="150000000"/>
    <n v="0"/>
    <n v="0"/>
    <n v="32238429"/>
    <n v="32238429"/>
    <n v="9628889"/>
    <n v="33221912"/>
    <n v="75089230"/>
    <n v="74910770"/>
    <n v="211425000"/>
    <s v="EN EJECUCION"/>
  </r>
  <r>
    <n v="31"/>
    <s v="P"/>
    <x v="8"/>
    <x v="2"/>
    <s v="FRUTILLAR"/>
    <x v="4"/>
    <s v="EJECUCION"/>
    <n v="30465242"/>
    <s v="30465242-EJECUCION"/>
    <m/>
    <s v="30465242"/>
    <s v="CONSTRUCCION RED APR SECTOR CENTINELA LA HUACHA"/>
    <n v="314524000"/>
    <n v="1500000"/>
    <n v="158132592"/>
    <n v="0"/>
    <n v="0"/>
    <n v="2555556"/>
    <n v="2555556"/>
    <n v="43021480"/>
    <n v="38649334"/>
    <n v="84226370"/>
    <n v="73906222"/>
    <n v="154891408"/>
    <s v="EN EJECUCION"/>
  </r>
  <r>
    <n v="31"/>
    <s v="A"/>
    <x v="6"/>
    <x v="2"/>
    <s v="FRUTILLAR"/>
    <x v="3"/>
    <s v="EJECUCION"/>
    <n v="30113942"/>
    <s v="30113942-EJECUCION"/>
    <m/>
    <s v="30113942"/>
    <s v="REPOSICION INTERNADO LICEO INDUSTRIAL CHILENO ALEMAN FRUTILLAR"/>
    <n v="2832541112"/>
    <n v="2773576112"/>
    <n v="58965000"/>
    <n v="0"/>
    <n v="0"/>
    <n v="0"/>
    <n v="0"/>
    <n v="0"/>
    <n v="0"/>
    <n v="0"/>
    <n v="58965000"/>
    <n v="0"/>
    <s v="EN EJECUCION"/>
  </r>
  <r>
    <n v="31"/>
    <s v="A"/>
    <x v="9"/>
    <x v="2"/>
    <s v="FRUTILLAR"/>
    <x v="2"/>
    <s v="EJECUCION"/>
    <n v="30085373"/>
    <s v="30085373-EJECUCION"/>
    <m/>
    <s v="30085373"/>
    <s v="REPOSICION ESTADIO MUNICIPAL DE FRUTILLAR"/>
    <n v="1586461807"/>
    <n v="1569445807"/>
    <n v="7286072"/>
    <n v="0"/>
    <n v="0"/>
    <n v="0"/>
    <n v="0"/>
    <n v="0"/>
    <n v="0"/>
    <n v="0"/>
    <n v="7286072"/>
    <n v="9729928"/>
    <s v="EN EJECUCION"/>
  </r>
  <r>
    <m/>
    <m/>
    <x v="0"/>
    <x v="0"/>
    <m/>
    <x v="0"/>
    <m/>
    <m/>
    <m/>
    <m/>
    <m/>
    <s v="TOTAL DE INICIATIVAS EN EJECUCION"/>
    <n v="7267529229"/>
    <n v="5930651336"/>
    <n v="960831557"/>
    <n v="120507605"/>
    <n v="85164423"/>
    <n v="106968733"/>
    <n v="312640761"/>
    <n v="54925369"/>
    <n v="74146246"/>
    <n v="441712376"/>
    <n v="519119181"/>
    <n v="376046336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TERMINADAS"/>
    <m/>
    <m/>
    <m/>
    <m/>
    <m/>
    <m/>
    <m/>
    <m/>
    <m/>
    <m/>
    <m/>
    <m/>
    <m/>
  </r>
  <r>
    <n v="31"/>
    <s v="A"/>
    <x v="5"/>
    <x v="2"/>
    <s v="FRUTILLAR"/>
    <x v="1"/>
    <s v="DISEÑO"/>
    <n v="30071843"/>
    <s v="30071843-DISEÑO"/>
    <m/>
    <s v="30071843"/>
    <s v="CONSTRUCCION EDIFICIO CONSISTORIAL FRUTILLAR"/>
    <n v="36562480"/>
    <n v="34366000"/>
    <n v="2196480"/>
    <n v="0"/>
    <n v="0"/>
    <n v="0"/>
    <n v="0"/>
    <n v="0"/>
    <n v="0"/>
    <n v="0"/>
    <n v="2196480"/>
    <n v="0"/>
    <s v="TERMINADO"/>
  </r>
  <r>
    <n v="31"/>
    <s v="A"/>
    <x v="8"/>
    <x v="2"/>
    <s v="FRUTILLAR"/>
    <x v="10"/>
    <s v="EJECUCION"/>
    <n v="30128506"/>
    <s v="30128506-EJECUCION"/>
    <m/>
    <s v="30128506"/>
    <s v="CONSTRUCCION RED DE AGUA POTABLE SECTOR LOS BAJOS, FRUTILLAR"/>
    <n v="278849622"/>
    <n v="278849622"/>
    <n v="0"/>
    <n v="0"/>
    <n v="0"/>
    <n v="0"/>
    <n v="0"/>
    <n v="0"/>
    <n v="0"/>
    <n v="0"/>
    <n v="0"/>
    <n v="0"/>
    <s v="TERMINADO"/>
  </r>
  <r>
    <n v="31"/>
    <s v="A"/>
    <x v="1"/>
    <x v="2"/>
    <s v="FRUTILLAR"/>
    <x v="2"/>
    <s v="DISEÑO"/>
    <n v="30219228"/>
    <s v="30219228-DISEÑO"/>
    <s v="30219228-FNDR"/>
    <s v="30219228"/>
    <s v="REPOSICION CENTRO DE SALUD DE ATENCION PRIMARIA FRUTILLAR"/>
    <n v="96233000"/>
    <n v="82343100"/>
    <n v="13889900"/>
    <n v="0"/>
    <n v="0"/>
    <n v="13889900"/>
    <n v="13889900"/>
    <n v="0"/>
    <n v="0"/>
    <n v="13889900"/>
    <n v="0"/>
    <n v="0"/>
    <s v="TERMINADO"/>
  </r>
  <r>
    <m/>
    <m/>
    <x v="0"/>
    <x v="0"/>
    <m/>
    <x v="0"/>
    <m/>
    <m/>
    <m/>
    <m/>
    <m/>
    <s v="TOTAL DE INICIATIVAS TERMINADAS"/>
    <n v="411645102"/>
    <n v="395558722"/>
    <n v="16086380"/>
    <n v="0"/>
    <n v="0"/>
    <n v="13889900"/>
    <n v="13889900"/>
    <n v="0"/>
    <n v="0"/>
    <n v="13889900"/>
    <n v="2196480"/>
    <n v="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LICITACION/ADJUDICACION"/>
    <m/>
    <m/>
    <m/>
    <m/>
    <m/>
    <m/>
    <m/>
    <m/>
    <m/>
    <m/>
    <m/>
    <m/>
    <m/>
  </r>
  <r>
    <n v="31"/>
    <s v="P"/>
    <x v="8"/>
    <x v="2"/>
    <s v="FRUTILLAR"/>
    <x v="2"/>
    <s v="EJECUCION"/>
    <n v="30465245"/>
    <s v="30465245-EJECUCION"/>
    <m/>
    <s v="30465245"/>
    <s v="CONSTRUCCION SERVICIO DE APR SECTOR COPIHUE, FRUTILLAR"/>
    <n v="330967000"/>
    <n v="0"/>
    <n v="150177591"/>
    <n v="1500000"/>
    <n v="0"/>
    <n v="0"/>
    <n v="1500000"/>
    <n v="0"/>
    <n v="0"/>
    <n v="1500000"/>
    <n v="148677591"/>
    <n v="180789409"/>
    <s v="EN ADJUDICACION"/>
  </r>
  <r>
    <m/>
    <m/>
    <x v="0"/>
    <x v="0"/>
    <m/>
    <x v="0"/>
    <m/>
    <m/>
    <m/>
    <m/>
    <m/>
    <s v="TOTAL DE INICIATIVAS EN LICITACION/ADJUDICACION"/>
    <n v="330967000"/>
    <n v="0"/>
    <n v="150177591"/>
    <n v="1500000"/>
    <n v="0"/>
    <n v="0"/>
    <n v="1500000"/>
    <n v="0"/>
    <n v="0"/>
    <n v="1500000"/>
    <n v="148677591"/>
    <n v="180789409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CONVENIO Y TRAMITE"/>
    <m/>
    <m/>
    <m/>
    <m/>
    <m/>
    <m/>
    <m/>
    <m/>
    <m/>
    <m/>
    <m/>
    <m/>
    <m/>
  </r>
  <r>
    <n v="31"/>
    <s v="P"/>
    <x v="4"/>
    <x v="2"/>
    <s v="FRUTILLAR"/>
    <x v="1"/>
    <s v="EJECUCION"/>
    <n v="30077934"/>
    <s v="30077934-EJECUCION"/>
    <m/>
    <s v="30077934"/>
    <s v="CONSTRUCCION CALLE NUEVA NUEVE DE FRUTILLAR"/>
    <n v="1355888000"/>
    <n v="0"/>
    <n v="97294246"/>
    <n v="0"/>
    <n v="0"/>
    <n v="0"/>
    <n v="0"/>
    <n v="0"/>
    <n v="0"/>
    <n v="0"/>
    <n v="97294246"/>
    <n v="1258593754"/>
    <s v="CON CONVENIO"/>
  </r>
  <r>
    <n v="31"/>
    <s v="N"/>
    <x v="10"/>
    <x v="2"/>
    <s v="FRUTILLAR"/>
    <x v="5"/>
    <s v="EJECUCION"/>
    <n v="30485158"/>
    <s v="30485158-EJECUCION"/>
    <m/>
    <s v="30485158"/>
    <s v="HABILITACION SUMINISTRO ENERGIA ELECTRICA, SECTOR LA PIEDRA FRUTILLAR"/>
    <n v="133588000"/>
    <n v="0"/>
    <n v="133588000"/>
    <n v="0"/>
    <n v="0"/>
    <n v="0"/>
    <n v="0"/>
    <n v="0"/>
    <n v="0"/>
    <n v="0"/>
    <n v="133588000"/>
    <n v="0"/>
    <s v="TRAMITE CONVENIO"/>
  </r>
  <r>
    <m/>
    <m/>
    <x v="0"/>
    <x v="0"/>
    <m/>
    <x v="0"/>
    <m/>
    <m/>
    <m/>
    <m/>
    <m/>
    <s v="TOTAL DE INICIATIVAS EN CONVENIO Y TRAMITE"/>
    <n v="1489476000"/>
    <n v="0"/>
    <n v="230882246"/>
    <n v="0"/>
    <n v="0"/>
    <n v="0"/>
    <n v="0"/>
    <n v="0"/>
    <n v="0"/>
    <n v="0"/>
    <n v="230882246"/>
    <n v="1258593754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SIN MOVIMIENTO"/>
    <m/>
    <m/>
    <m/>
    <m/>
    <m/>
    <m/>
    <m/>
    <m/>
    <m/>
    <m/>
    <m/>
    <m/>
    <m/>
  </r>
  <r>
    <n v="31"/>
    <s v="N"/>
    <x v="4"/>
    <x v="2"/>
    <s v="FRUTILLAR"/>
    <x v="1"/>
    <s v="PREFACTIBILIDAD"/>
    <n v="30077932"/>
    <s v="30077932-PREFACTIBILIDAD"/>
    <m/>
    <s v="30077932"/>
    <s v="MEJORAMIENTO INTERCONEXION VIAL, FRUTILLAR ALTO Y BAJO"/>
    <n v="131500000"/>
    <n v="0"/>
    <n v="10000000"/>
    <n v="0"/>
    <n v="0"/>
    <n v="0"/>
    <n v="0"/>
    <n v="0"/>
    <n v="0"/>
    <n v="0"/>
    <n v="10000000"/>
    <n v="121500000"/>
    <s v="ARI"/>
  </r>
  <r>
    <n v="31"/>
    <s v="N"/>
    <x v="8"/>
    <x v="2"/>
    <s v="FRUTILLAR"/>
    <x v="2"/>
    <s v="EJECUCION"/>
    <n v="30484262"/>
    <s v="30484262-EJECUCION"/>
    <m/>
    <s v="30484262"/>
    <s v="CONSTRUCCION SERVICIO DE APR LOMA DE LA PIEDRA-LA HUACHA, FRUTILLAR"/>
    <n v="394245000"/>
    <n v="0"/>
    <n v="5000000"/>
    <n v="0"/>
    <n v="0"/>
    <n v="0"/>
    <n v="0"/>
    <n v="0"/>
    <n v="0"/>
    <n v="0"/>
    <n v="5000000"/>
    <n v="389245000"/>
    <s v="ARI"/>
  </r>
  <r>
    <n v="31"/>
    <s v="N"/>
    <x v="8"/>
    <x v="2"/>
    <s v="FRUTILLAR"/>
    <x v="2"/>
    <s v="EJECUCION"/>
    <n v="30465246"/>
    <s v="30465246-EJECUCION"/>
    <m/>
    <s v="30465246"/>
    <s v="CONSTRUCCION RED DE APR SECTOR VILLA ALEGRE"/>
    <n v="168340000"/>
    <n v="0"/>
    <n v="2803520"/>
    <n v="0"/>
    <n v="0"/>
    <n v="0"/>
    <n v="0"/>
    <n v="0"/>
    <n v="0"/>
    <n v="0"/>
    <n v="2803520"/>
    <n v="165536480"/>
    <s v="ARI"/>
  </r>
  <r>
    <m/>
    <m/>
    <x v="0"/>
    <x v="0"/>
    <m/>
    <x v="0"/>
    <m/>
    <m/>
    <m/>
    <m/>
    <m/>
    <s v="TOTAL DE INICIATIVAS SIN MOVIMIENTO"/>
    <n v="694085000"/>
    <n v="0"/>
    <n v="17803520"/>
    <n v="0"/>
    <n v="0"/>
    <n v="0"/>
    <n v="0"/>
    <n v="0"/>
    <n v="0"/>
    <n v="0"/>
    <n v="17803520"/>
    <n v="67628148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TOTAL COMUNA DE  FRUTILLAR"/>
    <n v="10193702331"/>
    <n v="6326210058"/>
    <n v="1375781294"/>
    <n v="122007605"/>
    <n v="85164423"/>
    <n v="120858633"/>
    <n v="328030661"/>
    <n v="54925369"/>
    <n v="74146246"/>
    <n v="457102276"/>
    <n v="918679018"/>
    <n v="2491710979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COMUNA DE LLANQUIHUE"/>
    <m/>
    <m/>
    <m/>
    <m/>
    <m/>
    <m/>
    <m/>
    <m/>
    <m/>
    <m/>
    <m/>
    <m/>
    <m/>
  </r>
  <r>
    <m/>
    <m/>
    <x v="0"/>
    <x v="0"/>
    <m/>
    <x v="0"/>
    <m/>
    <m/>
    <m/>
    <m/>
    <m/>
    <s v="INICIATIVAS EN EJECUCION"/>
    <m/>
    <m/>
    <m/>
    <m/>
    <m/>
    <m/>
    <m/>
    <m/>
    <m/>
    <m/>
    <m/>
    <m/>
    <m/>
  </r>
  <r>
    <n v="31"/>
    <s v="N"/>
    <x v="5"/>
    <x v="2"/>
    <s v="LLANQUIHUE"/>
    <x v="2"/>
    <s v="EJECUCION"/>
    <n v="30076574"/>
    <s v="30076574-EJECUCION"/>
    <m/>
    <s v="30076574"/>
    <s v="REPOSICION EDIFICIO CONSISTORIAL, LLANQUIHUE"/>
    <n v="2806948000"/>
    <n v="121552095"/>
    <n v="300000000"/>
    <n v="0"/>
    <n v="0"/>
    <n v="3000000"/>
    <n v="3000000"/>
    <n v="0"/>
    <n v="0"/>
    <n v="3000000"/>
    <n v="297000000"/>
    <n v="2385395905"/>
    <s v="EN EJECUCION"/>
  </r>
  <r>
    <m/>
    <m/>
    <x v="0"/>
    <x v="0"/>
    <m/>
    <x v="0"/>
    <m/>
    <m/>
    <m/>
    <m/>
    <m/>
    <s v="TOTAL DE INICIATIVAS EN EJECUCION"/>
    <n v="2806948000"/>
    <n v="121552095"/>
    <n v="300000000"/>
    <n v="0"/>
    <n v="0"/>
    <n v="3000000"/>
    <n v="3000000"/>
    <n v="0"/>
    <n v="0"/>
    <n v="3000000"/>
    <n v="297000000"/>
    <n v="2385395905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CONVENIO Y TRAMITE"/>
    <m/>
    <m/>
    <m/>
    <m/>
    <m/>
    <m/>
    <m/>
    <m/>
    <m/>
    <m/>
    <m/>
    <m/>
    <m/>
  </r>
  <r>
    <n v="29"/>
    <s v="N"/>
    <x v="1"/>
    <x v="2"/>
    <s v="LLANQUIHUE"/>
    <x v="2"/>
    <s v="EJECUCION"/>
    <n v="30458984"/>
    <s v="30458984-EJECUCION"/>
    <m/>
    <s v="30458984"/>
    <s v="REPOSICION DE VEHICULOS DESAM COMUNA DE LLANQUIHUE (C33)"/>
    <n v="136057000"/>
    <n v="0"/>
    <n v="136057000"/>
    <n v="0"/>
    <n v="0"/>
    <n v="0"/>
    <n v="0"/>
    <n v="0"/>
    <n v="0"/>
    <n v="0"/>
    <n v="136057000"/>
    <n v="0"/>
    <s v="TERMINADO"/>
  </r>
  <r>
    <m/>
    <m/>
    <x v="0"/>
    <x v="0"/>
    <m/>
    <x v="0"/>
    <m/>
    <m/>
    <m/>
    <m/>
    <m/>
    <s v="TOTAL DE INICIATIVAS EN CONVENIO Y TRAMITE"/>
    <n v="136057000"/>
    <n v="0"/>
    <n v="136057000"/>
    <n v="0"/>
    <n v="0"/>
    <n v="0"/>
    <n v="0"/>
    <n v="0"/>
    <n v="0"/>
    <n v="0"/>
    <n v="136057000"/>
    <n v="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SIN MOVIMIENTO"/>
    <m/>
    <m/>
    <m/>
    <m/>
    <m/>
    <m/>
    <m/>
    <m/>
    <m/>
    <m/>
    <m/>
    <m/>
    <m/>
  </r>
  <r>
    <n v="31"/>
    <s v="N"/>
    <x v="6"/>
    <x v="2"/>
    <s v="LLANQUIHUE"/>
    <x v="2"/>
    <s v="DISEÑO"/>
    <n v="30463530"/>
    <s v="30463530-DISEÑO"/>
    <m/>
    <s v="30463530"/>
    <s v="CONSTRUCCION CENTRO CULTURAL COMUNITARIO, LLANQUIHUE"/>
    <n v="159342000"/>
    <n v="0"/>
    <n v="15000000"/>
    <n v="0"/>
    <n v="0"/>
    <n v="0"/>
    <n v="0"/>
    <n v="0"/>
    <n v="0"/>
    <n v="0"/>
    <n v="15000000"/>
    <n v="144342000"/>
    <s v="ARI"/>
  </r>
  <r>
    <n v="31"/>
    <s v="N"/>
    <x v="4"/>
    <x v="2"/>
    <s v="LLANQUIHUE"/>
    <x v="1"/>
    <s v="DISEÑO"/>
    <n v="30427426"/>
    <s v="30427426-DISEÑO"/>
    <m/>
    <s v="30427426"/>
    <s v="NORMALIZACION PUENTE DE MAULLIN N°1, COMUNA DE LLANQUIHUE."/>
    <n v="252242000"/>
    <n v="0"/>
    <n v="15000000"/>
    <n v="0"/>
    <n v="0"/>
    <n v="0"/>
    <n v="0"/>
    <n v="0"/>
    <n v="0"/>
    <n v="0"/>
    <n v="15000000"/>
    <n v="237242000"/>
    <s v="ARI"/>
  </r>
  <r>
    <m/>
    <m/>
    <x v="0"/>
    <x v="0"/>
    <m/>
    <x v="0"/>
    <m/>
    <m/>
    <m/>
    <m/>
    <m/>
    <s v="TOTAL DE INICIATIVAS SIN MOVIMIENTO"/>
    <n v="411584000"/>
    <n v="0"/>
    <n v="30000000"/>
    <n v="0"/>
    <n v="0"/>
    <n v="0"/>
    <n v="0"/>
    <n v="0"/>
    <n v="0"/>
    <n v="0"/>
    <n v="30000000"/>
    <n v="38158400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TOTAL COMUNA DE  LLANQUIHUE"/>
    <n v="3354589000"/>
    <n v="121552095"/>
    <n v="466057000"/>
    <n v="0"/>
    <n v="0"/>
    <n v="3000000"/>
    <n v="3000000"/>
    <n v="0"/>
    <n v="0"/>
    <n v="3000000"/>
    <n v="463057000"/>
    <n v="2766979905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COMUNA DE LOS MUERMOS"/>
    <m/>
    <m/>
    <m/>
    <m/>
    <m/>
    <m/>
    <m/>
    <m/>
    <m/>
    <m/>
    <m/>
    <m/>
    <m/>
  </r>
  <r>
    <m/>
    <m/>
    <x v="0"/>
    <x v="0"/>
    <m/>
    <x v="0"/>
    <m/>
    <m/>
    <m/>
    <m/>
    <m/>
    <s v="INICIATIVAS EN EJECUCION"/>
    <m/>
    <m/>
    <m/>
    <m/>
    <m/>
    <m/>
    <m/>
    <m/>
    <m/>
    <m/>
    <m/>
    <m/>
    <m/>
  </r>
  <r>
    <n v="31"/>
    <s v="A"/>
    <x v="5"/>
    <x v="2"/>
    <s v="LOS MUERMOS"/>
    <x v="2"/>
    <s v="EJECUCION"/>
    <n v="30279673"/>
    <s v="30279673-EJECUCION"/>
    <m/>
    <s v="30279673"/>
    <s v="MEJORAMIENTO Y CONSTRUCCION NICHOS CEMENTERIO LOS MUERMOS"/>
    <n v="589370000"/>
    <n v="1500000"/>
    <n v="517870000"/>
    <n v="25410198"/>
    <n v="25833013"/>
    <n v="30742366"/>
    <n v="81985577"/>
    <n v="37073031"/>
    <n v="26749861"/>
    <n v="145808469"/>
    <n v="372061531"/>
    <n v="70000000"/>
    <s v="EN EJECUCION"/>
  </r>
  <r>
    <n v="31"/>
    <s v="A"/>
    <x v="8"/>
    <x v="2"/>
    <s v="LOS MUERMOS"/>
    <x v="4"/>
    <s v="EJECUCION"/>
    <n v="30108787"/>
    <s v="30108787-EJECUCION"/>
    <m/>
    <s v="30108787"/>
    <s v="REPOSICION P.T.A.S. Y REDES AP Y ALCANT, CAÑITAS, LOS MUERMOS"/>
    <n v="1587610000"/>
    <n v="1405679649"/>
    <n v="19813500"/>
    <n v="0"/>
    <n v="0"/>
    <n v="0"/>
    <n v="0"/>
    <n v="14458500"/>
    <n v="4819500"/>
    <n v="19278000"/>
    <n v="535500"/>
    <n v="162116851"/>
    <s v="EN EJECUCION"/>
  </r>
  <r>
    <n v="31"/>
    <s v="A"/>
    <x v="9"/>
    <x v="2"/>
    <s v="LOS MUERMOS"/>
    <x v="2"/>
    <s v="EJECUCION"/>
    <n v="30071020"/>
    <s v="30071020-EJECUCION"/>
    <m/>
    <s v="30071020"/>
    <s v="CONSTRUCCION CANCHA SINTETICA ESTADIO CHILE DEPORTES"/>
    <n v="1286401095"/>
    <n v="1121478997"/>
    <n v="0"/>
    <n v="0"/>
    <n v="0"/>
    <n v="0"/>
    <n v="0"/>
    <n v="0"/>
    <n v="0"/>
    <n v="0"/>
    <n v="0"/>
    <n v="164922098"/>
    <s v="EN EJECUCION"/>
  </r>
  <r>
    <n v="31"/>
    <s v="P"/>
    <x v="5"/>
    <x v="2"/>
    <s v="LOS MUERMOS"/>
    <x v="2"/>
    <s v="EJECUCION"/>
    <n v="30464833"/>
    <s v="30464833-EJECUCION"/>
    <m/>
    <s v="30464833"/>
    <s v="CONSERVACION DE 20,2 KM. DE CAMINOS VECINALES C. DE LOS MUERMOS(C33)"/>
    <n v="547246000"/>
    <n v="0"/>
    <n v="137040846"/>
    <n v="0"/>
    <n v="0"/>
    <n v="0"/>
    <n v="0"/>
    <n v="0"/>
    <n v="137040846"/>
    <n v="137040846"/>
    <n v="0"/>
    <n v="410205154"/>
    <s v="EN EJECUCION"/>
  </r>
  <r>
    <n v="31"/>
    <s v="A"/>
    <x v="5"/>
    <x v="2"/>
    <s v="LOS MUERMOS"/>
    <x v="6"/>
    <s v="EJECUCION"/>
    <n v="30103323"/>
    <s v="30103323-EJECUCION"/>
    <m/>
    <s v="30103323"/>
    <s v="CONSTRUCCION CIERRE EX VERTEDERO MUNICIPAL LOS MUERMOS"/>
    <n v="207019710"/>
    <n v="99601553"/>
    <n v="36888657"/>
    <n v="0"/>
    <n v="0"/>
    <n v="0"/>
    <n v="0"/>
    <n v="0"/>
    <n v="0"/>
    <n v="0"/>
    <n v="36888657"/>
    <n v="70529500"/>
    <s v="EN EJECUCION"/>
  </r>
  <r>
    <m/>
    <m/>
    <x v="0"/>
    <x v="0"/>
    <m/>
    <x v="0"/>
    <m/>
    <m/>
    <m/>
    <m/>
    <m/>
    <s v="TOTAL DE INICIATIVAS EN EJECUCION"/>
    <n v="4217646805"/>
    <n v="2628260199"/>
    <n v="711613003"/>
    <n v="25410198"/>
    <n v="25833013"/>
    <n v="30742366"/>
    <n v="81985577"/>
    <n v="51531531"/>
    <n v="168610207"/>
    <n v="302127315"/>
    <n v="409485688"/>
    <n v="877773603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LICITACION/ADJUDICACION"/>
    <m/>
    <m/>
    <m/>
    <m/>
    <m/>
    <m/>
    <m/>
    <m/>
    <m/>
    <m/>
    <m/>
    <m/>
    <m/>
  </r>
  <r>
    <n v="29"/>
    <s v="N"/>
    <x v="2"/>
    <x v="2"/>
    <s v="LOS MUERMOS"/>
    <x v="2"/>
    <s v="EJECUCION"/>
    <n v="30482544"/>
    <s v="30482544-EJECUCION"/>
    <m/>
    <s v="30482544"/>
    <s v="REPOSICION EQUIPOS DE ILUMINACION ESPACIOS PUBLICOS, LOS MUERMOS(C33)"/>
    <n v="192302000"/>
    <n v="0"/>
    <n v="192302000"/>
    <n v="0"/>
    <n v="0"/>
    <n v="0"/>
    <n v="0"/>
    <n v="0"/>
    <n v="0"/>
    <n v="0"/>
    <n v="192302000"/>
    <n v="0"/>
    <s v="EN ADJUDICACION"/>
  </r>
  <r>
    <m/>
    <m/>
    <x v="0"/>
    <x v="0"/>
    <m/>
    <x v="0"/>
    <m/>
    <m/>
    <m/>
    <m/>
    <m/>
    <s v="TOTAL DE INICIATIVAS EN LICITACION/ADJUDICACION"/>
    <n v="192302000"/>
    <n v="0"/>
    <n v="192302000"/>
    <n v="0"/>
    <n v="0"/>
    <n v="0"/>
    <n v="0"/>
    <n v="0"/>
    <n v="0"/>
    <n v="0"/>
    <n v="192302000"/>
    <n v="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CONVENIO Y TRAMITE"/>
    <m/>
    <m/>
    <m/>
    <m/>
    <m/>
    <m/>
    <m/>
    <m/>
    <m/>
    <m/>
    <m/>
    <m/>
    <m/>
  </r>
  <r>
    <n v="29"/>
    <s v="N"/>
    <x v="5"/>
    <x v="2"/>
    <s v="LOS MUERMOS"/>
    <x v="2"/>
    <s v="EJECUCION"/>
    <n v="30427424"/>
    <s v="30427424-EJECUCION"/>
    <m/>
    <s v="30427424"/>
    <s v="REPOSICION CAMIONETAS MUNICIPALES, COMUNA LOS MUERMOS(C33)"/>
    <n v="65441000"/>
    <n v="0"/>
    <n v="52270986"/>
    <n v="0"/>
    <n v="0"/>
    <n v="0"/>
    <n v="0"/>
    <n v="0"/>
    <n v="0"/>
    <n v="0"/>
    <n v="52270986"/>
    <n v="13170014"/>
    <s v="CON CONVENIO"/>
  </r>
  <r>
    <n v="29"/>
    <s v="N"/>
    <x v="5"/>
    <x v="2"/>
    <s v="LOS MUERMOS"/>
    <x v="2"/>
    <s v="EJECUCION"/>
    <n v="30427472"/>
    <s v="30427472-EJECUCION"/>
    <m/>
    <s v="30427472"/>
    <s v="ADQUISICION DOS MINIBUSES PARA CCR LOS MUERMOS(C33)"/>
    <n v="123418000"/>
    <n v="0"/>
    <n v="117485000"/>
    <n v="0"/>
    <n v="0"/>
    <n v="0"/>
    <n v="0"/>
    <n v="0"/>
    <n v="0"/>
    <n v="0"/>
    <n v="117485000"/>
    <n v="5933000"/>
    <s v="CON CONVENIO"/>
  </r>
  <r>
    <n v="29"/>
    <s v="N"/>
    <x v="4"/>
    <x v="2"/>
    <s v="LOS MUERMOS"/>
    <x v="2"/>
    <s v="EJECUCION"/>
    <n v="30220122"/>
    <s v="30220122-EJECUCION"/>
    <m/>
    <s v="30220122"/>
    <s v="ADQUISICION MAQUINARIA PESADA, COMUNA DE LOS MUERMOS (C33)"/>
    <n v="377417000"/>
    <n v="0"/>
    <n v="377417000"/>
    <n v="0"/>
    <n v="0"/>
    <n v="0"/>
    <n v="0"/>
    <n v="0"/>
    <n v="0"/>
    <n v="0"/>
    <n v="377417000"/>
    <n v="0"/>
    <s v="TERMINADO"/>
  </r>
  <r>
    <n v="31"/>
    <s v="P"/>
    <x v="8"/>
    <x v="2"/>
    <s v="LOS MUERMOS"/>
    <x v="4"/>
    <s v="EJECUCION"/>
    <n v="30289473"/>
    <s v="30289473-EJECUCION"/>
    <m/>
    <s v="30289473"/>
    <s v="CONSTRUCCION SERVICIO APR LOS ALAMOS"/>
    <n v="730281000"/>
    <n v="0"/>
    <n v="98246101"/>
    <n v="0"/>
    <n v="0"/>
    <n v="0"/>
    <n v="0"/>
    <n v="0"/>
    <n v="0"/>
    <n v="0"/>
    <n v="98246101"/>
    <n v="632034899"/>
    <s v="TRAMITE CONVENIO"/>
  </r>
  <r>
    <n v="31"/>
    <s v="N"/>
    <x v="10"/>
    <x v="2"/>
    <s v="LOS MUERMOS"/>
    <x v="5"/>
    <s v="EJECUCION"/>
    <n v="40001034"/>
    <s v="40001034-EJECUCION"/>
    <m/>
    <s v="40001034"/>
    <s v="HABILITACION SUMINISTRO ENERGIA ELECTRICA RURAL, LA PALOMA"/>
    <n v="78830000"/>
    <n v="0"/>
    <n v="70628000"/>
    <n v="0"/>
    <n v="0"/>
    <n v="0"/>
    <n v="0"/>
    <n v="0"/>
    <n v="0"/>
    <n v="0"/>
    <n v="70628000"/>
    <n v="8202000"/>
    <s v="TRAMITE CONVENIO"/>
  </r>
  <r>
    <n v="31"/>
    <s v="N"/>
    <x v="10"/>
    <x v="2"/>
    <s v="LOS MUERMOS"/>
    <x v="5"/>
    <s v="EJECUCION"/>
    <n v="40001307"/>
    <s v="40001307-EJECUCION"/>
    <m/>
    <s v="40001307"/>
    <s v="HABILITACION SUMINISTRO DE ENERGIA ELECTRICA SECTOR PUTRAUTRAO"/>
    <n v="46982000"/>
    <n v="0"/>
    <n v="0"/>
    <n v="0"/>
    <n v="0"/>
    <n v="0"/>
    <n v="0"/>
    <n v="0"/>
    <n v="0"/>
    <n v="0"/>
    <n v="0"/>
    <n v="46982000"/>
    <s v="TRAMITE CONVENIO"/>
  </r>
  <r>
    <n v="31"/>
    <s v="P"/>
    <x v="8"/>
    <x v="2"/>
    <s v="LOS MUERMOS"/>
    <x v="4"/>
    <s v="DISEÑO"/>
    <n v="30465403"/>
    <s v="30465403-DISEÑO"/>
    <m/>
    <s v="30465403"/>
    <s v="CONSTRUCCION SERVICIO APR SECTOR CUESTA LA VACA, C LOS MUERMOS"/>
    <n v="30000000"/>
    <n v="0"/>
    <n v="3000000"/>
    <n v="0"/>
    <n v="0"/>
    <n v="0"/>
    <n v="0"/>
    <n v="0"/>
    <n v="0"/>
    <n v="0"/>
    <n v="3000000"/>
    <n v="27000000"/>
    <s v="TRAMITE CONVENIO"/>
  </r>
  <r>
    <m/>
    <m/>
    <x v="0"/>
    <x v="0"/>
    <m/>
    <x v="0"/>
    <m/>
    <m/>
    <m/>
    <m/>
    <m/>
    <s v="TOTAL DE INICIATIVAS EN CONVENIO Y TRAMITE"/>
    <n v="1452369000"/>
    <n v="0"/>
    <n v="719047087"/>
    <n v="0"/>
    <n v="0"/>
    <n v="0"/>
    <n v="0"/>
    <n v="0"/>
    <n v="0"/>
    <n v="0"/>
    <n v="719047087"/>
    <n v="733321913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SIN MOVIMIENTO"/>
    <m/>
    <m/>
    <m/>
    <m/>
    <m/>
    <m/>
    <m/>
    <m/>
    <m/>
    <m/>
    <m/>
    <m/>
    <m/>
  </r>
  <r>
    <n v="31"/>
    <s v="N"/>
    <x v="9"/>
    <x v="2"/>
    <s v="LOS MUERMOS"/>
    <x v="2"/>
    <s v="EJECUCION"/>
    <n v="30182972"/>
    <s v="30182972-EJECUCION"/>
    <m/>
    <s v="30182972"/>
    <s v="MEJORAMIENTO Y AMPLIACION GIMNASIO MUNICIPAL, COMUNA LOS MUERMOS"/>
    <n v="1575731000"/>
    <n v="0"/>
    <n v="24689814"/>
    <n v="0"/>
    <n v="0"/>
    <n v="0"/>
    <n v="0"/>
    <n v="0"/>
    <n v="0"/>
    <n v="0"/>
    <n v="24689814"/>
    <n v="1551041186"/>
    <s v="ARI"/>
  </r>
  <r>
    <n v="31"/>
    <s v="N"/>
    <x v="8"/>
    <x v="2"/>
    <s v="LOS MUERMOS"/>
    <x v="4"/>
    <s v="EJECUCION"/>
    <n v="30422722"/>
    <s v="30422722-EJECUCION"/>
    <m/>
    <s v="30422722"/>
    <s v="CONSTRUCCION SERVICIO APR SANTA AMANDA"/>
    <n v="432960000"/>
    <n v="0"/>
    <n v="9175000"/>
    <n v="0"/>
    <n v="0"/>
    <n v="0"/>
    <n v="0"/>
    <n v="0"/>
    <n v="0"/>
    <n v="0"/>
    <n v="9175000"/>
    <n v="423785000"/>
    <s v="ARI"/>
  </r>
  <r>
    <m/>
    <m/>
    <x v="0"/>
    <x v="0"/>
    <m/>
    <x v="0"/>
    <m/>
    <m/>
    <m/>
    <m/>
    <m/>
    <s v="TOTAL DE INICIATIVAS SIN MOVIMIENTO"/>
    <n v="2008691000"/>
    <n v="0"/>
    <n v="33864814"/>
    <n v="0"/>
    <n v="0"/>
    <n v="0"/>
    <n v="0"/>
    <n v="0"/>
    <n v="0"/>
    <n v="0"/>
    <n v="33864814"/>
    <n v="1974826186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TOTAL COMUNA DE  LOS MUERMOS"/>
    <n v="7871008805"/>
    <n v="2628260199"/>
    <n v="1656826904"/>
    <n v="25410198"/>
    <n v="25833013"/>
    <n v="30742366"/>
    <n v="81985577"/>
    <n v="51531531"/>
    <n v="168610207"/>
    <n v="302127315"/>
    <n v="1354699589"/>
    <n v="3585921702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COMUNA DE MAULLIN"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EJECUCION"/>
    <m/>
    <m/>
    <m/>
    <m/>
    <m/>
    <m/>
    <m/>
    <m/>
    <m/>
    <m/>
    <m/>
    <m/>
    <m/>
  </r>
  <r>
    <n v="31"/>
    <s v="A"/>
    <x v="4"/>
    <x v="2"/>
    <s v="MAULLIN"/>
    <x v="2"/>
    <s v="DISEÑO"/>
    <n v="30117895"/>
    <s v="30117895-DISEÑO"/>
    <m/>
    <s v="30117895"/>
    <s v="MEJORAMIENTO SIETE CALLES LOCALIDAD DE QUENUIR, COMUNA DE MAULLIN"/>
    <n v="19000000"/>
    <n v="6470000"/>
    <n v="12530000"/>
    <n v="0"/>
    <n v="0"/>
    <n v="0"/>
    <n v="0"/>
    <n v="0"/>
    <n v="0"/>
    <n v="0"/>
    <n v="12530000"/>
    <n v="0"/>
    <s v="EN EJECUCION"/>
  </r>
  <r>
    <n v="31"/>
    <s v="P"/>
    <x v="1"/>
    <x v="2"/>
    <s v="MAULLIN"/>
    <x v="2"/>
    <s v="EJECUCION"/>
    <n v="30134380"/>
    <s v="30134380-EJECUCION"/>
    <s v="30134380-FNDR"/>
    <s v="30134380"/>
    <s v="REPOSICION DE SALUD RURAL LA PASADA"/>
    <n v="363409000"/>
    <n v="344153769"/>
    <n v="11998789"/>
    <n v="11998789"/>
    <n v="0"/>
    <n v="0"/>
    <n v="11998789"/>
    <n v="0"/>
    <n v="0"/>
    <n v="11998789"/>
    <n v="0"/>
    <n v="7256442"/>
    <s v="EN EJECUCION"/>
  </r>
  <r>
    <m/>
    <m/>
    <x v="0"/>
    <x v="0"/>
    <m/>
    <x v="0"/>
    <m/>
    <m/>
    <m/>
    <m/>
    <m/>
    <s v="TOTAL DE INICIATIVAS EN EJECUCION"/>
    <n v="382409000"/>
    <n v="350623769"/>
    <n v="24528789"/>
    <n v="11998789"/>
    <n v="0"/>
    <n v="0"/>
    <n v="11998789"/>
    <n v="0"/>
    <n v="0"/>
    <n v="11998789"/>
    <n v="12530000"/>
    <n v="7256442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CONVENIO Y TRAMITE"/>
    <m/>
    <m/>
    <m/>
    <m/>
    <m/>
    <m/>
    <m/>
    <m/>
    <m/>
    <m/>
    <m/>
    <m/>
    <m/>
  </r>
  <r>
    <n v="31"/>
    <s v="N"/>
    <x v="4"/>
    <x v="2"/>
    <s v="MAULLIN"/>
    <x v="1"/>
    <s v="EJECUCION"/>
    <n v="30117891"/>
    <s v="30117891-EJECUCION"/>
    <m/>
    <s v="30117891"/>
    <s v="MEJORAMIENTO CINCO CALLES LOCALIDAD DE CARELMAPU"/>
    <n v="183854000"/>
    <n v="0"/>
    <n v="60000000"/>
    <n v="0"/>
    <n v="0"/>
    <n v="0"/>
    <n v="0"/>
    <n v="0"/>
    <n v="0"/>
    <n v="0"/>
    <n v="60000000"/>
    <n v="123854000"/>
    <s v="CON CONVENIO"/>
  </r>
  <r>
    <n v="29"/>
    <s v="N"/>
    <x v="5"/>
    <x v="2"/>
    <s v="MAULLIN"/>
    <x v="2"/>
    <s v="EJECUCION"/>
    <n v="30395773"/>
    <s v="30395773-EJECUCION"/>
    <m/>
    <s v="30395773"/>
    <s v="ADQUISICION 7 CAMIONETAS PARA LA MUNICIPALIDAD DE MAULLIN (C33)"/>
    <n v="137631000"/>
    <n v="0"/>
    <n v="0"/>
    <n v="0"/>
    <n v="0"/>
    <n v="0"/>
    <n v="0"/>
    <n v="0"/>
    <n v="0"/>
    <n v="0"/>
    <n v="0"/>
    <n v="137631000"/>
    <s v="CON CONVENIO"/>
  </r>
  <r>
    <n v="31"/>
    <s v="N"/>
    <x v="10"/>
    <x v="2"/>
    <s v="MAULLIN"/>
    <x v="5"/>
    <s v="EJECUCION"/>
    <n v="30476690"/>
    <s v="30476690-EJECUCION"/>
    <m/>
    <s v="30476690"/>
    <s v="HABILITACION SUMINISTRO ENERGIA ELECTRICA, TRES CUMBRES"/>
    <n v="346786000"/>
    <n v="0"/>
    <n v="346786000"/>
    <n v="0"/>
    <n v="0"/>
    <n v="0"/>
    <n v="0"/>
    <n v="0"/>
    <n v="0"/>
    <n v="0"/>
    <n v="346786000"/>
    <n v="0"/>
    <s v="TRAMITE CONVENIO"/>
  </r>
  <r>
    <n v="29"/>
    <s v="N"/>
    <x v="6"/>
    <x v="2"/>
    <s v="MAULLIN"/>
    <x v="2"/>
    <s v="EJECUCION"/>
    <n v="30426972"/>
    <s v="30426972-EJECUCION"/>
    <m/>
    <s v="30426972"/>
    <s v="EQUIPAMIENTO TECNOLOGICO PARA ESTABLECIMIENTO DE EDUCACION MEDIA (C33)"/>
    <n v="339981000"/>
    <n v="0"/>
    <n v="0"/>
    <n v="0"/>
    <n v="0"/>
    <n v="0"/>
    <n v="0"/>
    <n v="0"/>
    <n v="0"/>
    <n v="0"/>
    <n v="0"/>
    <n v="339981000"/>
    <s v="TRAMITE CONVENIO"/>
  </r>
  <r>
    <n v="31"/>
    <s v="P"/>
    <x v="6"/>
    <x v="2"/>
    <s v="MAULLIN"/>
    <x v="8"/>
    <s v="EJECUCION"/>
    <n v="30077481"/>
    <s v="30077481-EJECUCION"/>
    <m/>
    <s v="30077481"/>
    <s v="RESTAURACION IGLESIA N. SRA. DE LA CANDELARIA (MN), CARELMAPU"/>
    <n v="1829888000"/>
    <n v="0"/>
    <n v="187470000"/>
    <n v="0"/>
    <n v="0"/>
    <n v="0"/>
    <n v="0"/>
    <n v="0"/>
    <n v="0"/>
    <n v="0"/>
    <n v="187470000"/>
    <n v="1642418000"/>
    <s v="TRAMITE CONVENIO"/>
  </r>
  <r>
    <m/>
    <m/>
    <x v="0"/>
    <x v="0"/>
    <m/>
    <x v="0"/>
    <m/>
    <m/>
    <m/>
    <m/>
    <m/>
    <s v="TOTAL DE INICIATIVAS EN CONVENIO Y TRAMITE"/>
    <n v="2838140000"/>
    <n v="0"/>
    <n v="594256000"/>
    <n v="0"/>
    <n v="0"/>
    <n v="0"/>
    <n v="0"/>
    <n v="0"/>
    <n v="0"/>
    <n v="0"/>
    <n v="594256000"/>
    <n v="224388400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TERMINADAS"/>
    <m/>
    <m/>
    <m/>
    <m/>
    <m/>
    <m/>
    <m/>
    <m/>
    <m/>
    <m/>
    <m/>
    <m/>
    <m/>
  </r>
  <r>
    <n v="29"/>
    <s v="P"/>
    <x v="6"/>
    <x v="2"/>
    <s v="MAULLIN"/>
    <x v="2"/>
    <s v="EJECUCION"/>
    <n v="30427023"/>
    <s v="30427023-EJECUCION"/>
    <m/>
    <s v="30427023"/>
    <s v="EQUIPAMIENTO TECNOLOGICO PARA EDUCACION PREBASICA MAULLIN(C33)"/>
    <n v="499633783"/>
    <n v="0"/>
    <n v="499633783"/>
    <n v="0"/>
    <n v="0"/>
    <n v="499633783"/>
    <n v="499633783"/>
    <n v="0"/>
    <n v="0"/>
    <n v="499633783"/>
    <n v="0"/>
    <n v="0"/>
    <s v="TERMINADO"/>
  </r>
  <r>
    <m/>
    <m/>
    <x v="0"/>
    <x v="0"/>
    <m/>
    <x v="0"/>
    <m/>
    <m/>
    <m/>
    <m/>
    <m/>
    <s v="TOTAL DE INICIATIVAS TERMINADAS"/>
    <n v="499633783"/>
    <n v="0"/>
    <n v="499633783"/>
    <n v="0"/>
    <n v="0"/>
    <n v="499633783"/>
    <n v="499633783"/>
    <n v="0"/>
    <n v="0"/>
    <n v="499633783"/>
    <n v="0"/>
    <n v="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SIN MOVIMIENTO"/>
    <m/>
    <m/>
    <m/>
    <m/>
    <m/>
    <m/>
    <m/>
    <m/>
    <m/>
    <m/>
    <m/>
    <m/>
    <m/>
  </r>
  <r>
    <n v="29"/>
    <s v="P"/>
    <x v="12"/>
    <x v="2"/>
    <s v="MAULLIN"/>
    <x v="2"/>
    <s v="EJECUCION"/>
    <n v="30482327"/>
    <s v="30482327-EJECUCION"/>
    <m/>
    <s v="30482327"/>
    <s v="EQUIPAMIENTO PARA SISTEMA TERRITORIAL DE VIGILANCIA Y RESGUARDO DE LAS AREAS DE MANEJO DE LA(C33)"/>
    <n v="220000000"/>
    <n v="0"/>
    <n v="220000000"/>
    <n v="0"/>
    <n v="0"/>
    <n v="0"/>
    <n v="0"/>
    <n v="0"/>
    <n v="0"/>
    <n v="0"/>
    <n v="220000000"/>
    <n v="0"/>
    <s v="APROBADO CORE"/>
  </r>
  <r>
    <n v="31"/>
    <s v="N"/>
    <x v="5"/>
    <x v="2"/>
    <s v="MAULLIN"/>
    <x v="2"/>
    <s v="EJECUCION"/>
    <n v="30399945"/>
    <s v="30399945-EJECUCION"/>
    <m/>
    <s v="30399945"/>
    <s v="CONSTRUCCION CENTRO COMUNITARIO QUENUIR, COMUNA DE MAULLIN"/>
    <n v="978513000"/>
    <n v="0"/>
    <n v="30000000"/>
    <n v="0"/>
    <n v="0"/>
    <n v="0"/>
    <n v="0"/>
    <n v="0"/>
    <n v="0"/>
    <n v="0"/>
    <n v="30000000"/>
    <n v="948513000"/>
    <s v="ARI"/>
  </r>
  <r>
    <n v="31"/>
    <s v="N"/>
    <x v="6"/>
    <x v="2"/>
    <s v="MAULLIN"/>
    <x v="2"/>
    <s v="DISEÑO"/>
    <n v="30396077"/>
    <s v="30396077-DISEÑO"/>
    <m/>
    <s v="30396077"/>
    <s v="CONSTRUCCION BIBLIOTECA MUNICIPAL, COMUNA DE MAULLIN"/>
    <n v="21934000"/>
    <n v="0"/>
    <n v="5002217"/>
    <n v="0"/>
    <n v="0"/>
    <n v="0"/>
    <n v="0"/>
    <n v="0"/>
    <n v="0"/>
    <n v="0"/>
    <n v="5002217"/>
    <n v="16931783"/>
    <s v="ARI"/>
  </r>
  <r>
    <m/>
    <m/>
    <x v="0"/>
    <x v="0"/>
    <m/>
    <x v="0"/>
    <m/>
    <m/>
    <m/>
    <m/>
    <m/>
    <s v="TOTAL DE INICIATIVAS SIN MOVIMIENTO"/>
    <n v="1220447000"/>
    <n v="0"/>
    <n v="255002217"/>
    <n v="0"/>
    <n v="0"/>
    <n v="0"/>
    <n v="0"/>
    <n v="0"/>
    <n v="0"/>
    <n v="0"/>
    <n v="255002217"/>
    <n v="965444783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TOTAL COMUNA DE  MAULLIN"/>
    <n v="4940629783"/>
    <n v="350623769"/>
    <n v="1373420789"/>
    <n v="11998789"/>
    <n v="0"/>
    <n v="499633783"/>
    <n v="511632572"/>
    <n v="0"/>
    <n v="0"/>
    <n v="511632572"/>
    <n v="861788217"/>
    <n v="3216585225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COMUNA DE PUERTO VARAS"/>
    <m/>
    <m/>
    <m/>
    <m/>
    <m/>
    <m/>
    <m/>
    <m/>
    <m/>
    <m/>
    <m/>
    <m/>
    <m/>
  </r>
  <r>
    <m/>
    <m/>
    <x v="0"/>
    <x v="0"/>
    <m/>
    <x v="0"/>
    <m/>
    <m/>
    <m/>
    <m/>
    <m/>
    <s v="INICIATIVAS EN EJECUCION"/>
    <m/>
    <m/>
    <m/>
    <m/>
    <m/>
    <m/>
    <m/>
    <m/>
    <m/>
    <m/>
    <m/>
    <m/>
    <m/>
  </r>
  <r>
    <n v="31"/>
    <s v="A"/>
    <x v="9"/>
    <x v="2"/>
    <s v="P.VARAS"/>
    <x v="1"/>
    <s v="EJECUCION"/>
    <n v="30064230"/>
    <s v="30064230-EJECUCION"/>
    <m/>
    <s v="30064230"/>
    <s v="REPOSICION ESTADIO EWALDO KLEIN DE PUERTO VARAS"/>
    <n v="2741174000"/>
    <n v="66844620"/>
    <n v="1204289536"/>
    <n v="1650000"/>
    <n v="0"/>
    <n v="0"/>
    <n v="1650000"/>
    <n v="0"/>
    <n v="0"/>
    <n v="1650000"/>
    <n v="1202639536"/>
    <n v="1470039844"/>
    <s v="EN EJECUCION"/>
  </r>
  <r>
    <n v="31"/>
    <s v="A"/>
    <x v="1"/>
    <x v="2"/>
    <s v="P.VARAS"/>
    <x v="2"/>
    <s v="EJECUCION"/>
    <n v="30063734"/>
    <s v="30063734-EJECUCION"/>
    <m/>
    <s v="30063734"/>
    <s v="NORMALIZACION CESFAM PUERTO VARAS"/>
    <n v="4391201000"/>
    <n v="4216256148"/>
    <n v="43413551"/>
    <n v="0"/>
    <n v="0"/>
    <n v="0"/>
    <n v="0"/>
    <n v="0"/>
    <n v="0"/>
    <n v="0"/>
    <n v="43413551"/>
    <n v="131531301"/>
    <s v="EN EJECUCION"/>
  </r>
  <r>
    <n v="31"/>
    <s v="A"/>
    <x v="2"/>
    <x v="2"/>
    <s v="P.VARAS"/>
    <x v="2"/>
    <s v="DISEÑO"/>
    <n v="30204522"/>
    <s v="30204522-DISEÑO"/>
    <m/>
    <s v="30204522"/>
    <s v="REPOSICION CUARTEL SEXTA COMPAÑIA DE BOMBEROS PUERTO VARAS"/>
    <n v="37001001"/>
    <n v="21008145"/>
    <n v="15992856"/>
    <n v="0"/>
    <n v="0"/>
    <n v="11908270"/>
    <n v="11908270"/>
    <n v="0"/>
    <n v="0"/>
    <n v="11908270"/>
    <n v="4084586"/>
    <n v="0"/>
    <s v="EN EJECUCION"/>
  </r>
  <r>
    <n v="29"/>
    <s v="N"/>
    <x v="5"/>
    <x v="2"/>
    <s v="P.VARAS"/>
    <x v="2"/>
    <s v="EJECUCION"/>
    <n v="40000419"/>
    <s v="40000419-EJECUCION"/>
    <m/>
    <s v="40000419"/>
    <s v="REPOSICION DE VEHICULOS MUNICPALES"/>
    <n v="232610000"/>
    <n v="0"/>
    <n v="232610000"/>
    <n v="0"/>
    <n v="0"/>
    <n v="0"/>
    <n v="0"/>
    <n v="0"/>
    <n v="0"/>
    <n v="0"/>
    <n v="232610000"/>
    <n v="0"/>
    <s v="TERMINADO"/>
  </r>
  <r>
    <n v="31"/>
    <s v="A"/>
    <x v="6"/>
    <x v="2"/>
    <s v="P.VARAS"/>
    <x v="3"/>
    <s v="EJECUCION"/>
    <n v="30066636"/>
    <s v="30066636-EJECUCION"/>
    <m/>
    <s v="30066636"/>
    <s v="REPOSICION ESCUELA EPSON ENSENADA"/>
    <n v="2161821134"/>
    <n v="1693260845"/>
    <n v="454559935"/>
    <n v="0"/>
    <n v="0"/>
    <n v="0"/>
    <n v="0"/>
    <n v="0"/>
    <n v="0"/>
    <n v="0"/>
    <n v="454559935"/>
    <n v="14000354"/>
    <s v="EN EJECUCION"/>
  </r>
  <r>
    <m/>
    <m/>
    <x v="0"/>
    <x v="0"/>
    <m/>
    <x v="0"/>
    <m/>
    <m/>
    <m/>
    <m/>
    <m/>
    <s v="TOTAL DE INICIATIVAS EN EJECUCION"/>
    <n v="9563807135"/>
    <n v="5997369758"/>
    <n v="1950865878"/>
    <n v="1650000"/>
    <n v="0"/>
    <n v="11908270"/>
    <n v="13558270"/>
    <n v="0"/>
    <n v="0"/>
    <n v="13558270"/>
    <n v="1937307608"/>
    <n v="1615571499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TERMINADAS"/>
    <m/>
    <m/>
    <m/>
    <m/>
    <m/>
    <m/>
    <m/>
    <m/>
    <m/>
    <m/>
    <m/>
    <m/>
    <m/>
  </r>
  <r>
    <n v="31"/>
    <s v="A"/>
    <x v="3"/>
    <x v="2"/>
    <s v="P.VARAS"/>
    <x v="2"/>
    <s v="EJECUCION"/>
    <n v="30136720"/>
    <s v="30136720-EJECUCION"/>
    <m/>
    <s v="30136720"/>
    <s v="RESTAURACION FACHADAS ZONAS TIPICAS P. VARAS"/>
    <n v="44893010"/>
    <n v="41002546"/>
    <n v="3890464"/>
    <n v="0"/>
    <n v="3890464"/>
    <n v="0"/>
    <n v="3890464"/>
    <n v="0"/>
    <n v="0"/>
    <n v="3890464"/>
    <n v="0"/>
    <n v="0"/>
    <s v="TERMINADO"/>
  </r>
  <r>
    <m/>
    <m/>
    <x v="0"/>
    <x v="0"/>
    <m/>
    <x v="0"/>
    <m/>
    <m/>
    <m/>
    <m/>
    <m/>
    <s v="TOTAL DE INICIATIVAS TERMINADAS"/>
    <n v="44893010"/>
    <n v="41002546"/>
    <n v="3890464"/>
    <n v="0"/>
    <n v="3890464"/>
    <n v="0"/>
    <n v="3890464"/>
    <n v="0"/>
    <n v="0"/>
    <n v="3890464"/>
    <n v="0"/>
    <n v="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LICITACION/ADJUDICACION"/>
    <m/>
    <m/>
    <m/>
    <m/>
    <m/>
    <m/>
    <m/>
    <m/>
    <m/>
    <m/>
    <m/>
    <m/>
    <m/>
  </r>
  <r>
    <n v="29"/>
    <s v="P"/>
    <x v="1"/>
    <x v="2"/>
    <s v="P.VARAS"/>
    <x v="2"/>
    <s v="EJECUCION"/>
    <n v="30361582"/>
    <s v="30361582-EJECUCION"/>
    <m/>
    <s v="30361582"/>
    <s v="ADQUISICION DE CLINICA VETERINARIA MOVIL  P. VARAS(C33)"/>
    <n v="61990000"/>
    <n v="0"/>
    <n v="61990000"/>
    <n v="0"/>
    <n v="0"/>
    <n v="0"/>
    <n v="0"/>
    <n v="0"/>
    <n v="0"/>
    <n v="0"/>
    <n v="61990000"/>
    <n v="0"/>
    <s v="TERMINADO"/>
  </r>
  <r>
    <m/>
    <m/>
    <x v="0"/>
    <x v="0"/>
    <m/>
    <x v="0"/>
    <m/>
    <m/>
    <m/>
    <m/>
    <m/>
    <s v="TOTAL DE INICIATIVAS EN LICITACION/ADJUDICACION"/>
    <n v="61990000"/>
    <n v="0"/>
    <n v="61990000"/>
    <n v="0"/>
    <n v="0"/>
    <n v="0"/>
    <n v="0"/>
    <n v="0"/>
    <n v="0"/>
    <n v="0"/>
    <n v="61990000"/>
    <n v="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CONVENIO Y TRAMITE"/>
    <m/>
    <m/>
    <m/>
    <m/>
    <m/>
    <m/>
    <m/>
    <m/>
    <m/>
    <m/>
    <m/>
    <m/>
    <m/>
  </r>
  <r>
    <n v="31"/>
    <s v="P"/>
    <x v="2"/>
    <x v="2"/>
    <s v="P.VARAS"/>
    <x v="2"/>
    <s v="EJECUCION"/>
    <n v="30077182"/>
    <s v="30077182-EJECUCION"/>
    <m/>
    <s v="30077182"/>
    <s v="REPOSICION CUARTEL INVESTIGACIONES PUERTO VARAS"/>
    <n v="2304945000"/>
    <n v="9000000"/>
    <n v="300000000"/>
    <n v="0"/>
    <n v="0"/>
    <n v="0"/>
    <n v="0"/>
    <n v="0"/>
    <n v="0"/>
    <n v="0"/>
    <n v="300000000"/>
    <n v="1995945000"/>
    <s v="CON CONVENIO"/>
  </r>
  <r>
    <n v="29"/>
    <s v="N"/>
    <x v="6"/>
    <x v="2"/>
    <s v="P.VARAS"/>
    <x v="2"/>
    <s v="EJECUCION"/>
    <n v="30436694"/>
    <s v="30436694-EJECUCION"/>
    <m/>
    <s v="30436694"/>
    <s v="ADQUISICION EQUIPAMIENTO ESTABLECIMIENTOS EDUCACIONALES, PTO VARAS(C33)"/>
    <n v="485981000"/>
    <n v="0"/>
    <n v="485981000"/>
    <n v="0"/>
    <n v="0"/>
    <n v="0"/>
    <n v="0"/>
    <n v="0"/>
    <n v="0"/>
    <n v="0"/>
    <n v="485981000"/>
    <n v="0"/>
    <s v="CON CONVENIO"/>
  </r>
  <r>
    <n v="31"/>
    <s v="N"/>
    <x v="10"/>
    <x v="2"/>
    <s v="P.VARAS"/>
    <x v="5"/>
    <s v="EJECUCION"/>
    <n v="30481026"/>
    <s v="30481026-EJECUCION"/>
    <m/>
    <s v="30481026"/>
    <s v="HABILITACION SUMINISTRO ENERGIA ELECTRICA, SECTOR LOS RISCOS"/>
    <n v="240538000"/>
    <n v="0"/>
    <n v="240538000"/>
    <n v="0"/>
    <n v="0"/>
    <n v="0"/>
    <n v="0"/>
    <n v="0"/>
    <n v="0"/>
    <n v="0"/>
    <n v="240538000"/>
    <n v="0"/>
    <s v="TRAMITE CONVENIO"/>
  </r>
  <r>
    <m/>
    <m/>
    <x v="0"/>
    <x v="0"/>
    <m/>
    <x v="0"/>
    <m/>
    <m/>
    <m/>
    <m/>
    <m/>
    <s v="TOTAL DE INICIATIVAS EN CONVENIO Y TRAMITE"/>
    <n v="3031464000"/>
    <n v="9000000"/>
    <n v="1026519000"/>
    <n v="0"/>
    <n v="0"/>
    <n v="0"/>
    <n v="0"/>
    <n v="0"/>
    <n v="0"/>
    <n v="0"/>
    <n v="1026519000"/>
    <n v="199594500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SIN MOVIMIENTO"/>
    <m/>
    <m/>
    <m/>
    <m/>
    <m/>
    <m/>
    <m/>
    <m/>
    <m/>
    <m/>
    <m/>
    <m/>
    <m/>
  </r>
  <r>
    <n v="29"/>
    <s v="P"/>
    <x v="5"/>
    <x v="2"/>
    <s v="P.VARAS"/>
    <x v="2"/>
    <s v="EJECUCION"/>
    <n v="30465984"/>
    <s v="30465984-EJECUCION"/>
    <m/>
    <s v="30465984"/>
    <s v="ADQUISICION CEMENTERIO PARQUE   LAS ROSAS(C33)"/>
    <n v="1655606000"/>
    <n v="0"/>
    <n v="827803000"/>
    <n v="0"/>
    <n v="0"/>
    <n v="0"/>
    <n v="0"/>
    <n v="0"/>
    <n v="0"/>
    <n v="0"/>
    <n v="827803000"/>
    <n v="827803000"/>
    <s v="APROBADO CORE"/>
  </r>
  <r>
    <n v="29"/>
    <s v="N"/>
    <x v="2"/>
    <x v="2"/>
    <s v="P.VARAS"/>
    <x v="2"/>
    <s v="EJECUCION"/>
    <n v="30396974"/>
    <s v="30396974-EJECUCION"/>
    <m/>
    <s v="30396974"/>
    <s v="REPOSICION LUMINARIAS LED ALUMBRADO PUBLICO, PUERTO VARAS(C33)"/>
    <n v="2262086000"/>
    <n v="0"/>
    <n v="10000000"/>
    <n v="0"/>
    <n v="0"/>
    <n v="0"/>
    <n v="0"/>
    <n v="0"/>
    <n v="0"/>
    <n v="0"/>
    <n v="10000000"/>
    <n v="2252086000"/>
    <s v="ARI"/>
  </r>
  <r>
    <n v="31"/>
    <s v="N"/>
    <x v="8"/>
    <x v="2"/>
    <s v="P.VARAS"/>
    <x v="10"/>
    <s v="EJECUCION"/>
    <n v="30125885"/>
    <s v="30125885-EJECUCION"/>
    <m/>
    <s v="30125885"/>
    <s v="CONSTRUCCION SERVICIO APR TERMAS DE RALUN, PUERTO VARAS"/>
    <n v="501299000"/>
    <n v="0"/>
    <n v="10000000"/>
    <n v="0"/>
    <n v="0"/>
    <n v="0"/>
    <n v="0"/>
    <n v="0"/>
    <n v="0"/>
    <n v="0"/>
    <n v="10000000"/>
    <n v="491299000"/>
    <s v="ARI"/>
  </r>
  <r>
    <n v="31"/>
    <s v="N"/>
    <x v="6"/>
    <x v="2"/>
    <s v="P.VARAS"/>
    <x v="8"/>
    <s v="EJECUCION"/>
    <n v="30094848"/>
    <s v="30094848-EJECUCION"/>
    <m/>
    <s v="30094848"/>
    <s v="MEJORAMIENTO IGLESIA SAGRADO CORAZON DE JESUS, PUERTO VARAS"/>
    <n v="974259000"/>
    <n v="0"/>
    <n v="48712950"/>
    <n v="0"/>
    <n v="0"/>
    <n v="0"/>
    <n v="0"/>
    <n v="0"/>
    <n v="0"/>
    <n v="0"/>
    <n v="48712950"/>
    <n v="925546050"/>
    <s v="ARI"/>
  </r>
  <r>
    <n v="31"/>
    <s v="N"/>
    <x v="2"/>
    <x v="2"/>
    <s v="P.VARAS"/>
    <x v="2"/>
    <s v="DISEÑO"/>
    <n v="30406324"/>
    <s v="30406324-DISEÑO"/>
    <m/>
    <s v="30406324"/>
    <s v="REPOSICION CUARTEL SEGUNDA COMPAÑIA DE BOMBEROS, PUERTO VARAS"/>
    <n v="40578000"/>
    <n v="0"/>
    <n v="4057800"/>
    <n v="0"/>
    <n v="0"/>
    <n v="0"/>
    <n v="0"/>
    <n v="0"/>
    <n v="0"/>
    <n v="0"/>
    <n v="4057800"/>
    <n v="36520200"/>
    <s v="ARI"/>
  </r>
  <r>
    <n v="31"/>
    <s v="N"/>
    <x v="3"/>
    <x v="2"/>
    <s v="P.VARAS"/>
    <x v="2"/>
    <s v="EJECUCION"/>
    <n v="30485313"/>
    <s v="30485313-EJECUCION"/>
    <m/>
    <s v="30485313"/>
    <s v="CONSERVACION PLAZA DE ARMAS Y SU ENTORNO, PUERTO VARAS(C33)"/>
    <n v="481258000"/>
    <n v="0"/>
    <n v="25000000"/>
    <n v="0"/>
    <n v="0"/>
    <n v="0"/>
    <n v="0"/>
    <n v="0"/>
    <n v="0"/>
    <n v="0"/>
    <n v="25000000"/>
    <n v="456258000"/>
    <s v="ARI"/>
  </r>
  <r>
    <n v="31"/>
    <s v="N"/>
    <x v="3"/>
    <x v="2"/>
    <s v="P.VARAS"/>
    <x v="2"/>
    <s v="EJECUCION"/>
    <n v="30485342"/>
    <s v="30485342-EJECUCION"/>
    <m/>
    <s v="30485342"/>
    <s v="CONSERVACION ACERAS SECTOR CENTRO DE PUERTO VARAS(C33)"/>
    <n v="500000000"/>
    <n v="0"/>
    <n v="25000000"/>
    <n v="0"/>
    <n v="0"/>
    <n v="0"/>
    <n v="0"/>
    <n v="0"/>
    <n v="0"/>
    <n v="0"/>
    <n v="25000000"/>
    <n v="475000000"/>
    <s v="ARI"/>
  </r>
  <r>
    <n v="31"/>
    <s v="N"/>
    <x v="4"/>
    <x v="2"/>
    <s v="P.VARAS"/>
    <x v="1"/>
    <s v="EJECUCION"/>
    <n v="30436172"/>
    <s v="30436172-EJECUCION"/>
    <m/>
    <s v="30436172"/>
    <s v="NORMALIZACION DE SEMAFOROS CIUDAD DE PUERTO VARAS"/>
    <n v="1200000000"/>
    <n v="0"/>
    <n v="0"/>
    <n v="0"/>
    <n v="0"/>
    <n v="0"/>
    <n v="0"/>
    <n v="0"/>
    <n v="0"/>
    <n v="0"/>
    <n v="0"/>
    <n v="1200000000"/>
    <s v="SOLICITUD TRANSPORTE"/>
  </r>
  <r>
    <n v="31"/>
    <s v="N"/>
    <x v="6"/>
    <x v="2"/>
    <s v="P.VARAS"/>
    <x v="8"/>
    <s v="EJECUCION"/>
    <n v="30105246"/>
    <s v="30105246-EJECUCION"/>
    <m/>
    <s v="30105246"/>
    <s v="RESTAURACION IGLESIA LUTERANA COMUNA DE PUERTO VARAS"/>
    <n v="164507000"/>
    <n v="0"/>
    <n v="8225350"/>
    <n v="0"/>
    <n v="0"/>
    <n v="0"/>
    <n v="0"/>
    <n v="0"/>
    <n v="0"/>
    <n v="0"/>
    <n v="8225350"/>
    <n v="156281650"/>
    <s v="SOLICITUD"/>
  </r>
  <r>
    <m/>
    <m/>
    <x v="0"/>
    <x v="0"/>
    <m/>
    <x v="0"/>
    <m/>
    <m/>
    <m/>
    <m/>
    <m/>
    <s v="TOTAL DE INICIATIVAS SIN MOVIMIENTO"/>
    <n v="7779593000"/>
    <n v="0"/>
    <n v="958799100"/>
    <n v="0"/>
    <n v="0"/>
    <n v="0"/>
    <n v="0"/>
    <n v="0"/>
    <n v="0"/>
    <n v="0"/>
    <n v="958799100"/>
    <n v="682079390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TOTAL COMUNA DE  P.VARAS"/>
    <n v="20481747145"/>
    <n v="6047372304"/>
    <n v="4002064442"/>
    <n v="1650000"/>
    <n v="3890464"/>
    <n v="11908270"/>
    <n v="17448734"/>
    <n v="0"/>
    <n v="0"/>
    <n v="17448734"/>
    <n v="3984615708"/>
    <n v="10432310399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PROVINCIALES"/>
    <m/>
    <m/>
    <m/>
    <m/>
    <m/>
    <m/>
    <m/>
    <m/>
    <m/>
    <m/>
    <m/>
    <m/>
    <m/>
  </r>
  <r>
    <m/>
    <m/>
    <x v="0"/>
    <x v="0"/>
    <m/>
    <x v="0"/>
    <m/>
    <m/>
    <m/>
    <m/>
    <m/>
    <s v="INICIATIVAS EN EJECUCION"/>
    <m/>
    <m/>
    <m/>
    <m/>
    <m/>
    <m/>
    <m/>
    <m/>
    <m/>
    <m/>
    <m/>
    <m/>
    <m/>
  </r>
  <r>
    <n v="31"/>
    <s v="A"/>
    <x v="1"/>
    <x v="2"/>
    <s v="PROV.LLANQUIHUE"/>
    <x v="2"/>
    <s v="EJECUCION"/>
    <n v="30125798"/>
    <s v="30125798-EJECUCION"/>
    <m/>
    <s v="30125798"/>
    <s v="MEJORAMIENTO INFRAESTRUCTURA HOSPITAL LLANQUIHUE"/>
    <n v="573500851"/>
    <n v="304082848"/>
    <n v="269418003"/>
    <n v="0"/>
    <n v="0"/>
    <n v="0"/>
    <n v="0"/>
    <n v="0"/>
    <n v="0"/>
    <n v="0"/>
    <n v="269418003"/>
    <n v="0"/>
    <s v="EN EJECUCION"/>
  </r>
  <r>
    <n v="31"/>
    <s v="A"/>
    <x v="1"/>
    <x v="2"/>
    <s v="PROV.LLANQUIHUE"/>
    <x v="1"/>
    <s v="EJECUCION"/>
    <n v="30154323"/>
    <s v="30154323-EJECUCION"/>
    <m/>
    <s v="30154323"/>
    <s v="CONSTRUCCION COMUNIDAD TERAPEUTICA DROGODEPENDIENTES PROVINCIA DE LLANQUIHUE"/>
    <n v="1210122000"/>
    <n v="1075336054"/>
    <n v="134785946"/>
    <n v="0"/>
    <n v="0"/>
    <n v="10944340"/>
    <n v="10944340"/>
    <n v="0"/>
    <n v="0"/>
    <n v="10944340"/>
    <n v="123841606"/>
    <n v="0"/>
    <s v="EN EJECUCION"/>
  </r>
  <r>
    <n v="33"/>
    <s v="P"/>
    <x v="5"/>
    <x v="2"/>
    <s v="PROV.LLANQUIHUE"/>
    <x v="7"/>
    <s v="EJECUCION"/>
    <s v="S/C"/>
    <s v="S/C-EJECUCION"/>
    <m/>
    <s v="S/C"/>
    <s v="FONDO  REGIONAL DE INICIATIVA LOCAL"/>
    <n v="1628040595"/>
    <n v="0"/>
    <n v="1628040595"/>
    <n v="51208498"/>
    <n v="398617773"/>
    <n v="283987850"/>
    <n v="733814121"/>
    <n v="312041894"/>
    <n v="241370945"/>
    <n v="1287226960"/>
    <n v="340813635"/>
    <n v="0"/>
    <s v="EN EJECUCION"/>
  </r>
  <r>
    <n v="31"/>
    <s v="A"/>
    <x v="5"/>
    <x v="2"/>
    <s v="PROV.LLANQUIHUE"/>
    <x v="2"/>
    <s v="EJECUCION"/>
    <n v="30137333"/>
    <s v="30137333-EJECUCION"/>
    <m/>
    <s v="30137333"/>
    <s v="CONSERVACION EDIFICIO GOBERNACION PROVINCIAL (C33)"/>
    <n v="624878418"/>
    <n v="10064000"/>
    <n v="406578500"/>
    <n v="0"/>
    <n v="0"/>
    <n v="0"/>
    <n v="0"/>
    <n v="0"/>
    <n v="47724142"/>
    <n v="47724142"/>
    <n v="358854358"/>
    <n v="208235918"/>
    <s v="EN EJECUCION"/>
  </r>
  <r>
    <n v="24"/>
    <s v="P"/>
    <x v="11"/>
    <x v="2"/>
    <s v="PROV.LLANQUIHUE"/>
    <x v="5"/>
    <s v="EJECUCION"/>
    <n v="30133915"/>
    <s v="30133915-EJECUCION"/>
    <m/>
    <s v="30133915"/>
    <s v="SUBSIDIO A LA OPERACION SISTEMA DE AUTOGENERACION ISLA QUENU Y TABON"/>
    <n v="200000000"/>
    <n v="0"/>
    <n v="56361061"/>
    <n v="0"/>
    <n v="0"/>
    <n v="28209514"/>
    <n v="28209514"/>
    <n v="28151547"/>
    <n v="0"/>
    <n v="56361061"/>
    <n v="0"/>
    <n v="143638939"/>
    <s v="EN EJECUCION"/>
  </r>
  <r>
    <n v="31"/>
    <s v="A"/>
    <x v="4"/>
    <x v="2"/>
    <s v="PROV.LLANQUIHUE"/>
    <x v="1"/>
    <s v="EJECUCION"/>
    <n v="30133755"/>
    <s v="30133755-EJECUCION"/>
    <m/>
    <s v="30133755"/>
    <s v="CONSERVACION RED VIAL DE VARIOS CAMINOS PAVIMENTADOS AÑO 2013 (C33)"/>
    <n v="8508500000"/>
    <n v="3998661000"/>
    <n v="652356200"/>
    <n v="0"/>
    <n v="0"/>
    <n v="0"/>
    <n v="0"/>
    <n v="0"/>
    <n v="0"/>
    <n v="0"/>
    <n v="652356200"/>
    <n v="3857482800"/>
    <s v="EN EJECUCION"/>
  </r>
  <r>
    <n v="31"/>
    <s v="A"/>
    <x v="4"/>
    <x v="2"/>
    <s v="PROV.LLANQUIHUE"/>
    <x v="1"/>
    <s v="EJECUCION"/>
    <s v="20144598-3"/>
    <s v="20144598-3-EJECUCION"/>
    <m/>
    <s v="20144598-3"/>
    <s v="CONVENIO PUENTES CAMANCHACA, SIN NOMBRE Y LA PERA"/>
    <n v="629394552"/>
    <n v="242799871"/>
    <n v="386594681"/>
    <n v="0"/>
    <n v="74620129"/>
    <n v="95920543"/>
    <n v="170540672"/>
    <n v="126054009"/>
    <n v="45613460"/>
    <n v="342208141"/>
    <n v="44386540"/>
    <n v="0"/>
    <s v="EN REEVALUACION"/>
  </r>
  <r>
    <m/>
    <m/>
    <x v="0"/>
    <x v="0"/>
    <m/>
    <x v="0"/>
    <m/>
    <m/>
    <m/>
    <m/>
    <m/>
    <s v="TOTAL DE INICIATIVAS EN EJECUCION"/>
    <n v="13374436416"/>
    <n v="5630943773"/>
    <n v="3534134986"/>
    <n v="51208498"/>
    <n v="473237902"/>
    <n v="419062247"/>
    <n v="943508647"/>
    <n v="466247450"/>
    <n v="334708547"/>
    <n v="1744464644"/>
    <n v="1789670342"/>
    <n v="4209357657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CONVENIO Y TRAMITE"/>
    <m/>
    <m/>
    <m/>
    <m/>
    <m/>
    <m/>
    <m/>
    <m/>
    <m/>
    <m/>
    <m/>
    <m/>
    <m/>
  </r>
  <r>
    <n v="31"/>
    <s v="P"/>
    <x v="4"/>
    <x v="2"/>
    <s v="PROV.LLANQUIHUE"/>
    <x v="1"/>
    <s v="EJECUCION"/>
    <n v="30396578"/>
    <s v="30396578-EJECUCION"/>
    <m/>
    <s v="30396578"/>
    <s v="CONSERVACION VIAL PUNTOS CONGESTIONADOS (C33)"/>
    <n v="1965875000"/>
    <n v="0"/>
    <n v="746243726"/>
    <n v="0"/>
    <n v="0"/>
    <n v="0"/>
    <n v="0"/>
    <n v="0"/>
    <n v="0"/>
    <n v="0"/>
    <n v="746243726"/>
    <n v="1219631274"/>
    <s v="CON CONVENIO"/>
  </r>
  <r>
    <n v="29"/>
    <s v="P"/>
    <x v="2"/>
    <x v="2"/>
    <s v="PROV.LLANQUIHUE"/>
    <x v="2"/>
    <s v="EJECUCION"/>
    <n v="30488884"/>
    <s v="30488884-EJECUCION"/>
    <m/>
    <s v="30488884"/>
    <s v="REPOSICION VEHICULOS PDI PROVINCIA DE LLANQUIHUE (C33)"/>
    <n v="249188000"/>
    <n v="0"/>
    <n v="249188000"/>
    <n v="0"/>
    <n v="0"/>
    <n v="0"/>
    <n v="0"/>
    <n v="0"/>
    <n v="0"/>
    <n v="0"/>
    <n v="249188000"/>
    <n v="0"/>
    <s v="CON CONVENIO"/>
  </r>
  <r>
    <n v="24"/>
    <s v="P"/>
    <x v="6"/>
    <x v="2"/>
    <s v="PROV.LLANQUIHUE"/>
    <x v="2"/>
    <s v="EJECUCION"/>
    <s v="SUBT 24"/>
    <s v="SUBT 24-EJECUCION"/>
    <m/>
    <s v="SUBT 24"/>
    <s v="ACTIVIDADES CULTURALES"/>
    <n v="418628558"/>
    <n v="0"/>
    <n v="418628558.37150991"/>
    <n v="0"/>
    <n v="0"/>
    <n v="0"/>
    <n v="0"/>
    <n v="1317274"/>
    <n v="0"/>
    <n v="1317274"/>
    <n v="417311284.37150991"/>
    <n v="-0.37150990962982178"/>
    <s v="CONCURSO"/>
  </r>
  <r>
    <n v="24"/>
    <s v="P"/>
    <x v="9"/>
    <x v="2"/>
    <s v="PROV.LLANQUIHUE"/>
    <x v="2"/>
    <s v="EJECUCION"/>
    <s v="SUBT 24"/>
    <s v="SUBT 24-EJECUCION"/>
    <m/>
    <s v="SUBT 24"/>
    <s v="ACTIVIDADES DEPORTIVAS"/>
    <n v="418628558"/>
    <n v="0"/>
    <n v="418628558.37150991"/>
    <n v="0"/>
    <n v="0"/>
    <n v="0"/>
    <n v="0"/>
    <n v="0"/>
    <n v="0"/>
    <n v="0"/>
    <n v="418628558.37150991"/>
    <n v="-0.37150990962982178"/>
    <s v="CONCURSO"/>
  </r>
  <r>
    <n v="24"/>
    <s v="P"/>
    <x v="2"/>
    <x v="2"/>
    <s v="PROV.LLANQUIHUE"/>
    <x v="2"/>
    <s v="EJECUCION"/>
    <s v="SUBT 24"/>
    <s v="SUBT 24-EJECUCION"/>
    <m/>
    <s v="SUBT 24"/>
    <s v="ACTIVIDADES COMUNIDAD ACTIVA"/>
    <n v="418628558"/>
    <n v="0"/>
    <n v="418628558.37150991"/>
    <n v="0"/>
    <n v="0"/>
    <n v="0"/>
    <n v="0"/>
    <n v="0"/>
    <n v="0"/>
    <n v="0"/>
    <n v="418628558.37150991"/>
    <n v="-0.37150990962982178"/>
    <s v="CONCURSO"/>
  </r>
  <r>
    <m/>
    <m/>
    <x v="0"/>
    <x v="0"/>
    <m/>
    <x v="0"/>
    <m/>
    <m/>
    <m/>
    <m/>
    <m/>
    <s v="TOTAL DE INICIATIVAS EN CONVENIO Y TRAMITE"/>
    <n v="3470948674"/>
    <n v="0"/>
    <n v="2251317401.1145301"/>
    <n v="0"/>
    <n v="0"/>
    <n v="0"/>
    <n v="0"/>
    <n v="1317274"/>
    <n v="0"/>
    <n v="1317274"/>
    <n v="2250000127.1145301"/>
    <n v="1219631272.8854699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TOTAL PROVINCIALES"/>
    <n v="16845385090"/>
    <n v="5630943773"/>
    <n v="5785452387.1145306"/>
    <n v="51208498"/>
    <n v="473237902"/>
    <n v="419062247"/>
    <n v="943508647"/>
    <n v="467564724"/>
    <n v="334708547"/>
    <n v="1745781918"/>
    <n v="4039670469.1145301"/>
    <n v="5428988929.8854694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TOTAL PROVINCIA DE LLANQUIHUE"/>
    <n v="145308938574"/>
    <n v="48251123583"/>
    <n v="25825850393.114532"/>
    <n v="532287268"/>
    <n v="780167320"/>
    <n v="1494352016"/>
    <n v="2806806604"/>
    <n v="1179687450"/>
    <n v="1553014531"/>
    <n v="5539508585"/>
    <n v="20286341808.114532"/>
    <n v="71231964597.885468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COMUNA DE CASTRO"/>
    <m/>
    <m/>
    <m/>
    <m/>
    <m/>
    <m/>
    <m/>
    <m/>
    <m/>
    <m/>
    <m/>
    <m/>
    <m/>
  </r>
  <r>
    <m/>
    <m/>
    <x v="0"/>
    <x v="0"/>
    <m/>
    <x v="0"/>
    <m/>
    <m/>
    <m/>
    <m/>
    <m/>
    <s v="INICIATIVAS EN EJECUCION"/>
    <m/>
    <m/>
    <m/>
    <m/>
    <m/>
    <m/>
    <m/>
    <m/>
    <m/>
    <m/>
    <m/>
    <m/>
    <m/>
  </r>
  <r>
    <n v="31"/>
    <s v="P"/>
    <x v="6"/>
    <x v="3"/>
    <s v="CASTRO"/>
    <x v="3"/>
    <s v="EJECUCION"/>
    <n v="30092606"/>
    <s v="30092606-EJECUCION"/>
    <m/>
    <s v="30092606"/>
    <s v="NORMALIZACION  ESCUELA RURAL ANA NELLY OYARZUN"/>
    <n v="1182852000"/>
    <n v="0"/>
    <n v="498695895"/>
    <n v="0"/>
    <n v="52643150"/>
    <n v="96052745"/>
    <n v="148695895"/>
    <n v="0"/>
    <n v="201539483"/>
    <n v="350235378"/>
    <n v="148460517"/>
    <n v="684156105"/>
    <s v="EN EJECUCION"/>
  </r>
  <r>
    <n v="24"/>
    <s v="N"/>
    <x v="11"/>
    <x v="3"/>
    <s v="CASTRO"/>
    <x v="5"/>
    <s v="EJECUCION"/>
    <n v="30130843"/>
    <s v="30130843-EJECUCION"/>
    <m/>
    <s v="30130843"/>
    <s v="SUBSIDIO A LA OPERACION SISTEMA DE AUTOGENERACION ISLAS DE CASTRO"/>
    <n v="815000000"/>
    <n v="0"/>
    <n v="815000000"/>
    <n v="0"/>
    <n v="0"/>
    <n v="0"/>
    <n v="0"/>
    <n v="0"/>
    <n v="0"/>
    <n v="0"/>
    <n v="815000000"/>
    <n v="0"/>
    <s v="EN EJECUCION"/>
  </r>
  <r>
    <n v="31"/>
    <s v="A"/>
    <x v="8"/>
    <x v="3"/>
    <s v="CASTRO"/>
    <x v="1"/>
    <s v="EJECUCION"/>
    <n v="30121787"/>
    <s v="30121787-EJECUCION"/>
    <m/>
    <s v="30121787"/>
    <s v="CONSTRUCCION REDES DE AGUA POTABLE  Y ALCANTARILLADO DIVERSOS SECTORES"/>
    <n v="744201003"/>
    <n v="0"/>
    <n v="420079993"/>
    <n v="0"/>
    <n v="81963368"/>
    <n v="148036300"/>
    <n v="229999668"/>
    <n v="0"/>
    <n v="126941408"/>
    <n v="356941076"/>
    <n v="63138917"/>
    <n v="324121010"/>
    <s v="EN EJECUCION"/>
  </r>
  <r>
    <n v="31"/>
    <s v="A"/>
    <x v="7"/>
    <x v="3"/>
    <s v="CASTRO"/>
    <x v="1"/>
    <s v="EJECUCION"/>
    <n v="30094891"/>
    <s v="30094891-EJECUCION"/>
    <m/>
    <s v="30094891"/>
    <s v="REPOSICION FERIA YUMBEL DE CASTRO"/>
    <n v="4093774619"/>
    <n v="4077499258"/>
    <n v="16275361"/>
    <n v="0"/>
    <n v="0"/>
    <n v="0"/>
    <n v="0"/>
    <n v="0"/>
    <n v="0"/>
    <n v="0"/>
    <n v="16275361"/>
    <n v="0"/>
    <s v="EN LIQUIDACION"/>
  </r>
  <r>
    <m/>
    <m/>
    <x v="0"/>
    <x v="0"/>
    <m/>
    <x v="0"/>
    <m/>
    <m/>
    <m/>
    <m/>
    <m/>
    <s v="TOTAL DE INICIATIVAS EN EJECUCION"/>
    <n v="6835827622"/>
    <n v="4077499258"/>
    <n v="1750051249"/>
    <n v="0"/>
    <n v="134606518"/>
    <n v="244089045"/>
    <n v="378695563"/>
    <n v="0"/>
    <n v="328480891"/>
    <n v="707176454"/>
    <n v="1042874795"/>
    <n v="1008277115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CONVENIO Y TRAMITE"/>
    <m/>
    <m/>
    <m/>
    <m/>
    <m/>
    <m/>
    <m/>
    <m/>
    <m/>
    <m/>
    <m/>
    <m/>
    <m/>
  </r>
  <r>
    <n v="29"/>
    <s v="N"/>
    <x v="1"/>
    <x v="3"/>
    <s v="CASTRO"/>
    <x v="2"/>
    <s v="EJECUCION"/>
    <n v="40000574"/>
    <s v="40000574-EJECUCION"/>
    <m/>
    <s v="40000574"/>
    <s v="ADQUISICION Y REPOSICION DE EQUIPOS PARA LITIASIS Y ENUCLIACION U DE UROLOGIA HOSPITAL DE CASTRO (C33)"/>
    <n v="272814000"/>
    <n v="0"/>
    <n v="272814000"/>
    <n v="0"/>
    <n v="0"/>
    <n v="0"/>
    <n v="0"/>
    <n v="0"/>
    <n v="0"/>
    <n v="0"/>
    <n v="272814000"/>
    <n v="0"/>
    <s v="TERMINADO"/>
  </r>
  <r>
    <n v="29"/>
    <s v="N"/>
    <x v="2"/>
    <x v="3"/>
    <s v="CASTRO"/>
    <x v="2"/>
    <s v="EJECUCION"/>
    <n v="30402076"/>
    <s v="30402076-EJECUCION"/>
    <m/>
    <s v="30402076"/>
    <s v="REPOSICION REEMPLAZO DE LUMINARIAS PARQUE URBANO (C33)"/>
    <n v="1211111000"/>
    <n v="0"/>
    <n v="0"/>
    <n v="0"/>
    <n v="0"/>
    <n v="0"/>
    <n v="0"/>
    <n v="0"/>
    <n v="0"/>
    <n v="0"/>
    <n v="0"/>
    <n v="1211111000"/>
    <s v="TRAMITE CONVENIO"/>
  </r>
  <r>
    <m/>
    <m/>
    <x v="0"/>
    <x v="0"/>
    <m/>
    <x v="0"/>
    <m/>
    <m/>
    <m/>
    <m/>
    <m/>
    <s v="TOTAL DE INICIATIVAS EN CONVENIO Y TRAMITE"/>
    <n v="1483925000"/>
    <n v="0"/>
    <n v="272814000"/>
    <n v="0"/>
    <n v="0"/>
    <n v="0"/>
    <n v="0"/>
    <n v="0"/>
    <n v="0"/>
    <n v="0"/>
    <n v="272814000"/>
    <n v="121111100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SIN MOVIMIENTO"/>
    <m/>
    <m/>
    <m/>
    <m/>
    <m/>
    <m/>
    <m/>
    <m/>
    <m/>
    <m/>
    <m/>
    <m/>
    <m/>
  </r>
  <r>
    <n v="31"/>
    <s v="N"/>
    <x v="4"/>
    <x v="3"/>
    <s v="CASTRO"/>
    <x v="1"/>
    <s v="EJECUCION"/>
    <n v="30371775"/>
    <s v="30371775-EJECUCION"/>
    <m/>
    <s v="30371775"/>
    <s v="REPOSICION RAMPA DE CONECTIVIDAD RILAN CASTRO"/>
    <n v="200210000"/>
    <n v="0"/>
    <n v="10000000"/>
    <n v="0"/>
    <n v="0"/>
    <n v="0"/>
    <n v="0"/>
    <n v="0"/>
    <n v="0"/>
    <n v="0"/>
    <n v="10000000"/>
    <n v="190210000"/>
    <s v="ARI"/>
  </r>
  <r>
    <n v="31"/>
    <s v="N"/>
    <x v="6"/>
    <x v="3"/>
    <s v="CASTRO"/>
    <x v="3"/>
    <s v="EJECUCION"/>
    <n v="30076949"/>
    <s v="30076949-EJECUCION"/>
    <m/>
    <s v="30076949"/>
    <s v="REPOSICION ESCUELA DE LA CULTURA, FRIDOLINA BARRIENTOS, CASTRO"/>
    <n v="6869766000"/>
    <n v="0"/>
    <n v="10000000"/>
    <n v="0"/>
    <n v="0"/>
    <n v="0"/>
    <n v="0"/>
    <n v="0"/>
    <n v="0"/>
    <n v="0"/>
    <n v="10000000"/>
    <n v="6859766000"/>
    <s v="ARI"/>
  </r>
  <r>
    <n v="31"/>
    <s v="N"/>
    <x v="1"/>
    <x v="3"/>
    <s v="CASTRO"/>
    <x v="2"/>
    <s v="EJECUCION"/>
    <n v="20140221"/>
    <s v="20140221-EJECUCION"/>
    <s v="20140221-FNDR"/>
    <s v="20140221"/>
    <s v="REPOSICION POSTA DE SALUD RURAL DE LA ISLA CHELIN, CASTRO"/>
    <n v="465211000"/>
    <n v="0"/>
    <n v="16946215"/>
    <n v="0"/>
    <n v="0"/>
    <n v="0"/>
    <n v="0"/>
    <n v="0"/>
    <n v="0"/>
    <n v="0"/>
    <n v="16946215"/>
    <n v="448264785"/>
    <s v="ARI"/>
  </r>
  <r>
    <n v="31"/>
    <s v="N"/>
    <x v="7"/>
    <x v="3"/>
    <s v="CASTRO"/>
    <x v="2"/>
    <s v="DISEÑO"/>
    <n v="40001645"/>
    <s v="40001645-DISEÑO"/>
    <m/>
    <s v="40001645"/>
    <s v="CONSTRUCCION MATADERO MUNICiPAL CASTRO"/>
    <n v="62000000"/>
    <n v="0"/>
    <n v="6200000"/>
    <n v="0"/>
    <n v="0"/>
    <n v="0"/>
    <n v="0"/>
    <n v="0"/>
    <n v="0"/>
    <n v="0"/>
    <n v="6200000"/>
    <n v="55800000"/>
    <s v="ARI"/>
  </r>
  <r>
    <n v="31"/>
    <s v="N"/>
    <x v="8"/>
    <x v="3"/>
    <s v="CASTRO"/>
    <x v="4"/>
    <s v="EJECUCION"/>
    <n v="30486273"/>
    <s v="30486273-EJECUCION"/>
    <m/>
    <s v="30486273"/>
    <s v="PROSPECCION HIDROGEOLICO Y SONDAJE COMUNA DE CASTRO"/>
    <n v="240000000"/>
    <n v="0"/>
    <n v="12000000"/>
    <n v="0"/>
    <n v="0"/>
    <n v="0"/>
    <n v="0"/>
    <n v="0"/>
    <n v="0"/>
    <n v="0"/>
    <n v="12000000"/>
    <n v="228000000"/>
    <s v="ARI"/>
  </r>
  <r>
    <m/>
    <m/>
    <x v="0"/>
    <x v="0"/>
    <m/>
    <x v="0"/>
    <m/>
    <m/>
    <m/>
    <m/>
    <m/>
    <s v="TOTAL DE INICIATIVAS SIN MOVIMIENTO"/>
    <n v="7837187000"/>
    <n v="0"/>
    <n v="55146215"/>
    <n v="0"/>
    <n v="0"/>
    <n v="0"/>
    <n v="0"/>
    <n v="0"/>
    <n v="0"/>
    <n v="0"/>
    <n v="55146215"/>
    <n v="7782040785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TOTAL COMUNA DE  CASTRO"/>
    <n v="16156939622"/>
    <n v="4077499258"/>
    <n v="2078011464"/>
    <n v="0"/>
    <n v="134606518"/>
    <n v="244089045"/>
    <n v="378695563"/>
    <n v="0"/>
    <n v="328480891"/>
    <n v="707176454"/>
    <n v="1370835010"/>
    <n v="1000142890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COMUNA DE ANCUD"/>
    <m/>
    <m/>
    <m/>
    <m/>
    <m/>
    <m/>
    <m/>
    <m/>
    <m/>
    <m/>
    <m/>
    <m/>
    <m/>
  </r>
  <r>
    <m/>
    <m/>
    <x v="0"/>
    <x v="0"/>
    <m/>
    <x v="0"/>
    <m/>
    <m/>
    <m/>
    <m/>
    <m/>
    <s v="INICIATIVAS EN EJECUCION"/>
    <m/>
    <m/>
    <m/>
    <m/>
    <m/>
    <m/>
    <m/>
    <m/>
    <m/>
    <m/>
    <m/>
    <m/>
    <m/>
  </r>
  <r>
    <n v="31"/>
    <s v="A"/>
    <x v="1"/>
    <x v="3"/>
    <s v="ANCUD"/>
    <x v="2"/>
    <s v="DISEÑO"/>
    <n v="30112093"/>
    <s v="30112093-DISEÑO"/>
    <s v="30112093-FNDR"/>
    <s v="30112093"/>
    <s v="CONSTRUCCION CESFAM CARACOLES"/>
    <n v="145469000"/>
    <n v="95426000"/>
    <n v="50043000"/>
    <n v="0"/>
    <n v="0"/>
    <n v="0"/>
    <n v="0"/>
    <n v="0"/>
    <n v="0"/>
    <n v="0"/>
    <n v="50043000"/>
    <n v="0"/>
    <s v="EN EJECUCION"/>
  </r>
  <r>
    <n v="31"/>
    <s v="A"/>
    <x v="6"/>
    <x v="3"/>
    <s v="ANCUD"/>
    <x v="8"/>
    <s v="EJECUCION"/>
    <n v="30083781"/>
    <s v="30083781-EJECUCION"/>
    <m/>
    <s v="30083781"/>
    <s v="DIAGNOSTICO DEL SISTEMA DE FORTIFICACIONES DE ANCUD (C33)"/>
    <n v="118300000"/>
    <n v="93439000"/>
    <n v="0"/>
    <n v="0"/>
    <n v="0"/>
    <n v="0"/>
    <n v="0"/>
    <n v="0"/>
    <n v="0"/>
    <n v="0"/>
    <n v="0"/>
    <n v="24861000"/>
    <s v="EN EJECUCION"/>
  </r>
  <r>
    <n v="31"/>
    <s v="P"/>
    <x v="5"/>
    <x v="3"/>
    <s v="ANCUD"/>
    <x v="2"/>
    <s v="EJECUCION"/>
    <n v="30103434"/>
    <s v="30103434-EJECUCION"/>
    <m/>
    <s v="30103434"/>
    <s v="REPOSICION EDIFICIO PUBLICO DE CHACAO"/>
    <n v="357112000"/>
    <n v="0"/>
    <n v="357112000"/>
    <n v="0"/>
    <n v="1200000"/>
    <n v="34672023"/>
    <n v="35872023"/>
    <n v="41443866"/>
    <n v="24895279"/>
    <n v="102211168"/>
    <n v="254900832"/>
    <n v="0"/>
    <s v="EN EJECUCION"/>
  </r>
  <r>
    <n v="31"/>
    <s v="A"/>
    <x v="6"/>
    <x v="3"/>
    <s v="ANCUD"/>
    <x v="3"/>
    <s v="EJECUCION"/>
    <n v="30085972"/>
    <s v="30085972-EJECUCION"/>
    <m/>
    <s v="30085972"/>
    <s v="REPOSICION ESCUELA RURAL DE LINAO, ANCUD."/>
    <n v="1805576892"/>
    <n v="133526108"/>
    <n v="732229717"/>
    <n v="71485772"/>
    <n v="94443451"/>
    <n v="155982199"/>
    <n v="321911422"/>
    <n v="57225987"/>
    <n v="181819580"/>
    <n v="560956989"/>
    <n v="171272728"/>
    <n v="939821067"/>
    <s v="EN EJECUCION"/>
  </r>
  <r>
    <m/>
    <m/>
    <x v="0"/>
    <x v="0"/>
    <m/>
    <x v="0"/>
    <m/>
    <m/>
    <m/>
    <m/>
    <m/>
    <s v="TOTAL DE INICIATIVAS EN EJECUCION"/>
    <n v="2426457892"/>
    <n v="322391108"/>
    <n v="1139384717"/>
    <n v="71485772"/>
    <n v="95643451"/>
    <n v="190654222"/>
    <n v="357783445"/>
    <n v="98669853"/>
    <n v="206714859"/>
    <n v="663168157"/>
    <n v="476216560"/>
    <n v="964682067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TERMINADAS"/>
    <m/>
    <m/>
    <m/>
    <m/>
    <m/>
    <m/>
    <m/>
    <m/>
    <m/>
    <m/>
    <m/>
    <m/>
    <m/>
  </r>
  <r>
    <n v="31"/>
    <s v="A"/>
    <x v="9"/>
    <x v="3"/>
    <s v="ANCUD"/>
    <x v="2"/>
    <s v="EJECUCION"/>
    <n v="30210322"/>
    <s v="30210322-EJECUCION"/>
    <m/>
    <s v="30210322"/>
    <s v="MEJORAMIENTO ESTADIO PUDETO, ANCUD"/>
    <n v="79679134"/>
    <n v="79679134"/>
    <n v="0"/>
    <n v="0"/>
    <n v="0"/>
    <n v="0"/>
    <n v="0"/>
    <n v="0"/>
    <n v="0"/>
    <n v="0"/>
    <n v="0"/>
    <n v="0"/>
    <s v="TERMINADO"/>
  </r>
  <r>
    <n v="31"/>
    <s v="A"/>
    <x v="8"/>
    <x v="3"/>
    <s v="ANCUD"/>
    <x v="1"/>
    <s v="EJECUCION"/>
    <n v="30115252"/>
    <s v="30115252-EJECUCION"/>
    <m/>
    <s v="30115252"/>
    <s v="CONSTRUCCION SISTEMA APR GUAPILACUY"/>
    <n v="456125994"/>
    <n v="454775994"/>
    <n v="1350000"/>
    <n v="1350000"/>
    <n v="0"/>
    <n v="0"/>
    <n v="1350000"/>
    <n v="0"/>
    <n v="0"/>
    <n v="1350000"/>
    <n v="0"/>
    <n v="0"/>
    <s v="TERMINADO"/>
  </r>
  <r>
    <n v="29"/>
    <s v="P"/>
    <x v="6"/>
    <x v="3"/>
    <s v="ANCUD"/>
    <x v="2"/>
    <s v="EJECUCION"/>
    <n v="30486029"/>
    <s v="30486029-EJECUCION"/>
    <m/>
    <s v="30486029"/>
    <s v="ADQUISICION MINIBUS ESCUELA DIFERENCIAL SAN CARLOS DE ANCUD(C33)"/>
    <n v="66164000"/>
    <n v="0"/>
    <n v="66164000"/>
    <n v="0"/>
    <n v="0"/>
    <n v="66164000"/>
    <n v="66164000"/>
    <n v="0"/>
    <n v="0"/>
    <n v="66164000"/>
    <n v="0"/>
    <n v="0"/>
    <s v="TERMINADO"/>
  </r>
  <r>
    <m/>
    <m/>
    <x v="0"/>
    <x v="0"/>
    <m/>
    <x v="0"/>
    <m/>
    <m/>
    <m/>
    <m/>
    <m/>
    <s v="TOTAL DE INICIATIVAS TERMINADAS"/>
    <n v="601969128"/>
    <n v="534455128"/>
    <n v="67514000"/>
    <n v="1350000"/>
    <n v="0"/>
    <n v="66164000"/>
    <n v="67514000"/>
    <n v="0"/>
    <n v="0"/>
    <n v="67514000"/>
    <n v="0"/>
    <n v="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LICITACION/ADJUDICACION"/>
    <m/>
    <m/>
    <m/>
    <m/>
    <m/>
    <m/>
    <m/>
    <m/>
    <m/>
    <m/>
    <m/>
    <m/>
    <m/>
  </r>
  <r>
    <n v="31"/>
    <s v="P"/>
    <x v="3"/>
    <x v="3"/>
    <s v="ANCUD"/>
    <x v="1"/>
    <s v="EJECUCION"/>
    <n v="30137881"/>
    <s v="30137881-EJECUCION"/>
    <m/>
    <s v="30137881"/>
    <s v="CONSERVACION DE ACERAS EN DIVERSAS CALLES DE ANCUD (C33)"/>
    <n v="460895000"/>
    <n v="0"/>
    <n v="60777635"/>
    <n v="0"/>
    <n v="0"/>
    <n v="0"/>
    <n v="0"/>
    <n v="0"/>
    <n v="0"/>
    <n v="0"/>
    <n v="60777635"/>
    <n v="400117365"/>
    <s v="EN LICITACION"/>
  </r>
  <r>
    <n v="33"/>
    <s v="P"/>
    <x v="8"/>
    <x v="3"/>
    <s v="ANCUD"/>
    <x v="2"/>
    <s v="EJECUCION"/>
    <n v="30341232"/>
    <s v="30341232-EJECUCION"/>
    <m/>
    <s v="30341232"/>
    <s v="AMPLIACION SERVICIO APR BAHIA LINAO HACIA HUAPILINAO Y R.NEGRO,ANCUD"/>
    <n v="113883000"/>
    <n v="0"/>
    <n v="77515911"/>
    <n v="0"/>
    <n v="0"/>
    <n v="0"/>
    <n v="0"/>
    <n v="0"/>
    <n v="0"/>
    <n v="0"/>
    <n v="77515911"/>
    <n v="36367089"/>
    <s v="EN LICITACION"/>
  </r>
  <r>
    <m/>
    <m/>
    <x v="0"/>
    <x v="0"/>
    <m/>
    <x v="0"/>
    <m/>
    <m/>
    <m/>
    <m/>
    <m/>
    <s v="TOTAL DE INICIATIVAS EN LICITACION/ADJUDICACION"/>
    <n v="574778000"/>
    <n v="0"/>
    <n v="138293546"/>
    <n v="0"/>
    <n v="0"/>
    <n v="0"/>
    <n v="0"/>
    <n v="0"/>
    <n v="0"/>
    <n v="0"/>
    <n v="138293546"/>
    <n v="436484454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CONVENIO Y TRAMITE"/>
    <m/>
    <m/>
    <m/>
    <m/>
    <m/>
    <m/>
    <m/>
    <m/>
    <m/>
    <m/>
    <m/>
    <m/>
    <m/>
  </r>
  <r>
    <n v="31"/>
    <s v="N"/>
    <x v="10"/>
    <x v="3"/>
    <s v="ANCUD"/>
    <x v="5"/>
    <s v="EJECUCION"/>
    <n v="40000032"/>
    <s v="40000032-EJECUCION"/>
    <m/>
    <s v="40000032"/>
    <s v="HABILITACION SUMINISTRO ENERGIA ELECTRICA, SECTOR PILLUCO"/>
    <n v="88690000"/>
    <n v="0"/>
    <n v="88690000"/>
    <n v="0"/>
    <n v="0"/>
    <n v="0"/>
    <n v="0"/>
    <n v="0"/>
    <n v="0"/>
    <n v="0"/>
    <n v="88690000"/>
    <n v="0"/>
    <s v="TRAMITE CONVENIO"/>
  </r>
  <r>
    <n v="31"/>
    <s v="N"/>
    <x v="10"/>
    <x v="3"/>
    <s v="QUEMCHI"/>
    <x v="5"/>
    <s v="EJECUCION"/>
    <n v="30467589"/>
    <s v="30467589-EJECUCION"/>
    <m/>
    <s v="30467589"/>
    <s v="HABILITACION SUMINISTRO ELECTRICO SECTOR QUICHITUE"/>
    <n v="128384000"/>
    <n v="0"/>
    <n v="128384000"/>
    <n v="0"/>
    <n v="0"/>
    <n v="0"/>
    <n v="0"/>
    <n v="0"/>
    <n v="0"/>
    <n v="0"/>
    <n v="128384000"/>
    <n v="0"/>
    <s v="TRAMITE CONVENIO"/>
  </r>
  <r>
    <m/>
    <m/>
    <x v="0"/>
    <x v="0"/>
    <m/>
    <x v="0"/>
    <m/>
    <m/>
    <m/>
    <m/>
    <m/>
    <s v="TOTAL DE INICIATIVAS EN CONVENIO Y TRAMITE"/>
    <n v="217074000"/>
    <n v="0"/>
    <n v="217074000"/>
    <n v="0"/>
    <n v="0"/>
    <n v="0"/>
    <n v="0"/>
    <n v="0"/>
    <n v="0"/>
    <n v="0"/>
    <n v="217074000"/>
    <n v="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SIN MOVIMIENTO"/>
    <m/>
    <m/>
    <m/>
    <m/>
    <m/>
    <m/>
    <m/>
    <m/>
    <m/>
    <m/>
    <m/>
    <m/>
    <m/>
  </r>
  <r>
    <n v="31"/>
    <s v="N"/>
    <x v="8"/>
    <x v="3"/>
    <s v="ANCUD"/>
    <x v="4"/>
    <s v="EJECUCION"/>
    <n v="30471852"/>
    <s v="30471852-EJECUCION"/>
    <m/>
    <s v="30471852"/>
    <s v="CONSTRUCCION SISTEMA APR LOCALIDAD RURAL DE AGUAS BUENAS, ANCUD"/>
    <n v="708613000"/>
    <n v="0"/>
    <n v="10000000"/>
    <n v="0"/>
    <n v="0"/>
    <n v="0"/>
    <n v="0"/>
    <n v="0"/>
    <n v="0"/>
    <n v="0"/>
    <n v="10000000"/>
    <n v="698613000"/>
    <s v="ARI"/>
  </r>
  <r>
    <n v="31"/>
    <s v="N"/>
    <x v="6"/>
    <x v="3"/>
    <s v="ANCUD"/>
    <x v="2"/>
    <s v="EJECUCION"/>
    <n v="40001823"/>
    <s v="40001823-EJECUCION"/>
    <m/>
    <s v="40001823"/>
    <s v="CONSTRUCCION RECINTO MULTIUSO ESCUELA DIF.SAN CARLOS DE ANCUD"/>
    <n v="150000000"/>
    <n v="0"/>
    <n v="20000000"/>
    <n v="0"/>
    <n v="0"/>
    <n v="0"/>
    <n v="0"/>
    <n v="0"/>
    <n v="0"/>
    <n v="0"/>
    <n v="20000000"/>
    <n v="130000000"/>
    <s v="ARI"/>
  </r>
  <r>
    <n v="31"/>
    <s v="N"/>
    <x v="5"/>
    <x v="3"/>
    <s v="ANCUD"/>
    <x v="2"/>
    <s v="EJECUCION"/>
    <n v="30035122"/>
    <s v="30035122-EJECUCION"/>
    <m/>
    <s v="30035122"/>
    <s v="CONSTRUCCION CENTRO POLIFUNCIONAL INTERCULTURAL DE COÑIMO"/>
    <n v="217000000"/>
    <n v="0"/>
    <n v="20000000"/>
    <n v="0"/>
    <n v="0"/>
    <n v="0"/>
    <n v="0"/>
    <n v="0"/>
    <n v="0"/>
    <n v="0"/>
    <n v="20000000"/>
    <n v="197000000"/>
    <s v="ARI"/>
  </r>
  <r>
    <n v="29"/>
    <s v="N"/>
    <x v="5"/>
    <x v="3"/>
    <s v="ANCUD"/>
    <x v="2"/>
    <s v="EJECUCION"/>
    <n v="4000453"/>
    <m/>
    <m/>
    <m/>
    <s v="REPOSICION DE DOS CAMINOES TOLVA PARA LA I.MUNICIPALIDAD DE ANCUD"/>
    <n v="201110000"/>
    <n v="0"/>
    <n v="0"/>
    <n v="0"/>
    <n v="0"/>
    <n v="0"/>
    <n v="0"/>
    <n v="0"/>
    <n v="0"/>
    <n v="0"/>
    <n v="0"/>
    <n v="201110000"/>
    <s v="ARI"/>
  </r>
  <r>
    <n v="31"/>
    <s v="N"/>
    <x v="1"/>
    <x v="3"/>
    <s v="ANCUD"/>
    <x v="2"/>
    <s v="DISEÑO"/>
    <n v="30485368"/>
    <s v="30485368-DISEÑO"/>
    <m/>
    <s v="30485368"/>
    <s v="CONSTRUCCION CENTRO REHABILITACION COMUNA DE ANCUD"/>
    <n v="101500000"/>
    <n v="0"/>
    <n v="10000000"/>
    <n v="0"/>
    <n v="0"/>
    <n v="0"/>
    <n v="0"/>
    <n v="0"/>
    <n v="0"/>
    <n v="0"/>
    <n v="10000000"/>
    <n v="91500000"/>
    <s v="ARI"/>
  </r>
  <r>
    <n v="31"/>
    <s v="N"/>
    <x v="5"/>
    <x v="3"/>
    <s v="ANCUD"/>
    <x v="2"/>
    <s v="EJECUCION"/>
    <n v="40001654"/>
    <s v="40001654-EJECUCION"/>
    <m/>
    <s v="40001654"/>
    <s v="ACTUALIZACION PLAN DE DESARROLLO COMUNAL DE ANCUD"/>
    <n v="75500000"/>
    <n v="0"/>
    <n v="7500000"/>
    <n v="0"/>
    <n v="0"/>
    <n v="0"/>
    <n v="0"/>
    <n v="0"/>
    <n v="0"/>
    <n v="0"/>
    <n v="7500000"/>
    <n v="68000000"/>
    <s v="SOLICITUD"/>
  </r>
  <r>
    <m/>
    <m/>
    <x v="0"/>
    <x v="0"/>
    <m/>
    <x v="0"/>
    <m/>
    <m/>
    <m/>
    <m/>
    <m/>
    <s v="TOTAL DE INICIATIVAS SIN MOVIMIENTO"/>
    <n v="1453723000"/>
    <n v="0"/>
    <n v="67500000"/>
    <n v="0"/>
    <n v="0"/>
    <n v="0"/>
    <n v="0"/>
    <n v="0"/>
    <n v="0"/>
    <n v="0"/>
    <n v="67500000"/>
    <n v="138622300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TOTAL COMUNA DE  ANCUD"/>
    <n v="5274002020"/>
    <n v="856846236"/>
    <n v="1629766263"/>
    <n v="72835772"/>
    <n v="95643451"/>
    <n v="256818222"/>
    <n v="425297445"/>
    <n v="98669853"/>
    <n v="206714859"/>
    <n v="730682157"/>
    <n v="899084106"/>
    <n v="2787389521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COMUNA DE CHONCHI"/>
    <m/>
    <m/>
    <m/>
    <m/>
    <m/>
    <m/>
    <m/>
    <m/>
    <m/>
    <m/>
    <m/>
    <m/>
    <m/>
  </r>
  <r>
    <m/>
    <m/>
    <x v="0"/>
    <x v="0"/>
    <m/>
    <x v="0"/>
    <m/>
    <m/>
    <m/>
    <m/>
    <m/>
    <s v="INICIATIVAS EN EJECUCION"/>
    <m/>
    <m/>
    <m/>
    <m/>
    <m/>
    <m/>
    <m/>
    <m/>
    <m/>
    <m/>
    <m/>
    <m/>
    <m/>
  </r>
  <r>
    <n v="33"/>
    <s v="A"/>
    <x v="8"/>
    <x v="3"/>
    <s v="CHONCHI"/>
    <x v="4"/>
    <s v="EJECUCION"/>
    <n v="30091901"/>
    <s v="30091901-EJECUCION"/>
    <m/>
    <s v="30091901"/>
    <s v="MEJORAMIENTO Y AMPLIACION  APR DE HUILLINCO"/>
    <n v="378809664"/>
    <n v="219892030"/>
    <n v="158917634"/>
    <n v="0"/>
    <n v="0"/>
    <n v="0"/>
    <n v="0"/>
    <n v="0"/>
    <n v="0"/>
    <n v="0"/>
    <n v="158917634"/>
    <n v="0"/>
    <s v="EN REEVALUACION"/>
  </r>
  <r>
    <m/>
    <m/>
    <x v="0"/>
    <x v="0"/>
    <m/>
    <x v="0"/>
    <m/>
    <m/>
    <m/>
    <m/>
    <m/>
    <s v="TOTAL DE INICIATIVAS EN EJECUCION"/>
    <n v="378809664"/>
    <n v="219892030"/>
    <n v="158917634"/>
    <n v="0"/>
    <n v="0"/>
    <n v="0"/>
    <n v="0"/>
    <n v="0"/>
    <n v="0"/>
    <n v="0"/>
    <n v="158917634"/>
    <n v="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TERMINADAS"/>
    <m/>
    <m/>
    <m/>
    <m/>
    <m/>
    <m/>
    <m/>
    <m/>
    <m/>
    <m/>
    <m/>
    <m/>
    <m/>
  </r>
  <r>
    <n v="31"/>
    <s v="A"/>
    <x v="6"/>
    <x v="3"/>
    <s v="CHONCHI"/>
    <x v="2"/>
    <s v="DISEÑO"/>
    <n v="30103252"/>
    <s v="30103252-DISEÑO"/>
    <m/>
    <s v="30103252"/>
    <s v="REPOSICION TEATRO MUNICIPAL DE CHONCHI"/>
    <n v="62160000"/>
    <n v="34165000"/>
    <n v="27995000"/>
    <n v="0"/>
    <n v="0"/>
    <n v="27995000"/>
    <n v="27995000"/>
    <n v="0"/>
    <n v="0"/>
    <n v="27995000"/>
    <n v="0"/>
    <n v="0"/>
    <s v="TERMINADO"/>
  </r>
  <r>
    <m/>
    <m/>
    <x v="0"/>
    <x v="0"/>
    <m/>
    <x v="0"/>
    <m/>
    <m/>
    <m/>
    <m/>
    <m/>
    <s v="TOTAL DE INICIATIVAS TERMINADAS"/>
    <n v="62160000"/>
    <n v="34165000"/>
    <n v="27995000"/>
    <n v="0"/>
    <n v="0"/>
    <n v="27995000"/>
    <n v="27995000"/>
    <n v="0"/>
    <n v="0"/>
    <n v="27995000"/>
    <n v="0"/>
    <n v="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LICITACION/ADJUDICACION"/>
    <m/>
    <m/>
    <m/>
    <m/>
    <m/>
    <m/>
    <m/>
    <m/>
    <m/>
    <m/>
    <m/>
    <m/>
    <m/>
  </r>
  <r>
    <n v="31"/>
    <s v="P"/>
    <x v="8"/>
    <x v="3"/>
    <s v="CHONCHI"/>
    <x v="4"/>
    <s v="EJECUCION"/>
    <n v="30466433"/>
    <s v="30466433-EJECUCION"/>
    <m/>
    <s v="30466433"/>
    <s v="CONSTRUCCION SISTEMA APR QUILIPULLI-ROMAZAL"/>
    <n v="674063000"/>
    <n v="0"/>
    <n v="179005000"/>
    <n v="0"/>
    <n v="0"/>
    <n v="1200000"/>
    <n v="1200000"/>
    <n v="0"/>
    <n v="0"/>
    <n v="1200000"/>
    <n v="177805000"/>
    <n v="495058000"/>
    <s v="EN ADJUDICACION"/>
  </r>
  <r>
    <n v="22"/>
    <s v="P"/>
    <x v="3"/>
    <x v="3"/>
    <s v="CHONCHI"/>
    <x v="2"/>
    <s v="EJECUCION"/>
    <n v="30126522"/>
    <s v="30126522-EJECUCION"/>
    <m/>
    <s v="30126522"/>
    <s v="ACTUALIZACION PLAN REGULADOR COMUNA DE CHONCHI (C33)"/>
    <n v="120000000"/>
    <n v="0"/>
    <n v="40000000"/>
    <n v="0"/>
    <n v="0"/>
    <n v="0"/>
    <n v="0"/>
    <n v="0"/>
    <n v="0"/>
    <n v="0"/>
    <n v="40000000"/>
    <n v="80000000"/>
    <s v="EN ADJUDICACION"/>
  </r>
  <r>
    <n v="31"/>
    <s v="A"/>
    <x v="8"/>
    <x v="3"/>
    <s v="CHONCHI"/>
    <x v="10"/>
    <s v="EJECUCION"/>
    <n v="30310674"/>
    <s v="30310674-EJECUCION"/>
    <m/>
    <s v="30310674"/>
    <s v="CONSTRUCCION SERVICIO APR PINDACO QUITRIPULLI"/>
    <n v="746086051"/>
    <n v="610427601"/>
    <n v="120352270"/>
    <n v="0"/>
    <n v="0"/>
    <n v="12483444"/>
    <n v="12483444"/>
    <n v="0"/>
    <n v="0"/>
    <n v="12483444"/>
    <n v="107868826"/>
    <n v="15306180"/>
    <s v="EN EJECUCION"/>
  </r>
  <r>
    <n v="29"/>
    <s v="N"/>
    <x v="5"/>
    <x v="3"/>
    <s v="CHONCHI"/>
    <x v="2"/>
    <s v="EJECUCION"/>
    <n v="40000008"/>
    <s v="40000008-EJECUCION"/>
    <m/>
    <s v="40000008"/>
    <s v="REPOSICION Y ADQUISICION CAMIONETAS PARA TRANSPORTE MUNICIPAL (C33)"/>
    <n v="107107000"/>
    <n v="0"/>
    <n v="107107000"/>
    <n v="0"/>
    <n v="0"/>
    <n v="0"/>
    <n v="0"/>
    <n v="0"/>
    <n v="0"/>
    <n v="0"/>
    <n v="107107000"/>
    <n v="0"/>
    <s v="TERMINADO"/>
  </r>
  <r>
    <n v="31"/>
    <s v="P"/>
    <x v="6"/>
    <x v="3"/>
    <s v="CHONCHI"/>
    <x v="2"/>
    <s v="DISEÑO"/>
    <n v="20157700"/>
    <s v="20157700-DISEÑO"/>
    <m/>
    <s v="20157700"/>
    <s v="REPOSICION ESCUELA RURAL DE QUITRIPULLI"/>
    <n v="63638000"/>
    <n v="0"/>
    <n v="19000000"/>
    <n v="0"/>
    <n v="0"/>
    <n v="0"/>
    <n v="0"/>
    <n v="2761000"/>
    <n v="0"/>
    <n v="2761000"/>
    <n v="16239000"/>
    <n v="44638000"/>
    <s v="EN LICITACION"/>
  </r>
  <r>
    <m/>
    <m/>
    <x v="0"/>
    <x v="0"/>
    <m/>
    <x v="0"/>
    <m/>
    <m/>
    <m/>
    <m/>
    <m/>
    <s v="TOTAL DE INICIATIVAS EN LICITACION/ADJUDICACION"/>
    <n v="1710894051"/>
    <n v="610427601"/>
    <n v="465464270"/>
    <n v="0"/>
    <n v="0"/>
    <n v="13683444"/>
    <n v="13683444"/>
    <n v="2761000"/>
    <n v="0"/>
    <n v="16444444"/>
    <n v="449019826"/>
    <n v="63500218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CONVENIO Y TRAMITE"/>
    <m/>
    <m/>
    <m/>
    <m/>
    <m/>
    <m/>
    <m/>
    <m/>
    <m/>
    <m/>
    <m/>
    <m/>
    <m/>
  </r>
  <r>
    <n v="29"/>
    <s v="N"/>
    <x v="4"/>
    <x v="3"/>
    <s v="CHONCHI"/>
    <x v="2"/>
    <s v="EJECUCION"/>
    <n v="40000775"/>
    <s v="40000775-EJECUCION"/>
    <m/>
    <s v="40000775"/>
    <s v="REPOSICION MAQUINARIA MUNICIPAL COMUNA DE CHONCHI (C33)"/>
    <n v="604102000"/>
    <n v="0"/>
    <n v="604102000"/>
    <n v="0"/>
    <n v="0"/>
    <n v="0"/>
    <n v="0"/>
    <n v="0"/>
    <n v="0"/>
    <n v="0"/>
    <n v="604102000"/>
    <n v="0"/>
    <s v="TERMINADO"/>
  </r>
  <r>
    <n v="31"/>
    <s v="N"/>
    <x v="8"/>
    <x v="3"/>
    <s v="CHONCHI"/>
    <x v="4"/>
    <s v="EJECUCION"/>
    <n v="30466394"/>
    <s v="30466394-EJECUCION"/>
    <m/>
    <s v="30466394"/>
    <s v="CONSTRUCCION SISTEMA APR DE TARAHUIN, CHONCHI"/>
    <n v="483702000"/>
    <n v="0"/>
    <n v="100000000"/>
    <n v="0"/>
    <n v="0"/>
    <n v="0"/>
    <n v="0"/>
    <n v="0"/>
    <n v="0"/>
    <n v="0"/>
    <n v="100000000"/>
    <n v="383702000"/>
    <s v="TRAMITE CONVENIO"/>
  </r>
  <r>
    <m/>
    <m/>
    <x v="0"/>
    <x v="0"/>
    <m/>
    <x v="0"/>
    <m/>
    <m/>
    <m/>
    <m/>
    <m/>
    <s v="TOTAL DE INICIATIVAS EN CONVENIO Y TRAMITE"/>
    <n v="1087804000"/>
    <n v="0"/>
    <n v="704102000"/>
    <n v="0"/>
    <n v="0"/>
    <n v="0"/>
    <n v="0"/>
    <n v="0"/>
    <n v="0"/>
    <n v="0"/>
    <n v="704102000"/>
    <n v="38370200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SIN MOVIMIENTO"/>
    <m/>
    <m/>
    <m/>
    <m/>
    <m/>
    <m/>
    <m/>
    <m/>
    <m/>
    <m/>
    <m/>
    <m/>
    <m/>
  </r>
  <r>
    <n v="31"/>
    <s v="N"/>
    <x v="6"/>
    <x v="3"/>
    <s v="CHONCHI"/>
    <x v="2"/>
    <s v="DISEÑO"/>
    <n v="30126487"/>
    <s v="30126487-DISEÑO"/>
    <m/>
    <s v="30126487"/>
    <s v="REPOSICION ESCUELA RURAL DE HUILLINCO COMUNA DE CHONCHI"/>
    <n v="60467000"/>
    <n v="0"/>
    <n v="10000000"/>
    <n v="0"/>
    <n v="0"/>
    <n v="0"/>
    <n v="0"/>
    <n v="0"/>
    <n v="0"/>
    <n v="0"/>
    <n v="10000000"/>
    <n v="50467000"/>
    <s v="ARI"/>
  </r>
  <r>
    <n v="31"/>
    <s v="N"/>
    <x v="2"/>
    <x v="3"/>
    <s v="CHONCHI"/>
    <x v="2"/>
    <s v="EJECUCION"/>
    <n v="30126506"/>
    <s v="30126506-EJECUCION"/>
    <m/>
    <s v="30126506"/>
    <s v="CONSTRUCCION CUARTEL 2° COMPAÑIA BOMBEROS DE LA COMUNA DE CHONCHI"/>
    <n v="599792000"/>
    <n v="0"/>
    <n v="100000000"/>
    <n v="0"/>
    <n v="0"/>
    <n v="0"/>
    <n v="0"/>
    <n v="0"/>
    <n v="0"/>
    <n v="0"/>
    <n v="100000000"/>
    <n v="499792000"/>
    <s v="ARI"/>
  </r>
  <r>
    <n v="31"/>
    <s v="N"/>
    <x v="5"/>
    <x v="3"/>
    <s v="CHONCHI"/>
    <x v="2"/>
    <s v="DISEÑO"/>
    <n v="30484393"/>
    <s v="30484393-DISEÑO"/>
    <m/>
    <s v="30484393"/>
    <s v="CONSTRUCCION CENTRO ADULTO MAYOR COMUNA DE CHONCHI"/>
    <n v="52500000"/>
    <n v="0"/>
    <n v="5000000"/>
    <n v="0"/>
    <n v="0"/>
    <n v="0"/>
    <n v="0"/>
    <n v="0"/>
    <n v="0"/>
    <n v="0"/>
    <n v="5000000"/>
    <n v="47500000"/>
    <s v="ARI"/>
  </r>
  <r>
    <m/>
    <m/>
    <x v="0"/>
    <x v="0"/>
    <m/>
    <x v="0"/>
    <m/>
    <m/>
    <m/>
    <m/>
    <m/>
    <s v="TOTAL DE INICIATIVAS SIN MOVIMIENTO"/>
    <n v="712759000"/>
    <n v="0"/>
    <n v="115000000"/>
    <n v="0"/>
    <n v="0"/>
    <n v="0"/>
    <n v="0"/>
    <n v="0"/>
    <n v="0"/>
    <n v="0"/>
    <n v="115000000"/>
    <n v="59775900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TOTAL COMUNA DE  CHONCHI"/>
    <n v="3952426715"/>
    <n v="864484631"/>
    <n v="1471478904"/>
    <n v="0"/>
    <n v="0"/>
    <n v="41678444"/>
    <n v="41678444"/>
    <n v="2761000"/>
    <n v="0"/>
    <n v="44439444"/>
    <n v="1427039460"/>
    <n v="161646318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COMUNA DE CURACO DE VELEZ"/>
    <m/>
    <m/>
    <m/>
    <m/>
    <m/>
    <m/>
    <m/>
    <m/>
    <m/>
    <m/>
    <m/>
    <m/>
    <m/>
  </r>
  <r>
    <m/>
    <m/>
    <x v="0"/>
    <x v="0"/>
    <m/>
    <x v="0"/>
    <m/>
    <m/>
    <m/>
    <m/>
    <m/>
    <s v="INICIATIVAS EN EJECUCION"/>
    <m/>
    <m/>
    <m/>
    <m/>
    <m/>
    <m/>
    <m/>
    <m/>
    <m/>
    <m/>
    <m/>
    <m/>
    <m/>
  </r>
  <r>
    <n v="31"/>
    <s v="A"/>
    <x v="9"/>
    <x v="3"/>
    <s v="CURACO DE VÉLEZ"/>
    <x v="2"/>
    <s v="DISEÑO"/>
    <n v="30095333"/>
    <s v="30095333-DISEÑO"/>
    <m/>
    <s v="30095333"/>
    <s v="REPOSICION ESTADIO MUNICIPAL DE CURACO DE VELEZ"/>
    <n v="178850000"/>
    <n v="94201000"/>
    <n v="84649000"/>
    <n v="0"/>
    <n v="0"/>
    <n v="0"/>
    <n v="0"/>
    <n v="0"/>
    <n v="0"/>
    <n v="0"/>
    <n v="84649000"/>
    <n v="0"/>
    <s v="EN EJECUCION"/>
  </r>
  <r>
    <n v="31"/>
    <s v="A"/>
    <x v="6"/>
    <x v="3"/>
    <s v="CURACO DE VÉLEZ"/>
    <x v="3"/>
    <s v="EJECUCION"/>
    <n v="30093309"/>
    <s v="30093309-EJECUCION"/>
    <m/>
    <s v="30093309"/>
    <s v="REPOSICION LICEO ALFREDO BARRIA OYARZUN"/>
    <n v="6706907019"/>
    <n v="6264393668"/>
    <n v="426418895"/>
    <n v="0"/>
    <n v="0"/>
    <n v="0"/>
    <n v="0"/>
    <n v="0"/>
    <n v="0"/>
    <n v="0"/>
    <n v="426418895"/>
    <n v="16094456"/>
    <s v="EN EJECUCION"/>
  </r>
  <r>
    <m/>
    <m/>
    <x v="0"/>
    <x v="0"/>
    <m/>
    <x v="0"/>
    <m/>
    <m/>
    <m/>
    <m/>
    <m/>
    <s v="TOTAL DE INICIATIVAS EN EJECUCION"/>
    <n v="6885757019"/>
    <n v="6358594668"/>
    <n v="511067895"/>
    <n v="0"/>
    <n v="0"/>
    <n v="0"/>
    <n v="0"/>
    <n v="0"/>
    <n v="0"/>
    <n v="0"/>
    <n v="511067895"/>
    <n v="16094456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CONVENIO Y TRAMITE"/>
    <m/>
    <m/>
    <m/>
    <m/>
    <m/>
    <m/>
    <m/>
    <m/>
    <m/>
    <m/>
    <m/>
    <m/>
    <m/>
  </r>
  <r>
    <n v="29"/>
    <s v="N"/>
    <x v="6"/>
    <x v="3"/>
    <s v="CURACO DE VÉLEZ"/>
    <x v="2"/>
    <s v="EJECUCION"/>
    <n v="30427781"/>
    <s v="30427781-EJECUCION"/>
    <m/>
    <s v="30427781"/>
    <s v="ADQUISICION EQUIPAMIENTO ESCUELA SAN JAVIER (C33)"/>
    <n v="199006000"/>
    <n v="0"/>
    <n v="199006000"/>
    <n v="0"/>
    <n v="0"/>
    <n v="0"/>
    <n v="0"/>
    <n v="0"/>
    <n v="0"/>
    <n v="0"/>
    <n v="199006000"/>
    <n v="0"/>
    <s v="TERMINADO"/>
  </r>
  <r>
    <n v="29"/>
    <s v="N"/>
    <x v="6"/>
    <x v="3"/>
    <s v="CURACO DE VÉLEZ"/>
    <x v="2"/>
    <s v="EJECUCION"/>
    <n v="30427823"/>
    <s v="30427823-EJECUCION"/>
    <m/>
    <s v="30427823"/>
    <s v="ADQUISICION EQUIPAMIENTO ESCUELA HUYAR ALTO (C33)"/>
    <n v="199646000"/>
    <n v="0"/>
    <n v="129586000"/>
    <n v="0"/>
    <n v="0"/>
    <n v="0"/>
    <n v="0"/>
    <n v="0"/>
    <n v="0"/>
    <n v="0"/>
    <n v="129586000"/>
    <n v="70060000"/>
    <s v="CON CONVENIO"/>
  </r>
  <r>
    <m/>
    <m/>
    <x v="0"/>
    <x v="0"/>
    <m/>
    <x v="0"/>
    <m/>
    <m/>
    <m/>
    <m/>
    <m/>
    <s v="TOTAL DE INICIATIVAS EN CONVENIO Y TRAMITE"/>
    <n v="398652000"/>
    <n v="0"/>
    <n v="328592000"/>
    <n v="0"/>
    <n v="0"/>
    <n v="0"/>
    <n v="0"/>
    <n v="0"/>
    <n v="0"/>
    <n v="0"/>
    <n v="328592000"/>
    <n v="7006000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SIN MOVIMIENTO"/>
    <m/>
    <m/>
    <m/>
    <m/>
    <m/>
    <m/>
    <m/>
    <m/>
    <m/>
    <m/>
    <m/>
    <m/>
    <m/>
  </r>
  <r>
    <n v="31"/>
    <s v="N"/>
    <x v="1"/>
    <x v="3"/>
    <s v="CURACO DE VÉLEZ"/>
    <x v="2"/>
    <s v="EJECUCION"/>
    <n v="30135738"/>
    <s v="30135738-EJECUCION"/>
    <s v="30135738-FNDR"/>
    <s v="30135738"/>
    <s v="REPOSICION POSTA DE SALUD HUYAR ALTO"/>
    <n v="645578000"/>
    <n v="0"/>
    <n v="64557800"/>
    <n v="0"/>
    <n v="0"/>
    <n v="0"/>
    <n v="0"/>
    <n v="0"/>
    <n v="0"/>
    <n v="0"/>
    <n v="64557800"/>
    <n v="581020200"/>
    <s v="ARI"/>
  </r>
  <r>
    <n v="31"/>
    <s v="N"/>
    <x v="1"/>
    <x v="3"/>
    <s v="CURACO DE VÉLEZ"/>
    <x v="2"/>
    <s v="EJECUCION"/>
    <n v="30135739"/>
    <s v="30135739-EJECUCION"/>
    <s v="30135739-FNDR"/>
    <s v="30135739"/>
    <s v="REPOSICION POSTA DE SALUD DE PALQUI"/>
    <n v="420194000"/>
    <n v="0"/>
    <n v="21009700"/>
    <n v="0"/>
    <n v="0"/>
    <n v="0"/>
    <n v="0"/>
    <n v="0"/>
    <n v="0"/>
    <n v="0"/>
    <n v="21009700"/>
    <n v="399184300"/>
    <s v="ARI"/>
  </r>
  <r>
    <n v="31"/>
    <s v="N"/>
    <x v="8"/>
    <x v="3"/>
    <s v="CURACO DE VÉLEZ"/>
    <x v="4"/>
    <s v="DISEÑO"/>
    <n v="30485181"/>
    <s v="30485181-DISEÑO"/>
    <m/>
    <s v="30485181"/>
    <s v="HABILITACION INSTALACION SERVICIO DE APR DE TOLQUIEN"/>
    <n v="41000000"/>
    <n v="0"/>
    <n v="5000000"/>
    <n v="0"/>
    <n v="0"/>
    <n v="0"/>
    <n v="0"/>
    <n v="0"/>
    <n v="0"/>
    <n v="0"/>
    <n v="5000000"/>
    <n v="36000000"/>
    <s v="ARI"/>
  </r>
  <r>
    <n v="31"/>
    <s v="N"/>
    <x v="4"/>
    <x v="3"/>
    <s v="CURACO DE VÉLEZ"/>
    <x v="1"/>
    <s v="EJECUCION"/>
    <n v="30135731"/>
    <s v="30135731-EJECUCION"/>
    <m/>
    <s v="30135731"/>
    <s v="MEJORAMIENTO CAMINOS COMUNALES DE CURACO DE VELEZ"/>
    <n v="900001000"/>
    <n v="0"/>
    <n v="40000000"/>
    <n v="0"/>
    <n v="0"/>
    <n v="0"/>
    <n v="0"/>
    <n v="0"/>
    <n v="0"/>
    <n v="0"/>
    <n v="40000000"/>
    <n v="860001000"/>
    <s v="ARI"/>
  </r>
  <r>
    <n v="29"/>
    <s v="N"/>
    <x v="5"/>
    <x v="3"/>
    <s v="CURACO DE VÉLEZ"/>
    <x v="1"/>
    <s v="EJECUCION"/>
    <n v="40001806"/>
    <s v="40001806-EJECUCION"/>
    <m/>
    <s v="40001806"/>
    <s v="REPOSICION CAMION TOLVA(C33)"/>
    <n v="90000000"/>
    <n v="0"/>
    <n v="5000000"/>
    <n v="0"/>
    <n v="0"/>
    <n v="0"/>
    <n v="0"/>
    <n v="0"/>
    <n v="0"/>
    <n v="0"/>
    <n v="5000000"/>
    <n v="85000000"/>
    <s v="SOLICITUD"/>
  </r>
  <r>
    <m/>
    <m/>
    <x v="0"/>
    <x v="0"/>
    <m/>
    <x v="0"/>
    <m/>
    <m/>
    <m/>
    <m/>
    <m/>
    <s v="TOTAL DE INICIATIVAS SIN MOVIMIENTO"/>
    <n v="2096773000"/>
    <n v="0"/>
    <n v="135567500"/>
    <n v="0"/>
    <n v="0"/>
    <n v="0"/>
    <n v="0"/>
    <n v="0"/>
    <n v="0"/>
    <n v="0"/>
    <n v="135567500"/>
    <n v="196120550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TOTAL COMUNA DE  C.VELEZ"/>
    <n v="9381182019"/>
    <n v="6358594668"/>
    <n v="975227395"/>
    <n v="0"/>
    <n v="0"/>
    <n v="0"/>
    <n v="0"/>
    <n v="0"/>
    <n v="0"/>
    <n v="0"/>
    <n v="975227395"/>
    <n v="2047359956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COMUNA DE DALCAHUE"/>
    <m/>
    <m/>
    <m/>
    <m/>
    <m/>
    <m/>
    <m/>
    <m/>
    <m/>
    <m/>
    <m/>
    <m/>
    <m/>
  </r>
  <r>
    <m/>
    <m/>
    <x v="0"/>
    <x v="0"/>
    <m/>
    <x v="0"/>
    <m/>
    <m/>
    <m/>
    <m/>
    <m/>
    <s v="INICIATIVAS EN EJECUCION"/>
    <m/>
    <m/>
    <m/>
    <m/>
    <m/>
    <m/>
    <m/>
    <m/>
    <m/>
    <m/>
    <m/>
    <m/>
    <m/>
  </r>
  <r>
    <n v="31"/>
    <s v="A"/>
    <x v="9"/>
    <x v="3"/>
    <s v="DALCAHUE"/>
    <x v="1"/>
    <s v="EJECUCION"/>
    <n v="30094005"/>
    <s v="30094005-EJECUCION"/>
    <m/>
    <s v="30094005"/>
    <s v="MEJORAMIENTO INTEGRAL GIMNASIO FISCAL DE DALCAHUE"/>
    <n v="746000000"/>
    <n v="683623581"/>
    <n v="55116237"/>
    <n v="0"/>
    <n v="0"/>
    <n v="38383418"/>
    <n v="38383418"/>
    <n v="732819"/>
    <n v="0"/>
    <n v="39116237"/>
    <n v="16000000"/>
    <n v="7260182"/>
    <s v="EN EJECUCION"/>
  </r>
  <r>
    <n v="31"/>
    <s v="A"/>
    <x v="5"/>
    <x v="3"/>
    <s v="DALCAHUE"/>
    <x v="2"/>
    <s v="EJECUCION"/>
    <n v="30129912"/>
    <s v="30129912-EJECUCION"/>
    <m/>
    <s v="30129912"/>
    <s v="CONSTRUCCION CENTRO CIVICO DE DALCAHUE"/>
    <n v="93394000"/>
    <n v="30129912"/>
    <n v="33354000"/>
    <n v="0"/>
    <n v="0"/>
    <n v="0"/>
    <n v="0"/>
    <n v="0"/>
    <n v="0"/>
    <n v="0"/>
    <n v="33354000"/>
    <n v="29910088"/>
    <s v="EN EJECUCION"/>
  </r>
  <r>
    <m/>
    <m/>
    <x v="0"/>
    <x v="0"/>
    <m/>
    <x v="0"/>
    <m/>
    <m/>
    <m/>
    <m/>
    <m/>
    <s v="TOTAL DE INICIATIVAS EN EJECUCION"/>
    <n v="839394000"/>
    <n v="713753493"/>
    <n v="88470237"/>
    <n v="0"/>
    <n v="0"/>
    <n v="38383418"/>
    <n v="38383418"/>
    <n v="732819"/>
    <n v="0"/>
    <n v="39116237"/>
    <n v="49354000"/>
    <n v="3717027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LICITACION/ADJUDICACION"/>
    <m/>
    <m/>
    <m/>
    <m/>
    <m/>
    <m/>
    <m/>
    <m/>
    <m/>
    <m/>
    <m/>
    <m/>
    <m/>
  </r>
  <r>
    <n v="31"/>
    <s v="P"/>
    <x v="8"/>
    <x v="3"/>
    <s v="DALCAHUE"/>
    <x v="4"/>
    <s v="EJECUCION"/>
    <n v="30395727"/>
    <s v="30395727-EJECUCION"/>
    <m/>
    <s v="30395727"/>
    <s v="CONSTRUCCION REDES AGUA POTABLE Y ALC ST VISTA HERMOSA"/>
    <n v="566452000"/>
    <n v="0"/>
    <n v="113290400"/>
    <n v="0"/>
    <n v="0"/>
    <n v="0"/>
    <n v="0"/>
    <n v="0"/>
    <n v="0"/>
    <n v="0"/>
    <n v="113290400"/>
    <n v="453161600"/>
    <s v="EN LICITACION"/>
  </r>
  <r>
    <n v="31"/>
    <s v="P"/>
    <x v="9"/>
    <x v="3"/>
    <s v="DALCAHUE"/>
    <x v="2"/>
    <s v="EJECUCION"/>
    <n v="30134014"/>
    <s v="30134014-EJECUCION"/>
    <m/>
    <s v="30134014"/>
    <s v="CONSTRUCCION GIMNASIO TENAUN"/>
    <n v="370366000"/>
    <n v="0"/>
    <n v="100000000"/>
    <n v="0"/>
    <n v="0"/>
    <n v="0"/>
    <n v="0"/>
    <n v="0"/>
    <n v="0"/>
    <n v="0"/>
    <n v="100000000"/>
    <n v="270366000"/>
    <s v="EN LICITACION"/>
  </r>
  <r>
    <m/>
    <m/>
    <x v="0"/>
    <x v="0"/>
    <m/>
    <x v="0"/>
    <m/>
    <m/>
    <m/>
    <m/>
    <m/>
    <s v="TOTAL DE INICIATIVAS EN LICITACION/ADJUDICACION"/>
    <n v="936818000"/>
    <n v="0"/>
    <n v="213290400"/>
    <n v="0"/>
    <n v="0"/>
    <n v="0"/>
    <n v="0"/>
    <n v="0"/>
    <n v="0"/>
    <n v="0"/>
    <n v="213290400"/>
    <n v="72352760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CONVENIO Y TRAMITE"/>
    <m/>
    <m/>
    <m/>
    <m/>
    <m/>
    <m/>
    <m/>
    <m/>
    <m/>
    <m/>
    <m/>
    <m/>
    <m/>
  </r>
  <r>
    <n v="29"/>
    <s v="N"/>
    <x v="4"/>
    <x v="3"/>
    <s v="DALCAHUE"/>
    <x v="1"/>
    <s v="EJECUCION"/>
    <n v="30485210"/>
    <s v="30485210-EJECUCION"/>
    <m/>
    <s v="30485210"/>
    <s v="REPOSICION DE MAQUINAS Y EQUIPOS MEJORAMIENTO DE CAMINOS(C33)"/>
    <n v="266381000"/>
    <n v="0"/>
    <n v="266381000"/>
    <n v="0"/>
    <n v="0"/>
    <n v="0"/>
    <n v="0"/>
    <n v="0"/>
    <n v="0"/>
    <n v="0"/>
    <n v="266381000"/>
    <n v="0"/>
    <s v="CON CONVENIO"/>
  </r>
  <r>
    <m/>
    <m/>
    <x v="0"/>
    <x v="0"/>
    <m/>
    <x v="0"/>
    <m/>
    <m/>
    <m/>
    <m/>
    <m/>
    <s v="TOTAL DE INICIATIVAS EN CONVENIO Y TRAMITE"/>
    <n v="266381000"/>
    <n v="0"/>
    <n v="266381000"/>
    <n v="0"/>
    <n v="0"/>
    <n v="0"/>
    <n v="0"/>
    <n v="0"/>
    <n v="0"/>
    <n v="0"/>
    <n v="266381000"/>
    <n v="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SIN MOVIMIENTO"/>
    <m/>
    <m/>
    <m/>
    <m/>
    <m/>
    <m/>
    <m/>
    <m/>
    <m/>
    <m/>
    <m/>
    <m/>
    <m/>
  </r>
  <r>
    <n v="29"/>
    <s v="N"/>
    <x v="5"/>
    <x v="3"/>
    <s v="DALCAHUE"/>
    <x v="6"/>
    <s v="EJECUCION"/>
    <n v="30438574"/>
    <s v="30438574-EJECUCION"/>
    <m/>
    <s v="30438574"/>
    <s v="REPOSICION DE EQUIPAMIENTO PARA LA RECOLECCION DE RSD DALCAHUE(C33)"/>
    <n v="348663000"/>
    <n v="0"/>
    <n v="30000000"/>
    <n v="0"/>
    <n v="0"/>
    <n v="0"/>
    <n v="0"/>
    <n v="0"/>
    <n v="0"/>
    <n v="0"/>
    <n v="30000000"/>
    <n v="318663000"/>
    <s v="RECOMENDADO"/>
  </r>
  <r>
    <n v="31"/>
    <s v="N"/>
    <x v="6"/>
    <x v="3"/>
    <s v="DALCAHUE"/>
    <x v="3"/>
    <s v="EJECUCION"/>
    <n v="30134013"/>
    <s v="30134013-EJECUCION"/>
    <m/>
    <s v="30134013"/>
    <s v="REPOSICION ESCUELA TEHUACO-QUETALCO COOMUNA DALCAHUE"/>
    <n v="695821000"/>
    <n v="0"/>
    <n v="0"/>
    <n v="0"/>
    <n v="0"/>
    <n v="0"/>
    <n v="0"/>
    <n v="0"/>
    <n v="0"/>
    <n v="0"/>
    <n v="0"/>
    <n v="695821000"/>
    <s v="ARI"/>
  </r>
  <r>
    <n v="31"/>
    <s v="N"/>
    <x v="8"/>
    <x v="3"/>
    <s v="DALCAHUE"/>
    <x v="4"/>
    <s v="EJECUCION"/>
    <n v="30485152"/>
    <s v="30485152-EJECUCION"/>
    <m/>
    <s v="30485152"/>
    <s v="CONSTRUCCION REDES DE AGUA POTABLE Y ALCANT. DIVERSOS SECTORES CIUDAD DALCAHUE"/>
    <n v="279810000"/>
    <n v="0"/>
    <n v="13990500"/>
    <n v="0"/>
    <n v="0"/>
    <n v="0"/>
    <n v="0"/>
    <n v="0"/>
    <n v="0"/>
    <n v="0"/>
    <n v="13990500"/>
    <n v="265819500"/>
    <s v="ARI"/>
  </r>
  <r>
    <n v="29"/>
    <s v="N"/>
    <x v="5"/>
    <x v="3"/>
    <s v="DALCAHUE"/>
    <x v="2"/>
    <s v="EJECUCION"/>
    <n v="30133287"/>
    <m/>
    <m/>
    <m/>
    <s v="ADQUISICION CAMION MULTIPROPOSITO EMERGIA PARA MUNICIPALIDAD DE DALCAHUE"/>
    <n v="428801000"/>
    <n v="0"/>
    <n v="0"/>
    <n v="0"/>
    <n v="0"/>
    <n v="0"/>
    <n v="0"/>
    <n v="0"/>
    <n v="0"/>
    <n v="0"/>
    <n v="0"/>
    <n v="428801000"/>
    <s v="APROBADO CORE"/>
  </r>
  <r>
    <n v="31"/>
    <s v="N"/>
    <x v="9"/>
    <x v="3"/>
    <s v="DALCAHUE"/>
    <x v="2"/>
    <s v="DISEÑO"/>
    <n v="40001662"/>
    <s v="40001662-DISEÑO"/>
    <m/>
    <s v="40001662"/>
    <s v="CONSTRUCCION CANCHA SINTETICA DE FUTBOL SECTOR MOCOPULLI"/>
    <n v="30000000"/>
    <n v="0"/>
    <n v="3000000"/>
    <n v="0"/>
    <n v="0"/>
    <n v="0"/>
    <n v="0"/>
    <n v="0"/>
    <n v="0"/>
    <n v="0"/>
    <n v="3000000"/>
    <n v="27000000"/>
    <s v="SOLICITUD"/>
  </r>
  <r>
    <m/>
    <m/>
    <x v="0"/>
    <x v="0"/>
    <m/>
    <x v="0"/>
    <m/>
    <m/>
    <m/>
    <m/>
    <m/>
    <s v="TOTAL DE INICIATIVAS SIN MOVIMIENTO"/>
    <n v="1783095000"/>
    <n v="0"/>
    <n v="46990500"/>
    <n v="0"/>
    <n v="0"/>
    <n v="0"/>
    <n v="0"/>
    <n v="0"/>
    <n v="0"/>
    <n v="0"/>
    <n v="46990500"/>
    <n v="173610450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TOTAL COMUNA DE  DALCAHUE"/>
    <n v="3825688000"/>
    <n v="713753493"/>
    <n v="615132137"/>
    <n v="0"/>
    <n v="0"/>
    <n v="38383418"/>
    <n v="38383418"/>
    <n v="732819"/>
    <n v="0"/>
    <n v="39116237"/>
    <n v="576015900"/>
    <n v="249680237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COMUNA DE PUQUELDON"/>
    <m/>
    <m/>
    <m/>
    <m/>
    <m/>
    <m/>
    <m/>
    <m/>
    <m/>
    <m/>
    <m/>
    <m/>
    <m/>
  </r>
  <r>
    <m/>
    <m/>
    <x v="0"/>
    <x v="0"/>
    <m/>
    <x v="0"/>
    <m/>
    <m/>
    <m/>
    <m/>
    <m/>
    <s v="INICIATIVAS EN EJECUCION"/>
    <m/>
    <m/>
    <m/>
    <m/>
    <m/>
    <m/>
    <m/>
    <m/>
    <m/>
    <m/>
    <m/>
    <m/>
    <m/>
  </r>
  <r>
    <n v="31"/>
    <s v="A"/>
    <x v="1"/>
    <x v="3"/>
    <s v="PUQUELDON"/>
    <x v="1"/>
    <s v="EJECUCION"/>
    <n v="30042613"/>
    <s v="30042613-EJECUCION"/>
    <s v="30042613-FNDR"/>
    <s v="30042613"/>
    <s v="NORMALIZACION CONSULTORIO RURAL PUQUELDON"/>
    <n v="3472101337"/>
    <n v="1786871036"/>
    <n v="1605198377"/>
    <n v="176294160"/>
    <n v="234125658"/>
    <n v="246039930"/>
    <n v="656459748"/>
    <n v="109391780"/>
    <n v="65450883"/>
    <n v="831302411"/>
    <n v="773895966"/>
    <n v="80031924"/>
    <s v="EN REEVALUACION"/>
  </r>
  <r>
    <m/>
    <m/>
    <x v="0"/>
    <x v="0"/>
    <m/>
    <x v="0"/>
    <m/>
    <m/>
    <m/>
    <m/>
    <m/>
    <s v="TOTAL DE INICIATIVAS EN EJECUCION"/>
    <n v="3472101337"/>
    <n v="1786871036"/>
    <n v="1605198377"/>
    <n v="176294160"/>
    <n v="234125658"/>
    <n v="246039930"/>
    <n v="656459748"/>
    <n v="109391780"/>
    <n v="65450883"/>
    <n v="831302411"/>
    <n v="773895966"/>
    <n v="80031924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TERMINADAS"/>
    <m/>
    <m/>
    <m/>
    <m/>
    <m/>
    <m/>
    <m/>
    <m/>
    <m/>
    <m/>
    <m/>
    <m/>
    <m/>
  </r>
  <r>
    <n v="31"/>
    <s v="A"/>
    <x v="4"/>
    <x v="3"/>
    <s v="PUQUELDON"/>
    <x v="10"/>
    <s v="EJECUCION"/>
    <n v="30365273"/>
    <s v="30365273-EJECUCION"/>
    <m/>
    <s v="30365273"/>
    <s v="CONSERVACION DIVERSOS CAMINOS  RURALES COMUNA DE PUQUELDON (C33)"/>
    <n v="236080268"/>
    <n v="144981756"/>
    <n v="91098512"/>
    <n v="0"/>
    <n v="0"/>
    <n v="91098512"/>
    <n v="91098512"/>
    <n v="0"/>
    <n v="0"/>
    <n v="91098512"/>
    <n v="0"/>
    <n v="0"/>
    <s v="TERMINADO"/>
  </r>
  <r>
    <m/>
    <m/>
    <x v="0"/>
    <x v="0"/>
    <m/>
    <x v="0"/>
    <m/>
    <m/>
    <m/>
    <m/>
    <m/>
    <s v="TOTAL DE INICIATIVAS TERMINADAS"/>
    <n v="236080268"/>
    <n v="144981756"/>
    <n v="91098512"/>
    <n v="0"/>
    <n v="0"/>
    <n v="91098512"/>
    <n v="91098512"/>
    <n v="0"/>
    <n v="0"/>
    <n v="91098512"/>
    <n v="0"/>
    <n v="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SIN MOVIMIENTO"/>
    <m/>
    <m/>
    <m/>
    <m/>
    <m/>
    <m/>
    <m/>
    <m/>
    <m/>
    <m/>
    <m/>
    <m/>
    <m/>
  </r>
  <r>
    <n v="29"/>
    <s v="N"/>
    <x v="4"/>
    <x v="3"/>
    <s v="PUQUELDON"/>
    <x v="1"/>
    <s v="EJECUCION"/>
    <n v="30466153"/>
    <s v="30466153-EJECUCION"/>
    <m/>
    <s v="30466153"/>
    <s v="ADQUISICION CAMION MULIPROPOSITO MUNICIPALIDAD DE PUQUELDON(C33)"/>
    <n v="131605000"/>
    <n v="0"/>
    <n v="40000000"/>
    <n v="0"/>
    <n v="0"/>
    <n v="0"/>
    <n v="0"/>
    <n v="0"/>
    <n v="0"/>
    <n v="0"/>
    <n v="40000000"/>
    <n v="91605000"/>
    <s v="ARI"/>
  </r>
  <r>
    <n v="31"/>
    <s v="N"/>
    <x v="5"/>
    <x v="3"/>
    <s v="PUQUELDON"/>
    <x v="2"/>
    <s v="DISEÑO"/>
    <n v="30395772"/>
    <s v="30395772-DISEÑO"/>
    <m/>
    <s v="30395772"/>
    <s v="CONSTRUCCION CENTRO COMUNITARIO DEL ADULTO MAYOR - COMUNA PUQUELDON"/>
    <n v="78786000"/>
    <n v="0"/>
    <n v="21094488"/>
    <n v="0"/>
    <n v="0"/>
    <n v="0"/>
    <n v="0"/>
    <n v="0"/>
    <n v="0"/>
    <n v="0"/>
    <n v="21094488"/>
    <n v="57691512"/>
    <s v="ARI"/>
  </r>
  <r>
    <n v="31"/>
    <s v="N"/>
    <x v="9"/>
    <x v="3"/>
    <s v="PUQUELDON"/>
    <x v="2"/>
    <s v="EJECUCION"/>
    <n v="30485160"/>
    <s v="30485160-EJECUCION"/>
    <m/>
    <s v="30485160"/>
    <s v="CONSERVACION ESTADIO MUNICIPAL DE PUQUELDON(C33)"/>
    <n v="199700000"/>
    <n v="0"/>
    <n v="30000000"/>
    <n v="0"/>
    <n v="0"/>
    <n v="0"/>
    <n v="0"/>
    <n v="0"/>
    <n v="0"/>
    <n v="0"/>
    <n v="30000000"/>
    <n v="169700000"/>
    <s v="ARI"/>
  </r>
  <r>
    <m/>
    <m/>
    <x v="0"/>
    <x v="0"/>
    <m/>
    <x v="0"/>
    <m/>
    <m/>
    <m/>
    <m/>
    <m/>
    <s v="TOTAL DE INICIATIVAS SIN MOVIMIENTO"/>
    <n v="410091000"/>
    <n v="0"/>
    <n v="91094488"/>
    <n v="0"/>
    <n v="0"/>
    <n v="0"/>
    <n v="0"/>
    <n v="0"/>
    <n v="0"/>
    <n v="0"/>
    <n v="91094488"/>
    <n v="318996512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TOTAL COMUNA DE  PUQUELDON"/>
    <n v="4118272605"/>
    <n v="1931852792"/>
    <n v="1787391377"/>
    <n v="176294160"/>
    <n v="234125658"/>
    <n v="337138442"/>
    <n v="747558260"/>
    <n v="109391780"/>
    <n v="65450883"/>
    <n v="922400923"/>
    <n v="864990454"/>
    <n v="399028436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COMUNA DE QUELLON"/>
    <m/>
    <m/>
    <m/>
    <m/>
    <m/>
    <m/>
    <m/>
    <m/>
    <m/>
    <m/>
    <m/>
    <m/>
    <m/>
  </r>
  <r>
    <m/>
    <m/>
    <x v="0"/>
    <x v="0"/>
    <m/>
    <x v="0"/>
    <m/>
    <m/>
    <m/>
    <m/>
    <m/>
    <s v="INICIATIVAS EN EJECUCION"/>
    <m/>
    <m/>
    <m/>
    <m/>
    <m/>
    <m/>
    <m/>
    <m/>
    <m/>
    <m/>
    <m/>
    <m/>
    <m/>
  </r>
  <r>
    <n v="31"/>
    <s v="P"/>
    <x v="4"/>
    <x v="3"/>
    <s v="QUELLON"/>
    <x v="10"/>
    <s v="EJECUCION"/>
    <n v="30428525"/>
    <s v="30428525-EJECUCION"/>
    <m/>
    <s v="30428525"/>
    <s v="CONSERVACION CAMINOS NO ENROLADOS QUELLON CONTINENTAL (C33)"/>
    <n v="460050000"/>
    <n v="0"/>
    <n v="460050000"/>
    <n v="0"/>
    <n v="82343181"/>
    <n v="109322152"/>
    <n v="191665333"/>
    <n v="103554276"/>
    <n v="0"/>
    <n v="295219609"/>
    <n v="164830391"/>
    <n v="0"/>
    <s v="EN EJECUCION"/>
  </r>
  <r>
    <m/>
    <m/>
    <x v="0"/>
    <x v="0"/>
    <m/>
    <x v="0"/>
    <m/>
    <m/>
    <m/>
    <m/>
    <m/>
    <s v="TOTAL DE INICIATIVAS EN EJECUCION"/>
    <n v="460050000"/>
    <n v="0"/>
    <n v="460050000"/>
    <n v="0"/>
    <n v="82343181"/>
    <n v="109322152"/>
    <n v="191665333"/>
    <n v="103554276"/>
    <n v="0"/>
    <n v="295219609"/>
    <n v="164830391"/>
    <n v="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TERMINADAS"/>
    <m/>
    <m/>
    <m/>
    <m/>
    <m/>
    <m/>
    <m/>
    <m/>
    <m/>
    <m/>
    <m/>
    <m/>
    <m/>
  </r>
  <r>
    <n v="31"/>
    <s v="A"/>
    <x v="3"/>
    <x v="3"/>
    <s v="QUELLON"/>
    <x v="2"/>
    <s v="EJECUCION"/>
    <n v="30090907"/>
    <s v="30090907-EJECUCION"/>
    <m/>
    <s v="30090907"/>
    <s v="ACTUALIZACION Y DIAGNOSTICO PLAN REGULADOR COMUNA QUELLON"/>
    <n v="57000000"/>
    <n v="57000000"/>
    <n v="0"/>
    <n v="0"/>
    <n v="0"/>
    <n v="0"/>
    <n v="0"/>
    <n v="0"/>
    <n v="0"/>
    <n v="0"/>
    <n v="0"/>
    <n v="0"/>
    <s v="TERMINADO"/>
  </r>
  <r>
    <n v="24"/>
    <s v="N"/>
    <x v="11"/>
    <x v="3"/>
    <s v="QUELLON"/>
    <x v="5"/>
    <s v="EJECUCION"/>
    <n v="30137134"/>
    <s v="30137134-EJECUCION"/>
    <m/>
    <m/>
    <s v="TRANSFERENCIA SUBSIDIO OPER. SIST. AUTOGENERACION ISLA CHAULLIN QUELLON"/>
    <n v="28649425"/>
    <n v="0"/>
    <n v="28649425"/>
    <m/>
    <m/>
    <m/>
    <n v="0"/>
    <n v="0"/>
    <n v="28649425"/>
    <n v="28649425"/>
    <n v="0"/>
    <n v="0"/>
    <s v="EN EJECUCION"/>
  </r>
  <r>
    <m/>
    <m/>
    <x v="0"/>
    <x v="0"/>
    <m/>
    <x v="0"/>
    <m/>
    <m/>
    <m/>
    <m/>
    <m/>
    <s v="TOTAL DE INICIATIVAS TERMINADAS"/>
    <n v="85649425"/>
    <n v="57000000"/>
    <n v="28649425"/>
    <n v="0"/>
    <n v="0"/>
    <n v="0"/>
    <n v="0"/>
    <n v="0"/>
    <n v="28649425"/>
    <n v="28649425"/>
    <n v="0"/>
    <n v="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LICITACION/ADJUDICACION"/>
    <m/>
    <m/>
    <m/>
    <m/>
    <m/>
    <m/>
    <m/>
    <m/>
    <m/>
    <m/>
    <m/>
    <m/>
    <m/>
  </r>
  <r>
    <n v="29"/>
    <s v="N"/>
    <x v="5"/>
    <x v="3"/>
    <s v="QUELLON"/>
    <x v="2"/>
    <s v="EJECUCION"/>
    <n v="30375772"/>
    <s v="30375772-EJECUCION"/>
    <m/>
    <s v="30375772"/>
    <s v="ADQUISICION MAQUINARIA CAMION MULTIPROPOSITO DE EMERGENCIA MUNICIPAL(C33)"/>
    <n v="359065000"/>
    <n v="0"/>
    <n v="359065000"/>
    <n v="0"/>
    <n v="0"/>
    <n v="0"/>
    <n v="0"/>
    <n v="0"/>
    <n v="0"/>
    <n v="0"/>
    <n v="359065000"/>
    <n v="0"/>
    <s v="TERMINADO"/>
  </r>
  <r>
    <n v="31"/>
    <s v="P"/>
    <x v="6"/>
    <x v="3"/>
    <s v="QUELLON"/>
    <x v="1"/>
    <s v="EJECUCION"/>
    <n v="30472589"/>
    <s v="30472589-EJECUCION"/>
    <m/>
    <s v="30472589"/>
    <s v="REPOSICION ESCUELA RURAL DE COINCO"/>
    <n v="2492785000"/>
    <n v="25770000"/>
    <n v="100000000"/>
    <n v="0"/>
    <n v="0"/>
    <n v="0"/>
    <n v="0"/>
    <n v="0"/>
    <n v="0"/>
    <n v="0"/>
    <n v="100000000"/>
    <n v="2367015000"/>
    <s v="EN LICITACION"/>
  </r>
  <r>
    <m/>
    <m/>
    <x v="0"/>
    <x v="0"/>
    <m/>
    <x v="0"/>
    <m/>
    <m/>
    <m/>
    <m/>
    <m/>
    <s v="TOTAL DE INICIATIVAS EN LICITACION/ADJUDICACION"/>
    <n v="2851850000"/>
    <n v="25770000"/>
    <n v="459065000"/>
    <n v="0"/>
    <n v="0"/>
    <n v="0"/>
    <n v="0"/>
    <n v="0"/>
    <n v="0"/>
    <n v="0"/>
    <n v="459065000"/>
    <n v="236701500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CONVENIO Y TRAMITE"/>
    <m/>
    <m/>
    <m/>
    <m/>
    <m/>
    <m/>
    <m/>
    <m/>
    <m/>
    <m/>
    <m/>
    <m/>
    <m/>
  </r>
  <r>
    <n v="31"/>
    <s v="P"/>
    <x v="10"/>
    <x v="3"/>
    <s v="QUELLON"/>
    <x v="5"/>
    <s v="EJECUCION"/>
    <n v="30118591"/>
    <s v="30118591-EJECUCION"/>
    <m/>
    <s v="30118591"/>
    <s v="HABILITACION SUMINISTRO ENERGIA ELECTRICA, SECTOR CURANUE SUR, QUELLON"/>
    <n v="237928000"/>
    <n v="0"/>
    <n v="237928000"/>
    <n v="0"/>
    <n v="0"/>
    <n v="0"/>
    <n v="0"/>
    <n v="0"/>
    <n v="0"/>
    <n v="0"/>
    <n v="237928000"/>
    <n v="0"/>
    <s v="TRAMITE CONVENIO"/>
  </r>
  <r>
    <m/>
    <m/>
    <x v="0"/>
    <x v="0"/>
    <m/>
    <x v="0"/>
    <m/>
    <m/>
    <m/>
    <m/>
    <m/>
    <s v="TOTAL DE INICIATIVAS EN CONVENIO Y TRAMITE"/>
    <n v="237928000"/>
    <n v="0"/>
    <n v="237928000"/>
    <n v="0"/>
    <n v="0"/>
    <n v="0"/>
    <n v="0"/>
    <n v="0"/>
    <n v="0"/>
    <n v="0"/>
    <n v="237928000"/>
    <n v="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SIN MOVIMIENTO"/>
    <m/>
    <m/>
    <m/>
    <m/>
    <m/>
    <m/>
    <m/>
    <m/>
    <m/>
    <m/>
    <m/>
    <m/>
    <m/>
  </r>
  <r>
    <n v="31"/>
    <s v="N"/>
    <x v="6"/>
    <x v="3"/>
    <s v="QUELLON"/>
    <x v="3"/>
    <s v="EJECUCION"/>
    <n v="30069919"/>
    <s v="30069919-EJECUCION"/>
    <m/>
    <s v="30069919"/>
    <s v="CONSTRUCCION GIMNASIO ESCUELA ORIENTE"/>
    <n v="1080359000"/>
    <n v="0"/>
    <n v="0"/>
    <n v="0"/>
    <n v="0"/>
    <n v="0"/>
    <n v="0"/>
    <n v="0"/>
    <n v="0"/>
    <n v="0"/>
    <n v="0"/>
    <n v="1080359000"/>
    <s v="ARI"/>
  </r>
  <r>
    <n v="31"/>
    <s v="N"/>
    <x v="6"/>
    <x v="3"/>
    <s v="QUELLON"/>
    <x v="3"/>
    <s v="EJECUCION"/>
    <n v="30135630"/>
    <s v="30135630-EJECUCION"/>
    <m/>
    <s v="30135630"/>
    <s v="REPOSICION ESCUELA RURAL DE COMPU, COMUNA DE QUELLON"/>
    <n v="1143510000"/>
    <n v="0"/>
    <n v="10000000"/>
    <n v="0"/>
    <n v="0"/>
    <n v="0"/>
    <n v="0"/>
    <n v="0"/>
    <n v="0"/>
    <n v="0"/>
    <n v="10000000"/>
    <n v="1133510000"/>
    <s v="ARI"/>
  </r>
  <r>
    <n v="31"/>
    <s v="N"/>
    <x v="9"/>
    <x v="3"/>
    <s v="QUELLON"/>
    <x v="2"/>
    <s v="EJECUCION"/>
    <n v="30125850"/>
    <s v="30125850-EJECUCION"/>
    <m/>
    <s v="30125850"/>
    <s v="CONSTRUCCION MULTICANCHA CERRADA FRANCISCO COLOANE COMUNA DE QUELLON"/>
    <n v="295030000"/>
    <n v="0"/>
    <n v="11350575"/>
    <n v="0"/>
    <n v="0"/>
    <n v="0"/>
    <n v="0"/>
    <n v="0"/>
    <n v="0"/>
    <n v="0"/>
    <n v="11350575"/>
    <n v="283679425"/>
    <s v="ARI"/>
  </r>
  <r>
    <m/>
    <m/>
    <x v="0"/>
    <x v="0"/>
    <m/>
    <x v="0"/>
    <m/>
    <m/>
    <m/>
    <m/>
    <m/>
    <s v="TOTAL DE INICIATIVAS SIN MOVIMIENTO"/>
    <n v="2518899000"/>
    <n v="0"/>
    <n v="21350575"/>
    <n v="0"/>
    <n v="0"/>
    <n v="0"/>
    <n v="0"/>
    <n v="0"/>
    <n v="0"/>
    <n v="0"/>
    <n v="21350575"/>
    <n v="2497548425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TOTAL COMUNA DE  QUELLON"/>
    <n v="6154376425"/>
    <n v="82770000"/>
    <n v="1207043000"/>
    <n v="0"/>
    <n v="82343181"/>
    <n v="109322152"/>
    <n v="191665333"/>
    <n v="103554276"/>
    <n v="28649425"/>
    <n v="323869034"/>
    <n v="883173966"/>
    <n v="4864563425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COMUNA DE QUEILEN"/>
    <m/>
    <m/>
    <m/>
    <m/>
    <m/>
    <m/>
    <m/>
    <m/>
    <m/>
    <m/>
    <m/>
    <m/>
    <m/>
  </r>
  <r>
    <m/>
    <m/>
    <x v="0"/>
    <x v="0"/>
    <m/>
    <x v="0"/>
    <m/>
    <m/>
    <m/>
    <m/>
    <m/>
    <s v="INICIATIVAS EN EJECUCION"/>
    <m/>
    <m/>
    <m/>
    <m/>
    <m/>
    <m/>
    <m/>
    <m/>
    <m/>
    <m/>
    <m/>
    <m/>
    <m/>
  </r>
  <r>
    <n v="31"/>
    <s v="A"/>
    <x v="6"/>
    <x v="3"/>
    <s v="QUEILEN"/>
    <x v="3"/>
    <s v="EJECUCION"/>
    <n v="30343540"/>
    <s v="30343540-EJECUCION"/>
    <m/>
    <s v="30343540"/>
    <s v="REPOSICION INTERNADO MIXTO LICEO POLIVALENTE DE QUEILEN"/>
    <n v="1125337000"/>
    <n v="196238450"/>
    <n v="900337000"/>
    <n v="52183058"/>
    <n v="72633349"/>
    <n v="121953178"/>
    <n v="246769585"/>
    <n v="81461674"/>
    <n v="72454805"/>
    <n v="400686064"/>
    <n v="499650936"/>
    <n v="28761550"/>
    <s v="EN EJECUCION"/>
  </r>
  <r>
    <m/>
    <m/>
    <x v="0"/>
    <x v="0"/>
    <m/>
    <x v="0"/>
    <m/>
    <m/>
    <m/>
    <m/>
    <m/>
    <s v="TOTAL DE INICIATIVAS EN EJECUCION"/>
    <n v="1125337000"/>
    <n v="196238450"/>
    <n v="900337000"/>
    <n v="52183058"/>
    <n v="72633349"/>
    <n v="121953178"/>
    <n v="246769585"/>
    <n v="81461674"/>
    <n v="72454805"/>
    <n v="400686064"/>
    <n v="499650936"/>
    <n v="2876155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CONVENIO Y TRAMITE"/>
    <m/>
    <m/>
    <m/>
    <m/>
    <m/>
    <m/>
    <m/>
    <m/>
    <m/>
    <m/>
    <m/>
    <m/>
    <m/>
  </r>
  <r>
    <n v="31"/>
    <s v="N"/>
    <x v="10"/>
    <x v="3"/>
    <s v="QUEILEN"/>
    <x v="5"/>
    <s v="EJECUCION"/>
    <n v="30388222"/>
    <s v="30388222-EJECUCION"/>
    <m/>
    <s v="30388222"/>
    <s v="HABILITACION SUMINISTRO ENERGIA ELECTRICA, SECTOR COLO COLO"/>
    <n v="103744000"/>
    <n v="0"/>
    <n v="103744000"/>
    <n v="0"/>
    <n v="0"/>
    <n v="0"/>
    <n v="0"/>
    <n v="0"/>
    <n v="0"/>
    <n v="0"/>
    <n v="103744000"/>
    <n v="0"/>
    <s v="TRAMITE CONVENIO"/>
  </r>
  <r>
    <m/>
    <m/>
    <x v="0"/>
    <x v="0"/>
    <m/>
    <x v="0"/>
    <m/>
    <m/>
    <m/>
    <m/>
    <m/>
    <s v="TOTAL DE INICIATIVAS EN CONVENIO Y TRAMITE"/>
    <n v="103744000"/>
    <n v="0"/>
    <n v="103744000"/>
    <n v="0"/>
    <n v="0"/>
    <n v="0"/>
    <n v="0"/>
    <n v="0"/>
    <n v="0"/>
    <n v="0"/>
    <n v="103744000"/>
    <n v="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SIN MOVIMIENTO"/>
    <m/>
    <m/>
    <m/>
    <m/>
    <m/>
    <m/>
    <m/>
    <m/>
    <m/>
    <m/>
    <m/>
    <m/>
    <m/>
  </r>
  <r>
    <n v="31"/>
    <s v="N"/>
    <x v="9"/>
    <x v="3"/>
    <s v="QUEILEN"/>
    <x v="2"/>
    <s v="DISEÑO"/>
    <n v="30135053"/>
    <s v="30135053-DISEÑO"/>
    <m/>
    <s v="30135053"/>
    <s v="CONSTRUCCION ESTADIO MUNICIPAL DE QUEILEN, COMUNA DE QUEILEN"/>
    <n v="74568000"/>
    <n v="0"/>
    <n v="10000000"/>
    <n v="0"/>
    <n v="0"/>
    <n v="0"/>
    <n v="0"/>
    <n v="0"/>
    <n v="0"/>
    <n v="0"/>
    <n v="10000000"/>
    <n v="64568000"/>
    <s v="ARI"/>
  </r>
  <r>
    <n v="31"/>
    <s v="N"/>
    <x v="1"/>
    <x v="3"/>
    <s v="QUEILEN"/>
    <x v="2"/>
    <s v="EJECUCION"/>
    <n v="30078798"/>
    <s v="30078798-EJECUCION"/>
    <s v="30078798-FNDR"/>
    <s v="30078798"/>
    <s v="REPOSICION POSTA DE SALUD RURAL DE PIO PIO, COMUNA DE QUEILEN"/>
    <n v="450505000"/>
    <n v="0"/>
    <n v="10000000"/>
    <n v="0"/>
    <n v="0"/>
    <n v="0"/>
    <n v="0"/>
    <n v="0"/>
    <n v="0"/>
    <n v="0"/>
    <n v="10000000"/>
    <n v="440505000"/>
    <s v="ARI"/>
  </r>
  <r>
    <n v="31"/>
    <s v="N"/>
    <x v="9"/>
    <x v="3"/>
    <s v="QUEILEN"/>
    <x v="2"/>
    <s v="EJECUCION"/>
    <n v="30480757"/>
    <s v="30480757-EJECUCION"/>
    <m/>
    <s v="30480757"/>
    <s v="CONSERVACION COMPLEJO DEPORTIVO COMUNA DE QUEILEN(C33)"/>
    <n v="314000000"/>
    <n v="0"/>
    <n v="10000000"/>
    <n v="0"/>
    <n v="0"/>
    <n v="0"/>
    <n v="0"/>
    <n v="0"/>
    <n v="0"/>
    <n v="0"/>
    <n v="10000000"/>
    <n v="304000000"/>
    <s v="ARI"/>
  </r>
  <r>
    <n v="31"/>
    <s v="N"/>
    <x v="10"/>
    <x v="3"/>
    <s v="QUEILEN"/>
    <x v="2"/>
    <s v="EJECUCION"/>
    <n v="40001184"/>
    <s v="40001184-EJECUCION"/>
    <m/>
    <s v="40001184"/>
    <s v="HABILITACION SUMINISTRO ENERGIA ELECTRICA, CAMINO EL ROBLE DE DETICO"/>
    <n v="109664000"/>
    <n v="0"/>
    <n v="10000000"/>
    <n v="0"/>
    <n v="0"/>
    <n v="0"/>
    <n v="0"/>
    <n v="0"/>
    <n v="0"/>
    <n v="0"/>
    <n v="10000000"/>
    <n v="99664000"/>
    <s v="SOLICITUD CAMBIO"/>
  </r>
  <r>
    <n v="31"/>
    <s v="N"/>
    <x v="10"/>
    <x v="3"/>
    <s v="QUEILEN"/>
    <x v="2"/>
    <s v="EJECUCION"/>
    <n v="40002388"/>
    <s v="40002388-EJECUCION"/>
    <m/>
    <s v="40002388"/>
    <s v="HABILITACION SUMINISTRO ENERGIA ELECTRICA, AGONI ALTO, QUEILEN"/>
    <n v="160100000"/>
    <n v="0"/>
    <n v="15000000"/>
    <n v="0"/>
    <n v="0"/>
    <n v="0"/>
    <n v="0"/>
    <n v="0"/>
    <n v="0"/>
    <n v="0"/>
    <n v="15000000"/>
    <n v="145100000"/>
    <s v="SOLICITUD CAMBIO"/>
  </r>
  <r>
    <n v="31"/>
    <s v="N"/>
    <x v="9"/>
    <x v="3"/>
    <s v="QUEILEN"/>
    <x v="2"/>
    <s v="EJECUCION"/>
    <n v="40002386"/>
    <s v="40002386-EJECUCION"/>
    <m/>
    <s v="40002386"/>
    <s v="MEJORAMIENTO INTEGRAL ESTADIO MUNICIPAL DE QUEILEN"/>
    <n v="438741000"/>
    <n v="0"/>
    <n v="20000000"/>
    <n v="0"/>
    <n v="0"/>
    <n v="0"/>
    <n v="0"/>
    <n v="0"/>
    <n v="0"/>
    <n v="0"/>
    <n v="20000000"/>
    <n v="418741000"/>
    <s v="SOLICITUD CAMBIO"/>
  </r>
  <r>
    <m/>
    <m/>
    <x v="0"/>
    <x v="0"/>
    <m/>
    <x v="0"/>
    <m/>
    <m/>
    <m/>
    <m/>
    <m/>
    <s v="TOTAL DE INICIATIVAS SIN MOVIMIENTO"/>
    <n v="1547578000"/>
    <n v="0"/>
    <n v="75000000"/>
    <n v="0"/>
    <n v="0"/>
    <n v="0"/>
    <n v="0"/>
    <n v="0"/>
    <n v="0"/>
    <n v="0"/>
    <n v="75000000"/>
    <n v="147257800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TOTAL COMUNA DE  QUEILEN"/>
    <n v="2776659000"/>
    <n v="196238450"/>
    <n v="1079081000"/>
    <n v="52183058"/>
    <n v="72633349"/>
    <n v="121953178"/>
    <n v="246769585"/>
    <n v="81461674"/>
    <n v="72454805"/>
    <n v="400686064"/>
    <n v="678394936"/>
    <n v="150133955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COMUNA DE QUEMCHI"/>
    <m/>
    <m/>
    <m/>
    <m/>
    <m/>
    <m/>
    <m/>
    <m/>
    <m/>
    <m/>
    <m/>
    <m/>
    <m/>
  </r>
  <r>
    <m/>
    <m/>
    <x v="0"/>
    <x v="0"/>
    <m/>
    <x v="0"/>
    <m/>
    <m/>
    <m/>
    <m/>
    <m/>
    <s v="INICIATIVAS EN EJECUCION"/>
    <m/>
    <m/>
    <m/>
    <m/>
    <m/>
    <m/>
    <m/>
    <m/>
    <m/>
    <m/>
    <m/>
    <m/>
    <m/>
  </r>
  <r>
    <n v="31"/>
    <s v="A"/>
    <x v="9"/>
    <x v="3"/>
    <s v="QUEMCHI"/>
    <x v="1"/>
    <s v="EJECUCION"/>
    <n v="30133125"/>
    <s v="30133125-EJECUCION"/>
    <m/>
    <s v="30133125"/>
    <s v="CONSTRUCCION ESTADIO MUNICIPAL DE QUEMCHI"/>
    <n v="1500000000"/>
    <n v="1224005772"/>
    <n v="125000000"/>
    <n v="0"/>
    <n v="0"/>
    <n v="0"/>
    <n v="0"/>
    <n v="0"/>
    <n v="0"/>
    <n v="0"/>
    <n v="125000000"/>
    <n v="150994228"/>
    <s v="EN EJECUCION"/>
  </r>
  <r>
    <n v="31"/>
    <s v="P"/>
    <x v="6"/>
    <x v="3"/>
    <s v="QUEMCHI"/>
    <x v="3"/>
    <s v="EJECUCION"/>
    <n v="30185572"/>
    <s v="30185572-EJECUCION"/>
    <m/>
    <s v="30185572"/>
    <s v="REPOSICION ESCUELA BASICA LLIUCO "/>
    <n v="2375649000"/>
    <n v="0"/>
    <n v="411837966"/>
    <n v="0"/>
    <n v="0"/>
    <n v="165892765"/>
    <n v="165892765"/>
    <n v="78595013"/>
    <n v="142171104"/>
    <n v="386658882"/>
    <n v="25179084"/>
    <n v="1963811034"/>
    <s v="EN EJECUCION"/>
  </r>
  <r>
    <m/>
    <m/>
    <x v="0"/>
    <x v="0"/>
    <m/>
    <x v="0"/>
    <m/>
    <m/>
    <m/>
    <m/>
    <m/>
    <s v="TOTAL DE INICIATIVAS EN EJECUCION"/>
    <n v="3875649000"/>
    <n v="1224005772"/>
    <n v="536837966"/>
    <n v="0"/>
    <n v="0"/>
    <n v="165892765"/>
    <n v="165892765"/>
    <n v="78595013"/>
    <n v="142171104"/>
    <n v="386658882"/>
    <n v="150179084"/>
    <n v="2114805262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TERMINADAS"/>
    <m/>
    <m/>
    <m/>
    <m/>
    <m/>
    <m/>
    <m/>
    <m/>
    <m/>
    <m/>
    <m/>
    <m/>
    <m/>
  </r>
  <r>
    <n v="31"/>
    <s v="A"/>
    <x v="1"/>
    <x v="3"/>
    <s v="QUEMCHI"/>
    <x v="2"/>
    <s v="EJECUCION"/>
    <n v="30083106"/>
    <s v="30083106-EJECUCION"/>
    <m/>
    <s v="30083106"/>
    <s v="REPOSICION CENTRO DE SALUD DE QUEMCHI"/>
    <n v="2551974126"/>
    <n v="2551974126"/>
    <n v="0"/>
    <n v="0"/>
    <n v="0"/>
    <n v="0"/>
    <n v="0"/>
    <n v="0"/>
    <n v="0"/>
    <n v="0"/>
    <n v="0"/>
    <n v="0"/>
    <s v="TERMINADO"/>
  </r>
  <r>
    <n v="24"/>
    <s v="A"/>
    <x v="11"/>
    <x v="3"/>
    <s v="QUEMCHI"/>
    <x v="5"/>
    <s v="EJECUCION"/>
    <n v="30137258"/>
    <s v="30137258-EJECUCION"/>
    <m/>
    <s v="30137258"/>
    <s v="SUBSIDIO A LA OPERACION SISTEMA DE AUTOGENERACION ISLA DE QUEMCHI"/>
    <n v="754572327"/>
    <n v="288493398"/>
    <n v="466078929"/>
    <n v="0"/>
    <n v="0"/>
    <n v="0"/>
    <n v="0"/>
    <n v="306078929"/>
    <n v="0"/>
    <n v="306078929"/>
    <n v="160000000"/>
    <n v="0"/>
    <s v="TERMINADO"/>
  </r>
  <r>
    <n v="31"/>
    <s v="P"/>
    <x v="10"/>
    <x v="3"/>
    <s v="QUEMCHI"/>
    <x v="5"/>
    <s v="EJECUCION"/>
    <n v="30288528"/>
    <s v="30288528-EJECUCION"/>
    <m/>
    <s v="30288528"/>
    <s v="HABILITACION Y MEJORAMIENTO SUMINISTRO ENERGIA ELECTRICA, TUBILDAD MONTAÑA"/>
    <n v="104688000"/>
    <n v="104688000"/>
    <n v="0"/>
    <n v="0"/>
    <n v="0"/>
    <n v="0"/>
    <n v="0"/>
    <n v="0"/>
    <n v="0"/>
    <n v="0"/>
    <n v="0"/>
    <n v="0"/>
    <s v="TERMINADO"/>
  </r>
  <r>
    <m/>
    <m/>
    <x v="0"/>
    <x v="0"/>
    <m/>
    <x v="0"/>
    <m/>
    <m/>
    <m/>
    <m/>
    <m/>
    <s v="TOTAL DE INICIATIVAS TERMINADAS"/>
    <n v="3411234453"/>
    <n v="2945155524"/>
    <n v="466078929"/>
    <n v="0"/>
    <n v="0"/>
    <n v="0"/>
    <n v="0"/>
    <n v="306078929"/>
    <n v="0"/>
    <n v="306078929"/>
    <n v="160000000"/>
    <n v="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LICITACION/ADJUDICACION"/>
    <m/>
    <m/>
    <m/>
    <m/>
    <m/>
    <m/>
    <m/>
    <m/>
    <m/>
    <m/>
    <m/>
    <m/>
    <m/>
  </r>
  <r>
    <n v="31"/>
    <s v="P"/>
    <x v="4"/>
    <x v="3"/>
    <s v="QUEMCHI"/>
    <x v="1"/>
    <s v="EJECUCION"/>
    <n v="30430173"/>
    <s v="30430173-EJECUCION"/>
    <m/>
    <s v="30430173"/>
    <s v="CONSERVACION CAMINOS ISLA BUTACHAUQUES (C33)"/>
    <n v="547411000"/>
    <n v="0"/>
    <n v="54741100"/>
    <n v="0"/>
    <n v="0"/>
    <n v="0"/>
    <n v="0"/>
    <n v="0"/>
    <n v="0"/>
    <n v="0"/>
    <n v="54741100"/>
    <n v="492669900"/>
    <s v="EN LICITACION"/>
  </r>
  <r>
    <n v="31"/>
    <s v="P"/>
    <x v="4"/>
    <x v="3"/>
    <s v="QUEMCHI"/>
    <x v="1"/>
    <s v="EJECUCION"/>
    <n v="30396026"/>
    <s v="30396026-EJECUCION"/>
    <m/>
    <s v="30396026"/>
    <s v="CONSERVACION CAMINOS RURALES SECTOR SUR (C33)"/>
    <n v="532121000"/>
    <n v="0"/>
    <n v="40000000"/>
    <n v="0"/>
    <n v="0"/>
    <n v="0"/>
    <n v="0"/>
    <n v="0"/>
    <n v="0"/>
    <n v="0"/>
    <n v="40000000"/>
    <n v="492121000"/>
    <s v="EN LICITACION"/>
  </r>
  <r>
    <m/>
    <m/>
    <x v="0"/>
    <x v="0"/>
    <m/>
    <x v="0"/>
    <m/>
    <m/>
    <m/>
    <m/>
    <m/>
    <s v="TOTAL DE INICIATIVAS EN LICITACION/ADJUDICACION"/>
    <n v="1079532000"/>
    <n v="0"/>
    <n v="94741100"/>
    <n v="0"/>
    <n v="0"/>
    <n v="0"/>
    <n v="0"/>
    <n v="0"/>
    <n v="0"/>
    <n v="0"/>
    <n v="94741100"/>
    <n v="98479090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CONVENIO Y TRAMITE"/>
    <m/>
    <m/>
    <m/>
    <m/>
    <m/>
    <m/>
    <m/>
    <m/>
    <m/>
    <m/>
    <m/>
    <m/>
    <m/>
  </r>
  <r>
    <n v="33"/>
    <s v="P"/>
    <x v="8"/>
    <x v="3"/>
    <s v="QUEMCHI"/>
    <x v="4"/>
    <s v="EJECUCION"/>
    <n v="30101055"/>
    <s v="30101055-EJECUCION"/>
    <m/>
    <s v="30101055"/>
    <s v="CONSTRUCCION INFRAESTRUCTURA  AGUA POTABLE Y ALCANTARILLADO"/>
    <n v="5352777000"/>
    <n v="0"/>
    <n v="300812703"/>
    <n v="0"/>
    <n v="0"/>
    <n v="0"/>
    <n v="0"/>
    <n v="0"/>
    <n v="0"/>
    <n v="0"/>
    <n v="300812703"/>
    <n v="5051964297"/>
    <s v="CON CONVENIO"/>
  </r>
  <r>
    <n v="31"/>
    <s v="N"/>
    <x v="10"/>
    <x v="3"/>
    <s v="QUEMCHI"/>
    <x v="2"/>
    <s v="EJECUCION"/>
    <n v="30486081"/>
    <s v="30486081-EJECUCION"/>
    <m/>
    <s v="30486081"/>
    <s v="HABILITACION Y MEJORAMIENTO SUMINISTRO ELECTRICO, SECTOR AUCHO ALTO TUBILDAD"/>
    <n v="128907000"/>
    <n v="0"/>
    <n v="128907000"/>
    <n v="0"/>
    <n v="0"/>
    <n v="0"/>
    <n v="0"/>
    <n v="0"/>
    <n v="0"/>
    <n v="0"/>
    <n v="128907000"/>
    <n v="0"/>
    <s v="TRAMITE CONVENIO"/>
  </r>
  <r>
    <m/>
    <m/>
    <x v="0"/>
    <x v="0"/>
    <m/>
    <x v="0"/>
    <m/>
    <m/>
    <m/>
    <m/>
    <m/>
    <s v="TOTAL DE INICIATIVAS EN CONVENIO Y TRAMITE"/>
    <n v="5481684000"/>
    <n v="0"/>
    <n v="429719703"/>
    <n v="0"/>
    <n v="0"/>
    <n v="0"/>
    <n v="0"/>
    <n v="0"/>
    <n v="0"/>
    <n v="0"/>
    <n v="429719703"/>
    <n v="5051964297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SIN MOVIMIENTO"/>
    <m/>
    <m/>
    <m/>
    <m/>
    <m/>
    <m/>
    <m/>
    <m/>
    <m/>
    <m/>
    <m/>
    <m/>
    <m/>
  </r>
  <r>
    <n v="29"/>
    <s v="N"/>
    <x v="4"/>
    <x v="3"/>
    <s v="QUEMCHI"/>
    <x v="1"/>
    <s v="EJECUCION"/>
    <n v="30486106"/>
    <s v="30486106-EJECUCION"/>
    <m/>
    <s v="30486106"/>
    <s v="ADQUISICION MAQUINARIA VIAL COMUNA DE QUEMCHI(C33)"/>
    <n v="250000000"/>
    <n v="0"/>
    <n v="30000000"/>
    <n v="0"/>
    <n v="0"/>
    <n v="0"/>
    <n v="0"/>
    <n v="0"/>
    <n v="0"/>
    <n v="0"/>
    <n v="30000000"/>
    <n v="220000000"/>
    <s v="ARI"/>
  </r>
  <r>
    <n v="31"/>
    <s v="N"/>
    <x v="1"/>
    <x v="3"/>
    <s v="QUEMCHI"/>
    <x v="2"/>
    <s v="EJECUCION"/>
    <n v="30071585"/>
    <s v="30071585-EJECUCION"/>
    <s v="30071585-FNDR"/>
    <s v="30071585"/>
    <s v="REPOSICION POSTA DE SALUD ISLA TAC"/>
    <n v="470000000"/>
    <n v="0"/>
    <n v="40000000"/>
    <n v="0"/>
    <n v="0"/>
    <n v="0"/>
    <n v="0"/>
    <n v="0"/>
    <n v="0"/>
    <n v="0"/>
    <n v="40000000"/>
    <n v="430000000"/>
    <s v="ARI"/>
  </r>
  <r>
    <m/>
    <m/>
    <x v="0"/>
    <x v="0"/>
    <m/>
    <x v="0"/>
    <m/>
    <m/>
    <m/>
    <m/>
    <m/>
    <s v="TOTAL DE INICIATIVAS SIN MOVIMIENTO"/>
    <n v="720000000"/>
    <n v="0"/>
    <n v="70000000"/>
    <n v="0"/>
    <n v="0"/>
    <n v="0"/>
    <n v="0"/>
    <n v="0"/>
    <n v="0"/>
    <n v="0"/>
    <n v="70000000"/>
    <n v="65000000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TOTAL COMUNA DE  QUEMCHI"/>
    <n v="14568099453"/>
    <n v="4169161296"/>
    <n v="1597377698"/>
    <n v="0"/>
    <n v="0"/>
    <n v="165892765"/>
    <n v="165892765"/>
    <n v="384673942"/>
    <n v="142171104"/>
    <n v="692737811"/>
    <n v="904639887"/>
    <n v="8801560459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COMUNA DE QUINCHAO"/>
    <m/>
    <m/>
    <m/>
    <m/>
    <m/>
    <m/>
    <m/>
    <m/>
    <m/>
    <m/>
    <m/>
    <m/>
    <m/>
  </r>
  <r>
    <m/>
    <m/>
    <x v="0"/>
    <x v="0"/>
    <m/>
    <x v="0"/>
    <m/>
    <m/>
    <m/>
    <m/>
    <m/>
    <s v="INICIATIVAS EN EJECUCION"/>
    <m/>
    <m/>
    <m/>
    <m/>
    <m/>
    <m/>
    <m/>
    <m/>
    <m/>
    <m/>
    <m/>
    <m/>
    <m/>
  </r>
  <r>
    <n v="31"/>
    <s v="A"/>
    <x v="6"/>
    <x v="3"/>
    <s v="QUINCHAO"/>
    <x v="3"/>
    <s v="EJECUCION"/>
    <n v="30086022"/>
    <s v="30086022-EJECUCION"/>
    <m/>
    <s v="30086022"/>
    <s v="REPOSICION ESCUELA RURAL ISLA LLINGUA"/>
    <n v="970937668"/>
    <n v="705728275"/>
    <n v="201895526"/>
    <n v="0"/>
    <n v="0"/>
    <n v="0"/>
    <n v="0"/>
    <n v="131895526"/>
    <n v="33734222"/>
    <n v="165629748"/>
    <n v="36265778"/>
    <n v="63313867"/>
    <s v="EN EJECUCION"/>
  </r>
  <r>
    <n v="31"/>
    <s v="A"/>
    <x v="6"/>
    <x v="3"/>
    <s v="QUINCHAO"/>
    <x v="1"/>
    <s v="DISEÑO"/>
    <n v="30115878"/>
    <s v="30115878-DISEÑO"/>
    <m/>
    <s v="30115878"/>
    <s v="CONSTRUCCION CENTRO CULTURAL DE ACHAO"/>
    <n v="83217000"/>
    <n v="39584450"/>
    <n v="43632550"/>
    <n v="0"/>
    <n v="0"/>
    <n v="0"/>
    <n v="0"/>
    <n v="0"/>
    <n v="0"/>
    <n v="0"/>
    <n v="43632550"/>
    <n v="0"/>
    <s v="EN EJECUCION"/>
  </r>
  <r>
    <n v="31"/>
    <s v="P"/>
    <x v="6"/>
    <x v="3"/>
    <s v="QUINCHAO"/>
    <x v="3"/>
    <s v="EJECUCION"/>
    <n v="30086050"/>
    <s v="30086050-EJECUCION"/>
    <m/>
    <s v="30086050"/>
    <s v="REPOSICION ESCUELA  LA CAPILLA ISLA CAGUACH"/>
    <n v="1243704836"/>
    <n v="31767516"/>
    <n v="559767366"/>
    <n v="0"/>
    <n v="188912857"/>
    <n v="150491426"/>
    <n v="339404283"/>
    <n v="0"/>
    <n v="220363083"/>
    <n v="559767366"/>
    <n v="0"/>
    <n v="652169954"/>
    <s v="EN EJECUCION"/>
  </r>
  <r>
    <n v="31"/>
    <s v="A"/>
    <x v="6"/>
    <x v="3"/>
    <s v="QUINCHAO"/>
    <x v="3"/>
    <s v="EJECUCION"/>
    <n v="30073551"/>
    <s v="30073551-EJECUCION"/>
    <m/>
    <s v="30073551"/>
    <s v="REPOSICION INTERNADOS MASCULINO FEMENINO"/>
    <n v="3719850000"/>
    <n v="2944905601"/>
    <n v="241495749.5"/>
    <n v="0"/>
    <n v="0"/>
    <n v="0"/>
    <n v="0"/>
    <n v="0"/>
    <n v="0"/>
    <n v="0"/>
    <n v="241495749.5"/>
    <n v="533448649.5"/>
    <s v="EN EJECUCION"/>
  </r>
  <r>
    <m/>
    <m/>
    <x v="0"/>
    <x v="0"/>
    <m/>
    <x v="0"/>
    <m/>
    <m/>
    <m/>
    <m/>
    <m/>
    <s v="TOTAL DE INICIATIVAS EN EJECUCION"/>
    <n v="6017709504"/>
    <n v="3721985842"/>
    <n v="1046791191.5"/>
    <n v="0"/>
    <n v="188912857"/>
    <n v="150491426"/>
    <n v="339404283"/>
    <n v="131895526"/>
    <n v="254097305"/>
    <n v="725397114"/>
    <n v="321394077.5"/>
    <n v="1248932470.5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TERMINADAS"/>
    <m/>
    <m/>
    <m/>
    <m/>
    <m/>
    <m/>
    <m/>
    <m/>
    <m/>
    <m/>
    <m/>
    <m/>
    <m/>
  </r>
  <r>
    <n v="24"/>
    <s v="N"/>
    <x v="11"/>
    <x v="3"/>
    <s v="QUINCHAO"/>
    <x v="5"/>
    <s v="EJECUCION"/>
    <n v="30130819"/>
    <s v="30130819-EJECUCION"/>
    <m/>
    <m/>
    <s v="TRANSFERENCIA SUBSIDIO A LA OPERACION SIST. GENERACION AISLADO ISLA LIN LIN."/>
    <n v="57409717"/>
    <n v="0"/>
    <n v="57409717"/>
    <m/>
    <m/>
    <m/>
    <n v="0"/>
    <n v="0"/>
    <n v="57409717"/>
    <n v="57409717"/>
    <n v="0"/>
    <n v="0"/>
    <s v="EN EJECUCION"/>
  </r>
  <r>
    <n v="24"/>
    <s v="N"/>
    <x v="11"/>
    <x v="3"/>
    <s v="QUINCHAO"/>
    <x v="5"/>
    <s v="EJECUCION"/>
    <n v="30130822"/>
    <s v="30130822-EJECUCION"/>
    <m/>
    <m/>
    <s v=" TRANSFERENCIA SUNSIDIO OP. SIST. DE GENERACION AISLADO I.TEUQUELIN."/>
    <n v="19668855"/>
    <n v="0"/>
    <n v="19668855"/>
    <m/>
    <m/>
    <m/>
    <n v="0"/>
    <n v="0"/>
    <n v="19668855"/>
    <n v="19668855"/>
    <n v="0"/>
    <n v="0"/>
    <s v="EN EJECUCION"/>
  </r>
  <r>
    <m/>
    <m/>
    <x v="0"/>
    <x v="0"/>
    <m/>
    <x v="0"/>
    <m/>
    <m/>
    <m/>
    <m/>
    <m/>
    <s v="TOTAL DE INICIATIVAS TERMINADAS"/>
    <n v="77078572"/>
    <n v="0"/>
    <n v="77078572"/>
    <n v="0"/>
    <n v="0"/>
    <n v="0"/>
    <n v="0"/>
    <n v="0"/>
    <n v="77078572"/>
    <n v="77078572"/>
    <n v="0"/>
    <n v="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CONVENIO Y TRAMITE"/>
    <m/>
    <m/>
    <m/>
    <m/>
    <m/>
    <m/>
    <m/>
    <m/>
    <m/>
    <m/>
    <m/>
    <m/>
    <m/>
  </r>
  <r>
    <n v="29"/>
    <s v="N"/>
    <x v="4"/>
    <x v="3"/>
    <s v="QUINCHAO"/>
    <x v="2"/>
    <s v="EJECUCION"/>
    <n v="30484729"/>
    <s v="30484729-EJECUCION"/>
    <m/>
    <s v="30484729"/>
    <s v="REPOSICION MAQUINARIA PARA CONSERVACION DE CAMINOS RURALES(C33)"/>
    <n v="135018000"/>
    <n v="0"/>
    <n v="135018000"/>
    <n v="0"/>
    <n v="0"/>
    <n v="0"/>
    <n v="0"/>
    <n v="0"/>
    <n v="0"/>
    <n v="0"/>
    <n v="135018000"/>
    <n v="0"/>
    <s v="TERMINADO"/>
  </r>
  <r>
    <n v="29"/>
    <s v="N"/>
    <x v="5"/>
    <x v="3"/>
    <s v="QUINCHAO"/>
    <x v="2"/>
    <s v="EJECUCION"/>
    <n v="30484726"/>
    <s v="30484726-EJECUCION"/>
    <m/>
    <s v="30484726"/>
    <s v="ADQUISICION CAMION RECOLECTOR DE BASURA COMUNA DE QUINCHAO(C33)"/>
    <n v="111432000"/>
    <n v="0"/>
    <n v="12133348"/>
    <n v="0"/>
    <n v="0"/>
    <n v="0"/>
    <n v="0"/>
    <n v="0"/>
    <n v="0"/>
    <n v="0"/>
    <n v="12133348"/>
    <n v="99298652"/>
    <s v="CON CONVENIO"/>
  </r>
  <r>
    <m/>
    <m/>
    <x v="0"/>
    <x v="0"/>
    <m/>
    <x v="0"/>
    <m/>
    <m/>
    <m/>
    <m/>
    <m/>
    <s v="TOTAL DE INICIATIVAS EN CONVENIO Y TRAMITE"/>
    <n v="246450000"/>
    <n v="0"/>
    <n v="147151348"/>
    <n v="0"/>
    <n v="0"/>
    <n v="0"/>
    <n v="0"/>
    <n v="0"/>
    <n v="0"/>
    <n v="0"/>
    <n v="147151348"/>
    <n v="99298652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SIN MOVIMIENTO"/>
    <m/>
    <m/>
    <m/>
    <m/>
    <m/>
    <m/>
    <m/>
    <m/>
    <m/>
    <m/>
    <m/>
    <m/>
    <m/>
  </r>
  <r>
    <n v="31"/>
    <s v="N"/>
    <x v="6"/>
    <x v="3"/>
    <s v="QUINCHAO"/>
    <x v="2"/>
    <s v="DISEÑO"/>
    <n v="30115881"/>
    <s v="30115881-DISEÑO"/>
    <m/>
    <s v="30115881"/>
    <s v="REPOSICION ESCUELA RURAL DE ISLA ALAO"/>
    <n v="53858000"/>
    <n v="0"/>
    <n v="5000000"/>
    <n v="0"/>
    <n v="0"/>
    <n v="0"/>
    <n v="0"/>
    <n v="0"/>
    <n v="0"/>
    <n v="0"/>
    <n v="5000000"/>
    <n v="48858000"/>
    <s v="ARI"/>
  </r>
  <r>
    <n v="31"/>
    <s v="N"/>
    <x v="1"/>
    <x v="3"/>
    <s v="QUINCHAO"/>
    <x v="2"/>
    <s v="DISEÑO"/>
    <n v="30103375"/>
    <s v="30103375-DISEÑO"/>
    <s v="30103375-FNDR"/>
    <s v="30103375"/>
    <s v="REPOSICION POSTA DE SALUD RURAL DE ISLA LLINGUA"/>
    <n v="30001000"/>
    <n v="0"/>
    <n v="5000000"/>
    <n v="0"/>
    <n v="0"/>
    <n v="0"/>
    <n v="0"/>
    <n v="0"/>
    <n v="0"/>
    <n v="0"/>
    <n v="5000000"/>
    <n v="25001000"/>
    <s v="ARI"/>
  </r>
  <r>
    <n v="31"/>
    <s v="N"/>
    <x v="9"/>
    <x v="3"/>
    <s v="QUINCHAO"/>
    <x v="2"/>
    <s v="DISEÑO"/>
    <n v="40001639"/>
    <s v="40001639-DISEÑO"/>
    <m/>
    <s v="40001639"/>
    <s v="CONSTRUCCION CANCHA SINTETICA ACHAO, COMUNA DE QUINCHAO"/>
    <n v="80000000"/>
    <n v="0"/>
    <n v="8000000"/>
    <n v="0"/>
    <n v="0"/>
    <n v="0"/>
    <n v="0"/>
    <n v="0"/>
    <n v="0"/>
    <n v="0"/>
    <n v="8000000"/>
    <n v="72000000"/>
    <s v="SOLICITUD"/>
  </r>
  <r>
    <m/>
    <m/>
    <x v="0"/>
    <x v="0"/>
    <m/>
    <x v="0"/>
    <m/>
    <m/>
    <m/>
    <m/>
    <m/>
    <s v="TOTAL DE INICIATIVAS SIN MOVIMIENTO"/>
    <n v="163859000"/>
    <n v="0"/>
    <n v="18000000"/>
    <n v="0"/>
    <n v="0"/>
    <n v="0"/>
    <n v="0"/>
    <n v="0"/>
    <n v="0"/>
    <n v="0"/>
    <n v="18000000"/>
    <n v="14585900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TOTAL COMUNA DE  QUINCHAO"/>
    <n v="6505097076"/>
    <n v="3721985842"/>
    <n v="1289021111.5"/>
    <n v="0"/>
    <n v="188912857"/>
    <n v="150491426"/>
    <n v="339404283"/>
    <n v="131895526"/>
    <n v="331175877"/>
    <n v="802475686"/>
    <n v="486545425.5"/>
    <n v="1494090122.5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PROVINCIALES"/>
    <m/>
    <m/>
    <m/>
    <m/>
    <m/>
    <m/>
    <m/>
    <m/>
    <m/>
    <m/>
    <m/>
    <m/>
    <m/>
  </r>
  <r>
    <m/>
    <m/>
    <x v="0"/>
    <x v="0"/>
    <m/>
    <x v="0"/>
    <m/>
    <m/>
    <m/>
    <m/>
    <m/>
    <s v="INICIATIVAS EN EJECUCION"/>
    <m/>
    <m/>
    <m/>
    <m/>
    <m/>
    <m/>
    <m/>
    <m/>
    <m/>
    <m/>
    <m/>
    <m/>
    <m/>
  </r>
  <r>
    <n v="31"/>
    <s v="A"/>
    <x v="10"/>
    <x v="3"/>
    <s v="PROV. CHILOE"/>
    <x v="5"/>
    <s v="EJECUCION"/>
    <n v="30310525"/>
    <s v="30310525-EJECUCION"/>
    <m/>
    <s v="30310525"/>
    <s v="NORMALIZACION ELECTRICA 11 ISLAS DEL ARCHIPIELAGO DE CHILOE"/>
    <n v="9803852000"/>
    <n v="8000000000"/>
    <n v="4803852000"/>
    <n v="0"/>
    <n v="0"/>
    <n v="977663148"/>
    <n v="977663148"/>
    <n v="0"/>
    <n v="0"/>
    <n v="977663148"/>
    <n v="3826188852"/>
    <n v="-3000000000"/>
    <s v="EN EJECUCION"/>
  </r>
  <r>
    <n v="31"/>
    <s v="A"/>
    <x v="9"/>
    <x v="3"/>
    <s v="PROV. CHILOE"/>
    <x v="2"/>
    <s v="EJECUCION"/>
    <n v="30381175"/>
    <s v="30381175-EJECUCION"/>
    <m/>
    <s v="30381175"/>
    <s v="CONSTRUCCION COMPLEJO DEPORTIVO CANCHA RAYADA"/>
    <n v="1528367000"/>
    <n v="14300000"/>
    <n v="362026321.66666669"/>
    <n v="0"/>
    <n v="0"/>
    <n v="0"/>
    <n v="0"/>
    <n v="0"/>
    <n v="0"/>
    <n v="0"/>
    <n v="362026321.66666669"/>
    <n v="1152040678.3333333"/>
    <s v="EN EJECUCION"/>
  </r>
  <r>
    <n v="31"/>
    <s v="A"/>
    <x v="1"/>
    <x v="3"/>
    <s v="PROV. CHILOE"/>
    <x v="2"/>
    <s v="PREFACTIBILIDAD"/>
    <n v="30098600"/>
    <s v="30098600-PREFACTIBILIDAD"/>
    <s v="30098600-SECT"/>
    <s v="30098600"/>
    <s v="MEJORAMIENTO Y AMPLIACION HOSPITAL DE CASTRO (INFRA)"/>
    <n v="185787113"/>
    <n v="92264183"/>
    <n v="93522930"/>
    <n v="0"/>
    <n v="0"/>
    <n v="15760000"/>
    <n v="15760000"/>
    <n v="0"/>
    <n v="2050000"/>
    <n v="17810000"/>
    <n v="75712930"/>
    <n v="0"/>
    <s v="EN EJECUCION"/>
  </r>
  <r>
    <n v="31"/>
    <s v="A"/>
    <x v="4"/>
    <x v="3"/>
    <s v="PROV. CHILOE"/>
    <x v="2"/>
    <s v="EJECUCION"/>
    <n v="30464752"/>
    <s v="30464752-EJECUCION"/>
    <m/>
    <s v="30464752"/>
    <s v="NORMALIZACION TRES INTERSECCIONES CONFLICTIVAS RUTA 5 CASTRO"/>
    <n v="472546000"/>
    <n v="0"/>
    <n v="348850212"/>
    <n v="0"/>
    <n v="0"/>
    <n v="0"/>
    <n v="0"/>
    <n v="0"/>
    <n v="29829335"/>
    <n v="29829335"/>
    <n v="319020877"/>
    <n v="123695788"/>
    <s v="EN EJECUCION"/>
  </r>
  <r>
    <n v="33"/>
    <s v="P"/>
    <x v="5"/>
    <x v="3"/>
    <s v="PROV. CHILOE"/>
    <x v="7"/>
    <s v="EJECUCION"/>
    <s v="S/C"/>
    <s v="S/C-EJECUCION"/>
    <m/>
    <s v="S/C"/>
    <s v="FONDO  REGIONAL DE INICIATIVA LOCAL"/>
    <n v="1454474647"/>
    <n v="0"/>
    <n v="1454474647"/>
    <n v="0"/>
    <n v="195672093"/>
    <n v="375747719"/>
    <n v="571419812"/>
    <n v="477867570"/>
    <n v="260371533"/>
    <n v="1309658915"/>
    <n v="144815732"/>
    <n v="0"/>
    <s v="EN EJECUCION"/>
  </r>
  <r>
    <m/>
    <m/>
    <x v="0"/>
    <x v="0"/>
    <m/>
    <x v="0"/>
    <m/>
    <m/>
    <m/>
    <m/>
    <m/>
    <s v="TOTAL DE INICIATIVAS EN EJECUCION"/>
    <n v="13445026760"/>
    <n v="8106564183"/>
    <n v="7062726110.666667"/>
    <n v="0"/>
    <n v="195672093"/>
    <n v="1369170867"/>
    <n v="1564842960"/>
    <n v="477867570"/>
    <n v="292250868"/>
    <n v="2334961398"/>
    <n v="4727764712.666666"/>
    <n v="-1724263533.6666667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CONVENIO Y TRAMITE"/>
    <m/>
    <m/>
    <m/>
    <m/>
    <m/>
    <m/>
    <m/>
    <m/>
    <m/>
    <m/>
    <m/>
    <m/>
    <m/>
  </r>
  <r>
    <n v="31"/>
    <s v="P"/>
    <x v="6"/>
    <x v="3"/>
    <s v="PROV. CHILOE"/>
    <x v="2"/>
    <s v="EJECUCION"/>
    <n v="30135059"/>
    <s v="30135059-EJECUCION"/>
    <m/>
    <s v="30135059"/>
    <s v="CONSTRUCCION SEDE UNIVERSITARIA PARA LA PROVINCIA DE CHILOE"/>
    <n v="6962481000"/>
    <n v="0"/>
    <n v="200000000"/>
    <n v="0"/>
    <n v="0"/>
    <n v="0"/>
    <n v="0"/>
    <n v="0"/>
    <n v="0"/>
    <n v="0"/>
    <n v="200000000"/>
    <n v="6762481000"/>
    <s v="CON CONVENIO"/>
  </r>
  <r>
    <m/>
    <m/>
    <x v="0"/>
    <x v="0"/>
    <m/>
    <x v="0"/>
    <m/>
    <m/>
    <m/>
    <m/>
    <m/>
    <s v="TOTAL DE INICIATIVAS EN CONVENIO Y TRAMITE"/>
    <n v="6962481000"/>
    <n v="0"/>
    <n v="200000000"/>
    <n v="0"/>
    <n v="0"/>
    <n v="0"/>
    <n v="0"/>
    <n v="0"/>
    <n v="0"/>
    <n v="0"/>
    <n v="200000000"/>
    <n v="676248100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LICITACION/ADJUDICACION"/>
    <m/>
    <m/>
    <m/>
    <m/>
    <m/>
    <m/>
    <m/>
    <m/>
    <m/>
    <m/>
    <m/>
    <m/>
    <m/>
  </r>
  <r>
    <n v="31"/>
    <s v="P"/>
    <x v="4"/>
    <x v="3"/>
    <s v="PROV. CHILOE"/>
    <x v="1"/>
    <s v="EJECUCION"/>
    <n v="34538270"/>
    <s v="34538270-EJECUCION"/>
    <m/>
    <s v="34538270"/>
    <s v="CONSERVACION CAMINOS VECINALES POR GLOSA , ETAPA I PROVINCIA DE CHILOE (C33)"/>
    <n v="1298249800"/>
    <n v="0"/>
    <n v="129824980"/>
    <n v="0"/>
    <n v="0"/>
    <n v="0"/>
    <n v="0"/>
    <n v="0"/>
    <n v="0"/>
    <n v="0"/>
    <n v="129824980"/>
    <n v="1168424820"/>
    <s v="EN LICITACION"/>
  </r>
  <r>
    <n v="29"/>
    <s v="N"/>
    <x v="1"/>
    <x v="3"/>
    <s v="PROV. CHILOE"/>
    <x v="2"/>
    <s v="EJECUCION"/>
    <n v="40002366"/>
    <s v="40002366-EJECUCION"/>
    <m/>
    <s v="40002366"/>
    <s v="REPOSICION Y ADQUISICION DE EQUIPOS Y EQUPA. RED SALUD CHILOE (C33)"/>
    <n v="647866000"/>
    <n v="0"/>
    <n v="240000000"/>
    <n v="0"/>
    <n v="0"/>
    <n v="0"/>
    <n v="0"/>
    <n v="0"/>
    <n v="0"/>
    <n v="0"/>
    <n v="240000000"/>
    <n v="407866000"/>
    <s v="EN LICITACION"/>
  </r>
  <r>
    <m/>
    <m/>
    <x v="0"/>
    <x v="0"/>
    <m/>
    <x v="0"/>
    <m/>
    <m/>
    <m/>
    <m/>
    <m/>
    <s v="TOTAL DE INICIATIVAS EN LICITACION/ADJUDICACION"/>
    <n v="1946115800"/>
    <n v="0"/>
    <n v="369824980"/>
    <n v="0"/>
    <n v="0"/>
    <n v="0"/>
    <n v="0"/>
    <n v="0"/>
    <n v="0"/>
    <n v="0"/>
    <n v="369824980"/>
    <n v="157629082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SIN MOVIMIENTO"/>
    <m/>
    <m/>
    <m/>
    <m/>
    <m/>
    <m/>
    <m/>
    <m/>
    <m/>
    <m/>
    <m/>
    <m/>
    <m/>
  </r>
  <r>
    <n v="31"/>
    <s v="P"/>
    <x v="1"/>
    <x v="3"/>
    <s v="PROV. CHILOE"/>
    <x v="1"/>
    <s v="EJECUCION"/>
    <n v="30083300"/>
    <s v="30083300-EJECUCION"/>
    <s v="30083300-SECT"/>
    <s v="30083300"/>
    <s v="NORMALIZACION HOSPITAL DE ANCUD"/>
    <n v="4454843000"/>
    <n v="0"/>
    <n v="140000000"/>
    <n v="0"/>
    <n v="0"/>
    <n v="0"/>
    <n v="0"/>
    <n v="0"/>
    <n v="0"/>
    <n v="0"/>
    <n v="140000000"/>
    <n v="4314843000"/>
    <s v="RECOMENDADO"/>
  </r>
  <r>
    <n v="24"/>
    <s v="P"/>
    <x v="11"/>
    <x v="3"/>
    <s v="PROV. CHILOE"/>
    <x v="5"/>
    <s v="EJECUCION"/>
    <s v="S/C"/>
    <s v="S/C-EJECUCION"/>
    <m/>
    <s v="S/C"/>
    <s v="SUBSIDIO A LA OPERACION SISTEMA ELECTRICO 11 ISLAS"/>
    <n v="2355921428"/>
    <n v="0"/>
    <n v="2355921428"/>
    <n v="0"/>
    <n v="0"/>
    <n v="0"/>
    <n v="0"/>
    <n v="0"/>
    <n v="0"/>
    <n v="0"/>
    <n v="2355921428"/>
    <n v="0"/>
    <s v="SUBSIDIO"/>
  </r>
  <r>
    <n v="24"/>
    <s v="P"/>
    <x v="6"/>
    <x v="3"/>
    <s v="PROV. CHILOE"/>
    <x v="2"/>
    <s v="EJECUCION"/>
    <s v="SUBT 24"/>
    <s v="SUBT 24-EJECUCION"/>
    <m/>
    <s v="SUBT 24"/>
    <s v="ACTIVIDADES CULTURALES"/>
    <n v="359099988.79963976"/>
    <n v="0"/>
    <n v="359099988.79963976"/>
    <n v="0"/>
    <n v="0"/>
    <n v="0"/>
    <n v="0"/>
    <n v="810468"/>
    <n v="64889"/>
    <n v="875357"/>
    <n v="358224631.79963976"/>
    <n v="0"/>
    <s v="CONCURSO"/>
  </r>
  <r>
    <n v="24"/>
    <s v="P"/>
    <x v="9"/>
    <x v="3"/>
    <s v="PROV. CHILOE"/>
    <x v="2"/>
    <s v="EJECUCION"/>
    <s v="SUBT 24"/>
    <s v="SUBT 24-EJECUCION"/>
    <m/>
    <s v="SUBT 24"/>
    <s v="ACTIVIDADES DEPORTIVAS"/>
    <n v="359099988.79963976"/>
    <n v="0"/>
    <n v="359099988.79963976"/>
    <n v="0"/>
    <n v="0"/>
    <n v="0"/>
    <n v="0"/>
    <n v="0"/>
    <n v="0"/>
    <n v="0"/>
    <n v="359099988.79963976"/>
    <n v="0"/>
    <s v="CONCURSO"/>
  </r>
  <r>
    <n v="24"/>
    <s v="P"/>
    <x v="2"/>
    <x v="3"/>
    <s v="PROV. CHILOE"/>
    <x v="2"/>
    <s v="EJECUCION"/>
    <s v="SUBT 24"/>
    <s v="SUBT 24-EJECUCION"/>
    <m/>
    <s v="SUBT 24"/>
    <s v="ACTIVIDADES COMUNIDAD ACTIVA"/>
    <n v="359099988.79963976"/>
    <n v="0"/>
    <n v="359099988.79963976"/>
    <n v="0"/>
    <n v="0"/>
    <n v="0"/>
    <n v="0"/>
    <n v="0"/>
    <n v="0"/>
    <n v="0"/>
    <n v="359099988.79963976"/>
    <n v="0"/>
    <s v="CONCURSO"/>
  </r>
  <r>
    <n v="24"/>
    <s v="P"/>
    <x v="11"/>
    <x v="3"/>
    <s v="PROV. CHILOE"/>
    <x v="5"/>
    <s v="EJECUCION"/>
    <n v="30483006"/>
    <s v="30483006-EJECUCION"/>
    <m/>
    <s v="30483006"/>
    <s v="SUBSIDIO A LA OPERACION SISTEMA PRIVADO DE GENERACION ISLA TAC"/>
    <n v="111000000"/>
    <n v="0"/>
    <n v="111000000"/>
    <n v="0"/>
    <n v="0"/>
    <n v="0"/>
    <n v="0"/>
    <n v="0"/>
    <n v="0"/>
    <n v="0"/>
    <n v="111000000"/>
    <n v="0"/>
    <s v="REQUERIMIENTO"/>
  </r>
  <r>
    <n v="31"/>
    <s v="P"/>
    <x v="1"/>
    <x v="3"/>
    <s v="PROV. CHILOE"/>
    <x v="2"/>
    <s v="EJECUCION"/>
    <n v="30083335"/>
    <s v="30083335-EJECUCION"/>
    <s v="30083335-SECT"/>
    <s v="30083335"/>
    <s v="NORMALIZACION HOSPITAL DE QUELLON, PROVINCIA DE CHILOE"/>
    <n v="2016128000"/>
    <n v="0"/>
    <n v="554935756"/>
    <n v="0"/>
    <n v="0"/>
    <n v="0"/>
    <n v="0"/>
    <n v="0"/>
    <n v="0"/>
    <n v="0"/>
    <n v="554935756"/>
    <n v="1461192244"/>
    <s v="REQUERIMIENTO SSCH"/>
  </r>
  <r>
    <m/>
    <m/>
    <x v="0"/>
    <x v="0"/>
    <m/>
    <x v="0"/>
    <m/>
    <m/>
    <m/>
    <m/>
    <m/>
    <s v="TOTAL DE INICIATIVAS SIN MOVIMIENTO"/>
    <n v="10015192394.398918"/>
    <n v="0"/>
    <n v="4239157150.3989191"/>
    <n v="0"/>
    <n v="0"/>
    <n v="0"/>
    <n v="0"/>
    <n v="810468"/>
    <n v="64889"/>
    <n v="875357"/>
    <n v="4238281793.3989191"/>
    <n v="5776035244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TOTAL  PROVINCIALES"/>
    <n v="32368815954.398918"/>
    <n v="8106564183"/>
    <n v="11871708241.065586"/>
    <n v="0"/>
    <n v="195672093"/>
    <n v="1369170867"/>
    <n v="1564842960"/>
    <n v="478678038"/>
    <n v="292315757"/>
    <n v="2335836755"/>
    <n v="9535871486.0655861"/>
    <n v="12390543530.333332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TOTAL PROVINCIA DE CHILOE"/>
    <n v="105081558889.39893"/>
    <n v="31079750849"/>
    <n v="25601238590.565586"/>
    <n v="301312990"/>
    <n v="1003937107"/>
    <n v="2834937959"/>
    <n v="4140188056"/>
    <n v="1391818908"/>
    <n v="1467413601"/>
    <n v="6999420565"/>
    <n v="18601818025.565586"/>
    <n v="48400569449.833328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COMUNA DE CHAITEN"/>
    <m/>
    <m/>
    <m/>
    <m/>
    <m/>
    <m/>
    <m/>
    <m/>
    <m/>
    <m/>
    <m/>
    <m/>
    <m/>
  </r>
  <r>
    <m/>
    <m/>
    <x v="0"/>
    <x v="0"/>
    <m/>
    <x v="0"/>
    <m/>
    <m/>
    <m/>
    <m/>
    <m/>
    <s v="INICIATIVAS EN EJECUCION"/>
    <m/>
    <m/>
    <m/>
    <m/>
    <m/>
    <m/>
    <m/>
    <m/>
    <m/>
    <m/>
    <m/>
    <m/>
    <m/>
  </r>
  <r>
    <n v="31"/>
    <s v="A"/>
    <x v="3"/>
    <x v="4"/>
    <s v="CHAITEN"/>
    <x v="9"/>
    <s v="EJECUCION"/>
    <n v="30082185"/>
    <s v="30082185-EJECUCION"/>
    <m/>
    <s v="30082185"/>
    <s v="MEJORAMIENTO PLAZA VILLA SANTA LUCIA"/>
    <n v="581129687"/>
    <n v="519795995"/>
    <n v="16014885"/>
    <n v="0"/>
    <n v="0"/>
    <n v="0"/>
    <n v="0"/>
    <n v="0"/>
    <n v="16014885"/>
    <n v="16014885"/>
    <n v="0"/>
    <n v="45318807"/>
    <s v="EN EJECUCION"/>
  </r>
  <r>
    <n v="29"/>
    <s v="N"/>
    <x v="5"/>
    <x v="4"/>
    <s v="CHAITEN"/>
    <x v="2"/>
    <s v="EJECUCION"/>
    <n v="30342976"/>
    <s v="30342976-EJECUCION"/>
    <m/>
    <s v="30342976"/>
    <s v="REPOSICON MAQUINARIA PARA LA COMUNA DE CHAITEN"/>
    <n v="314897000"/>
    <n v="0"/>
    <n v="59435540"/>
    <n v="0"/>
    <n v="0"/>
    <n v="0"/>
    <n v="0"/>
    <n v="0"/>
    <n v="0"/>
    <n v="0"/>
    <n v="59435540"/>
    <n v="255461460"/>
    <s v="EN EJECUCION"/>
  </r>
  <r>
    <n v="31"/>
    <s v="P"/>
    <x v="3"/>
    <x v="4"/>
    <s v="CHAITEN"/>
    <x v="9"/>
    <s v="EJECUCION"/>
    <n v="30135078"/>
    <s v="30135078-EJECUCION"/>
    <m/>
    <s v="30135078"/>
    <s v="REPOSICION PLAZA DE ARMAS DE CHAITEN"/>
    <n v="421404000"/>
    <n v="0"/>
    <n v="409138979"/>
    <n v="0"/>
    <n v="0"/>
    <n v="0"/>
    <n v="0"/>
    <n v="200000000"/>
    <n v="180339000"/>
    <n v="380339000"/>
    <n v="28799979"/>
    <n v="12265021"/>
    <s v="EN EJECUCION"/>
  </r>
  <r>
    <m/>
    <m/>
    <x v="0"/>
    <x v="0"/>
    <m/>
    <x v="0"/>
    <m/>
    <m/>
    <m/>
    <m/>
    <m/>
    <s v="TOTAL DE INICIATIVAS EN EJECUCION"/>
    <n v="1317430687"/>
    <n v="519795995"/>
    <n v="484589404"/>
    <n v="0"/>
    <n v="0"/>
    <n v="0"/>
    <n v="0"/>
    <n v="200000000"/>
    <n v="196353885"/>
    <n v="396353885"/>
    <n v="88235519"/>
    <n v="313045288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TERMINADAS"/>
    <m/>
    <m/>
    <m/>
    <m/>
    <m/>
    <m/>
    <m/>
    <m/>
    <m/>
    <m/>
    <m/>
    <m/>
    <m/>
  </r>
  <r>
    <n v="31"/>
    <s v="A"/>
    <x v="4"/>
    <x v="4"/>
    <s v="CHAITEN"/>
    <x v="9"/>
    <s v="EJECUCION"/>
    <n v="30342727"/>
    <s v="30342727-EJECUCION"/>
    <m/>
    <s v="30342727"/>
    <s v="CONSERVACION PERIODICA CAMINOS BASICOS SANTA BARBARA CHANA (C33)"/>
    <n v="1524137492"/>
    <n v="1371654075"/>
    <n v="152483417"/>
    <n v="70108794"/>
    <n v="0"/>
    <n v="82374623"/>
    <n v="152483417"/>
    <n v="0"/>
    <n v="0"/>
    <n v="152483417"/>
    <n v="0"/>
    <n v="0"/>
    <s v="TERMINADO"/>
  </r>
  <r>
    <n v="31"/>
    <s v="A"/>
    <x v="2"/>
    <x v="4"/>
    <s v="CHAITEN"/>
    <x v="9"/>
    <s v="EJECUCION"/>
    <n v="30136060"/>
    <s v="30136060-EJECUCION"/>
    <m/>
    <s v="30136060"/>
    <s v="CONSTRUCCION DEFENSAS FLUVIALES RIO BLANCO CHAITEN SUR"/>
    <n v="1971939680"/>
    <n v="1971939680"/>
    <n v="0"/>
    <n v="0"/>
    <n v="0"/>
    <n v="0"/>
    <n v="0"/>
    <n v="0"/>
    <n v="0"/>
    <n v="0"/>
    <n v="0"/>
    <n v="0"/>
    <s v="TERMINADO"/>
  </r>
  <r>
    <m/>
    <m/>
    <x v="0"/>
    <x v="0"/>
    <m/>
    <x v="0"/>
    <m/>
    <m/>
    <m/>
    <m/>
    <m/>
    <s v="TOTAL DE INICIATIVAS TERMINADAS"/>
    <n v="3496077172"/>
    <n v="3343593755"/>
    <n v="152483417"/>
    <n v="70108794"/>
    <n v="0"/>
    <n v="82374623"/>
    <n v="152483417"/>
    <n v="0"/>
    <n v="0"/>
    <n v="152483417"/>
    <n v="0"/>
    <n v="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CONVENIO Y TRAMITE"/>
    <m/>
    <m/>
    <m/>
    <m/>
    <m/>
    <m/>
    <m/>
    <m/>
    <m/>
    <m/>
    <m/>
    <m/>
    <m/>
  </r>
  <r>
    <n v="31"/>
    <s v="P"/>
    <x v="3"/>
    <x v="4"/>
    <s v="CHAITEN"/>
    <x v="9"/>
    <s v="EJECUCION"/>
    <n v="30342276"/>
    <s v="30342276-EJECUCION"/>
    <m/>
    <s v="30342276"/>
    <s v="CONSERVACION CALLES Y SITIOS FISCALES DE CHAITEN(C33)"/>
    <n v="551663000"/>
    <n v="0"/>
    <n v="160501698"/>
    <n v="0"/>
    <n v="0"/>
    <n v="0"/>
    <n v="0"/>
    <n v="0"/>
    <n v="0"/>
    <n v="0"/>
    <n v="160501698"/>
    <n v="391161302"/>
    <s v="CON CONVENIO"/>
  </r>
  <r>
    <n v="31"/>
    <s v="N"/>
    <x v="4"/>
    <x v="4"/>
    <s v="CHAITEN"/>
    <x v="9"/>
    <s v="EJECUCION"/>
    <n v="30371674"/>
    <s v="30371674-EJECUCION"/>
    <m/>
    <s v="30371674"/>
    <s v="REPOSICION TERMINAL PORTUARIO DE CHAITEN"/>
    <n v="2400000000"/>
    <n v="0"/>
    <n v="300000000"/>
    <n v="0"/>
    <n v="0"/>
    <n v="0"/>
    <n v="0"/>
    <n v="0"/>
    <n v="0"/>
    <n v="0"/>
    <n v="300000000"/>
    <n v="2100000000"/>
    <s v="CON CONVENIO"/>
  </r>
  <r>
    <n v="31"/>
    <s v="N"/>
    <x v="5"/>
    <x v="4"/>
    <s v="CHAITEN"/>
    <x v="2"/>
    <s v="DISEÑO"/>
    <n v="30103541"/>
    <s v="30103541-DISEÑO"/>
    <m/>
    <s v="30103541"/>
    <s v="REPOSICION EDEFICIO MUNICIPAL DE CHAITEN"/>
    <n v="137807000"/>
    <n v="0"/>
    <n v="0"/>
    <n v="0"/>
    <n v="0"/>
    <n v="0"/>
    <n v="0"/>
    <n v="0"/>
    <n v="0"/>
    <n v="0"/>
    <n v="0"/>
    <n v="137807000"/>
    <s v="TRAMITE CONVENIO"/>
  </r>
  <r>
    <n v="31"/>
    <s v="N"/>
    <x v="10"/>
    <x v="4"/>
    <s v="CHAITEN"/>
    <x v="5"/>
    <s v="EJECUCION"/>
    <n v="30482336"/>
    <m/>
    <m/>
    <m/>
    <s v="HABILITACION SUMINISTRO DE ENERGIA ELECTRICA SECTOR AYACARA PENINSULA DE COMAU, COMUNA DE CHAITEN"/>
    <n v="209242000"/>
    <n v="0"/>
    <n v="0"/>
    <n v="0"/>
    <n v="0"/>
    <n v="0"/>
    <n v="0"/>
    <n v="0"/>
    <n v="0"/>
    <n v="0"/>
    <n v="0"/>
    <n v="209242000"/>
    <s v="TRAMITE CONVENIO"/>
  </r>
  <r>
    <n v="31"/>
    <s v="P"/>
    <x v="4"/>
    <x v="4"/>
    <s v="CHAITEN"/>
    <x v="9"/>
    <s v="EJECUCION"/>
    <n v="30342679"/>
    <s v="30342679-EJECUCION"/>
    <m/>
    <s v="30342679"/>
    <s v="CONSERVACION PERIODICA, CAMINO BASICO ROL W-813 Y ROL W-815 (C33)"/>
    <n v="4554317000"/>
    <n v="0"/>
    <n v="243321000"/>
    <n v="0"/>
    <n v="0"/>
    <n v="0"/>
    <n v="0"/>
    <n v="0"/>
    <n v="0"/>
    <n v="0"/>
    <n v="243321000"/>
    <n v="4310996000"/>
    <s v="TRAMITE CONVENIO"/>
  </r>
  <r>
    <m/>
    <m/>
    <x v="0"/>
    <x v="0"/>
    <m/>
    <x v="0"/>
    <m/>
    <m/>
    <m/>
    <m/>
    <m/>
    <s v="TOTAL DE INICIATIVAS EN CONVENIO Y TRAMITE"/>
    <n v="7853029000"/>
    <n v="0"/>
    <n v="703822698"/>
    <n v="0"/>
    <n v="0"/>
    <n v="0"/>
    <n v="0"/>
    <n v="0"/>
    <n v="0"/>
    <n v="0"/>
    <n v="703822698"/>
    <n v="7149206302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SIN MOVIMIENTO"/>
    <m/>
    <m/>
    <m/>
    <m/>
    <m/>
    <m/>
    <m/>
    <m/>
    <m/>
    <m/>
    <m/>
    <m/>
    <m/>
  </r>
  <r>
    <n v="31"/>
    <s v="N"/>
    <x v="4"/>
    <x v="4"/>
    <s v="CHAITEN"/>
    <x v="9"/>
    <s v="PREFACTIBILIDAD"/>
    <n v="30186523"/>
    <s v="30186523-PREFACTIBILIDAD"/>
    <m/>
    <s v="30186523"/>
    <s v="CONSTRUCCION CONEXION VIAL ISLA TALCAN ARCH. DESERTORES,CHAITEN"/>
    <n v="465005000"/>
    <n v="0"/>
    <n v="26421200"/>
    <n v="0"/>
    <n v="0"/>
    <n v="0"/>
    <n v="0"/>
    <n v="0"/>
    <n v="0"/>
    <n v="0"/>
    <n v="26421200"/>
    <n v="438583800"/>
    <s v="ARI"/>
  </r>
  <r>
    <n v="31"/>
    <s v="N"/>
    <x v="4"/>
    <x v="4"/>
    <s v="CHAITEN"/>
    <x v="1"/>
    <s v="EJECUCION"/>
    <n v="30458729"/>
    <s v="30458729-EJECUCION"/>
    <m/>
    <s v="30458729"/>
    <s v="MEJORAMIENTO AREA DE MOVIMIENTO PEQUEÑO AERODROMO AYACARA"/>
    <n v="523000000"/>
    <n v="0"/>
    <n v="16150000"/>
    <n v="0"/>
    <n v="0"/>
    <n v="0"/>
    <n v="0"/>
    <n v="0"/>
    <n v="0"/>
    <n v="0"/>
    <n v="16150000"/>
    <n v="506850000"/>
    <s v="ARI"/>
  </r>
  <r>
    <n v="31"/>
    <s v="N"/>
    <x v="5"/>
    <x v="4"/>
    <s v="CHAITEN"/>
    <x v="9"/>
    <s v="EJECUCION"/>
    <n v="30136461"/>
    <s v="30136461-EJECUCION"/>
    <m/>
    <s v="30136461"/>
    <s v="REPOSICION EDIFICIO GOBERNACION Y SERVICIOS PUBLICOS EN CHAITEN"/>
    <n v="168000000"/>
    <n v="0"/>
    <n v="10000000"/>
    <n v="0"/>
    <n v="0"/>
    <n v="0"/>
    <n v="0"/>
    <n v="0"/>
    <n v="0"/>
    <n v="0"/>
    <n v="10000000"/>
    <n v="158000000"/>
    <s v="ARI"/>
  </r>
  <r>
    <n v="31"/>
    <s v="N"/>
    <x v="10"/>
    <x v="4"/>
    <s v="CHAITEN"/>
    <x v="5"/>
    <s v="EJECUCION"/>
    <n v="30096049"/>
    <s v="30096049-EJECUCION"/>
    <m/>
    <s v="30096049"/>
    <s v="HABILITACION SUMINISTRO ENERGIA ELECTRICA CHAITEN VIEJO"/>
    <n v="459876000"/>
    <n v="0"/>
    <n v="12993800"/>
    <n v="0"/>
    <n v="0"/>
    <n v="0"/>
    <n v="0"/>
    <n v="0"/>
    <n v="0"/>
    <n v="0"/>
    <n v="12993800"/>
    <n v="446882200"/>
    <s v="ARI"/>
  </r>
  <r>
    <n v="31"/>
    <s v="N"/>
    <x v="8"/>
    <x v="4"/>
    <s v="CHAITEN"/>
    <x v="4"/>
    <s v="EJECUCION"/>
    <n v="30102992"/>
    <s v="30102992-EJECUCION"/>
    <m/>
    <s v="30102992"/>
    <s v="CONSTRUCCION RED DE ALCANTARILLADO Y PTAS VILLA SANTA LUCIA"/>
    <n v="792725000"/>
    <n v="0"/>
    <n v="19636250"/>
    <n v="0"/>
    <n v="0"/>
    <n v="0"/>
    <n v="0"/>
    <n v="0"/>
    <n v="0"/>
    <n v="0"/>
    <n v="19636250"/>
    <n v="773088750"/>
    <s v="ARI"/>
  </r>
  <r>
    <m/>
    <m/>
    <x v="0"/>
    <x v="0"/>
    <m/>
    <x v="0"/>
    <m/>
    <m/>
    <m/>
    <m/>
    <m/>
    <s v="TOTAL DE INICIATIVAS SIN MOVIMIENTO"/>
    <n v="2408606000"/>
    <n v="0"/>
    <n v="85201250"/>
    <n v="0"/>
    <n v="0"/>
    <n v="0"/>
    <n v="0"/>
    <n v="0"/>
    <n v="0"/>
    <n v="0"/>
    <n v="85201250"/>
    <n v="232340475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TOTAL COMUNA DE  CHAITEN"/>
    <n v="15075142859"/>
    <n v="3863389750"/>
    <n v="1426096769"/>
    <n v="70108794"/>
    <n v="0"/>
    <n v="82374623"/>
    <n v="152483417"/>
    <n v="200000000"/>
    <n v="196353885"/>
    <n v="548837302"/>
    <n v="877259467"/>
    <n v="978565634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COMUNA DE FUTALEUFU"/>
    <m/>
    <m/>
    <m/>
    <m/>
    <m/>
    <m/>
    <m/>
    <m/>
    <m/>
    <m/>
    <m/>
    <m/>
    <m/>
  </r>
  <r>
    <m/>
    <m/>
    <x v="0"/>
    <x v="0"/>
    <m/>
    <x v="0"/>
    <m/>
    <m/>
    <m/>
    <m/>
    <m/>
    <s v="INICIATIVAS EN EJECUCION"/>
    <m/>
    <m/>
    <m/>
    <m/>
    <m/>
    <m/>
    <m/>
    <m/>
    <m/>
    <m/>
    <m/>
    <m/>
    <m/>
  </r>
  <r>
    <n v="31"/>
    <s v="A"/>
    <x v="6"/>
    <x v="4"/>
    <s v="FUTALEUFU"/>
    <x v="9"/>
    <s v="EJECUCION"/>
    <n v="30072372"/>
    <s v="30072372-EJECUCION"/>
    <m/>
    <s v="30072372"/>
    <s v="AMPLIACION ESCUELA BASICA  FUTALEUFU PARA EDUCACION MEDIA"/>
    <n v="4036745000"/>
    <n v="261225924"/>
    <n v="1982103353"/>
    <n v="0"/>
    <n v="717733008"/>
    <n v="220435329"/>
    <n v="938168337"/>
    <n v="496648192"/>
    <n v="543891790"/>
    <n v="1978708319"/>
    <n v="3395034"/>
    <n v="1793415723"/>
    <s v="EN EJECUCION"/>
  </r>
  <r>
    <n v="31"/>
    <s v="A"/>
    <x v="5"/>
    <x v="4"/>
    <s v="FUTALEUFU"/>
    <x v="9"/>
    <s v="EJECUCION"/>
    <n v="30288773"/>
    <s v="30288773-EJECUCION"/>
    <m/>
    <s v="30288773"/>
    <s v="CONSTRUCCION CENTRO TRATAMIENTO INTEGRAL RESIDUOS SOLIDOS FUTALEUFU"/>
    <n v="1172413718"/>
    <n v="1024889053"/>
    <n v="143822998"/>
    <n v="0"/>
    <n v="0"/>
    <n v="143822998"/>
    <n v="143822998"/>
    <n v="0"/>
    <n v="0"/>
    <n v="143822998"/>
    <n v="0"/>
    <n v="3701667"/>
    <s v="EN EJECUCION"/>
  </r>
  <r>
    <m/>
    <m/>
    <x v="0"/>
    <x v="0"/>
    <m/>
    <x v="0"/>
    <m/>
    <m/>
    <m/>
    <m/>
    <m/>
    <s v="TOTAL DE INICIATIVAS EN EJECUCION"/>
    <n v="5209158718"/>
    <n v="1286114977"/>
    <n v="2125926351"/>
    <n v="0"/>
    <n v="717733008"/>
    <n v="364258327"/>
    <n v="1081991335"/>
    <n v="496648192"/>
    <n v="543891790"/>
    <n v="2122531317"/>
    <n v="3395034"/>
    <n v="179711739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CONVENIO Y TRAMITE"/>
    <m/>
    <m/>
    <m/>
    <m/>
    <m/>
    <m/>
    <m/>
    <m/>
    <m/>
    <m/>
    <m/>
    <m/>
    <m/>
  </r>
  <r>
    <n v="31"/>
    <s v="P"/>
    <x v="10"/>
    <x v="4"/>
    <s v="FUTALEUFU"/>
    <x v="9"/>
    <s v="EJECUCION"/>
    <n v="30341784"/>
    <s v="30341784-EJECUCION"/>
    <m/>
    <s v="30341784"/>
    <s v="HABILITACION SUMINISTRO ENERGIA ELECTRICA, SECTOR NOROESTE, FUTALEUFU"/>
    <n v="288053000"/>
    <n v="0"/>
    <n v="288053000"/>
    <n v="0"/>
    <n v="0"/>
    <n v="0"/>
    <n v="0"/>
    <n v="0"/>
    <n v="0"/>
    <n v="0"/>
    <n v="288053000"/>
    <n v="0"/>
    <s v="TRAMITE CONVENIO"/>
  </r>
  <r>
    <n v="31"/>
    <s v="N"/>
    <x v="4"/>
    <x v="4"/>
    <s v="FUTALEUFU"/>
    <x v="9"/>
    <s v="EJECUCION"/>
    <n v="30289730"/>
    <s v="30289730-EJECUCION"/>
    <m/>
    <s v="30289730"/>
    <s v="MEJORAMIENTO Y PAVIMENTACION CALLE LAUTARO SUR - FUTALEUFU"/>
    <n v="543354000"/>
    <n v="0"/>
    <n v="85690314"/>
    <n v="0"/>
    <n v="0"/>
    <n v="0"/>
    <n v="0"/>
    <n v="0"/>
    <n v="0"/>
    <n v="0"/>
    <n v="85690314"/>
    <n v="457663686"/>
    <s v="TRAMITE CONVENIO"/>
  </r>
  <r>
    <m/>
    <m/>
    <x v="0"/>
    <x v="0"/>
    <m/>
    <x v="0"/>
    <m/>
    <m/>
    <m/>
    <m/>
    <m/>
    <s v="TOTAL DE INICIATIVAS EN CONVENIO Y TRAMITE"/>
    <n v="831407000"/>
    <n v="0"/>
    <n v="373743314"/>
    <n v="0"/>
    <n v="0"/>
    <n v="0"/>
    <n v="0"/>
    <n v="0"/>
    <n v="0"/>
    <n v="0"/>
    <n v="373743314"/>
    <n v="457663686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LICITACION/ADJUDICACION"/>
    <m/>
    <m/>
    <m/>
    <m/>
    <m/>
    <m/>
    <m/>
    <m/>
    <m/>
    <m/>
    <m/>
    <m/>
    <m/>
  </r>
  <r>
    <n v="31"/>
    <s v="P"/>
    <x v="4"/>
    <x v="4"/>
    <s v="FUTALEUFU"/>
    <x v="9"/>
    <s v="EJECUCION"/>
    <n v="30102779"/>
    <s v="30102779-EJECUCION"/>
    <m/>
    <s v="30102779"/>
    <s v="CONSTRUCCION TERMINAL DE BUSES DE FUTALEUFU"/>
    <n v="517037000"/>
    <n v="0"/>
    <n v="316687000"/>
    <n v="0"/>
    <n v="0"/>
    <n v="0"/>
    <n v="0"/>
    <n v="0"/>
    <n v="0"/>
    <n v="0"/>
    <n v="316687000"/>
    <n v="200350000"/>
    <s v="EN LICITACION"/>
  </r>
  <r>
    <n v="31"/>
    <s v="A"/>
    <x v="9"/>
    <x v="4"/>
    <s v="FUTALEUFU"/>
    <x v="9"/>
    <s v="EJECUCION"/>
    <n v="30086361"/>
    <s v="30086361-EJECUCION"/>
    <m/>
    <s v="30086361"/>
    <s v="REPOSICION GIMNASIO MUNICIPAL DE FUTALEUFU"/>
    <n v="3794215000"/>
    <n v="38538000"/>
    <n v="757323380"/>
    <n v="0"/>
    <n v="0"/>
    <n v="0"/>
    <n v="0"/>
    <n v="0"/>
    <n v="0"/>
    <n v="0"/>
    <n v="757323380"/>
    <n v="2998353620"/>
    <s v="EN LICITACION"/>
  </r>
  <r>
    <m/>
    <m/>
    <x v="0"/>
    <x v="0"/>
    <m/>
    <x v="0"/>
    <m/>
    <m/>
    <m/>
    <m/>
    <m/>
    <s v="TOTAL DE INICIATIVAS EN LICITACION/ADJUDICACION"/>
    <n v="4311252000"/>
    <n v="38538000"/>
    <n v="1074010380"/>
    <n v="0"/>
    <n v="0"/>
    <n v="0"/>
    <n v="0"/>
    <n v="0"/>
    <n v="0"/>
    <n v="0"/>
    <n v="1074010380"/>
    <n v="319870362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SIN MOVIMIENTO"/>
    <m/>
    <m/>
    <m/>
    <m/>
    <m/>
    <m/>
    <m/>
    <m/>
    <m/>
    <m/>
    <m/>
    <m/>
    <m/>
  </r>
  <r>
    <n v="31"/>
    <s v="N"/>
    <x v="5"/>
    <x v="4"/>
    <s v="FUTALEUFU"/>
    <x v="2"/>
    <s v="EJECUCION"/>
    <n v="30341678"/>
    <s v="30341678-EJECUCION"/>
    <m/>
    <s v="30341678"/>
    <s v="ANALISIS ESTUDIO PLAN REGULADOR COMUNAL DE FUTALEUFU"/>
    <n v="126058000"/>
    <n v="0"/>
    <n v="6302900"/>
    <n v="0"/>
    <n v="0"/>
    <n v="0"/>
    <n v="0"/>
    <n v="0"/>
    <n v="0"/>
    <n v="0"/>
    <n v="6302900"/>
    <n v="119755100"/>
    <s v="RECOMENDADO"/>
  </r>
  <r>
    <n v="31"/>
    <s v="N"/>
    <x v="5"/>
    <x v="4"/>
    <s v="FUTALEUFU"/>
    <x v="2"/>
    <s v="EJECUCION"/>
    <n v="30341783"/>
    <s v="30341783-EJECUCION"/>
    <m/>
    <s v="30341783"/>
    <s v="CONSTRUCCION CASA DE ACOGIDA DEL ADULTO MAYOR"/>
    <n v="180000000"/>
    <n v="0"/>
    <n v="6604966"/>
    <n v="0"/>
    <n v="0"/>
    <n v="0"/>
    <n v="0"/>
    <n v="0"/>
    <n v="0"/>
    <n v="0"/>
    <n v="6604966"/>
    <n v="173395034"/>
    <s v="ARI"/>
  </r>
  <r>
    <n v="31"/>
    <s v="N"/>
    <x v="5"/>
    <x v="4"/>
    <s v="FUTALEUFU"/>
    <x v="2"/>
    <s v="DISEÑO"/>
    <n v="30341774"/>
    <s v="30341774-DISEÑO"/>
    <m/>
    <s v="30341774"/>
    <s v="REPOSICION BODEGA Y OFICIANS MUNICPALES COMUNA DE FUTALEFU"/>
    <n v="41500000"/>
    <n v="0"/>
    <n v="5000000"/>
    <n v="0"/>
    <n v="0"/>
    <n v="0"/>
    <n v="0"/>
    <n v="0"/>
    <n v="0"/>
    <n v="0"/>
    <n v="5000000"/>
    <n v="36500000"/>
    <s v="ARI"/>
  </r>
  <r>
    <m/>
    <m/>
    <x v="0"/>
    <x v="0"/>
    <m/>
    <x v="0"/>
    <m/>
    <m/>
    <m/>
    <m/>
    <m/>
    <s v="TOTAL DE INICIATIVAS SIN MOVIMIENTO"/>
    <n v="347558000"/>
    <n v="0"/>
    <n v="17907866"/>
    <n v="0"/>
    <n v="0"/>
    <n v="0"/>
    <n v="0"/>
    <n v="0"/>
    <n v="0"/>
    <n v="0"/>
    <n v="17907866"/>
    <n v="329650134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TOTAL COMUNA DE  FUTALEUFU"/>
    <n v="10699375718"/>
    <n v="1324652977"/>
    <n v="3591587911"/>
    <n v="0"/>
    <n v="717733008"/>
    <n v="364258327"/>
    <n v="1081991335"/>
    <n v="496648192"/>
    <n v="543891790"/>
    <n v="2122531317"/>
    <n v="1469056594"/>
    <n v="578313483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COMUNA DE HUALAIHUE"/>
    <m/>
    <m/>
    <m/>
    <m/>
    <m/>
    <m/>
    <m/>
    <m/>
    <m/>
    <m/>
    <m/>
    <m/>
    <m/>
  </r>
  <r>
    <m/>
    <m/>
    <x v="0"/>
    <x v="0"/>
    <m/>
    <x v="0"/>
    <m/>
    <m/>
    <m/>
    <m/>
    <m/>
    <s v="INICIATIVAS EN EJECUCION"/>
    <m/>
    <m/>
    <m/>
    <m/>
    <m/>
    <m/>
    <m/>
    <m/>
    <m/>
    <m/>
    <m/>
    <m/>
    <m/>
  </r>
  <r>
    <n v="31"/>
    <s v="P"/>
    <x v="6"/>
    <x v="4"/>
    <s v="HUALAIHUE"/>
    <x v="3"/>
    <s v="EJECUCION"/>
    <n v="30277425"/>
    <s v="30277425-EJECUCION"/>
    <m/>
    <s v="30277425"/>
    <s v="CONSERVACION GIMNASIO ESCUELA SEMILLERO DE ROLECHA (C33)"/>
    <n v="231911000"/>
    <n v="0"/>
    <n v="93135437"/>
    <n v="0"/>
    <n v="0"/>
    <n v="3970778"/>
    <n v="3970778"/>
    <n v="33602786"/>
    <n v="23322984"/>
    <n v="60896548"/>
    <n v="32238889"/>
    <n v="138775563"/>
    <s v="EN EJECUCION"/>
  </r>
  <r>
    <n v="31"/>
    <s v="P"/>
    <x v="1"/>
    <x v="4"/>
    <s v="HUALAIHUE"/>
    <x v="2"/>
    <s v="EJECUCION"/>
    <n v="30455973"/>
    <s v="30455973-EJECUCION"/>
    <m/>
    <s v="30455973"/>
    <s v="CONSTRUCCION 2 CASA PARA PROFESIONALES CECOSF HUALAIHUE"/>
    <n v="95090000"/>
    <n v="0"/>
    <n v="75056375"/>
    <n v="0"/>
    <n v="0"/>
    <n v="0"/>
    <n v="0"/>
    <n v="24635975"/>
    <n v="20420400"/>
    <n v="45056375"/>
    <n v="30000000"/>
    <n v="20033625"/>
    <s v="EN EJECUCION"/>
  </r>
  <r>
    <m/>
    <m/>
    <x v="0"/>
    <x v="0"/>
    <m/>
    <x v="0"/>
    <m/>
    <m/>
    <m/>
    <m/>
    <m/>
    <s v="TOTAL DE INICIATIVAS EN EJECUCION"/>
    <n v="327001000"/>
    <n v="0"/>
    <n v="168191812"/>
    <n v="0"/>
    <n v="0"/>
    <n v="3970778"/>
    <n v="3970778"/>
    <n v="58238761"/>
    <n v="43743384"/>
    <n v="105952923"/>
    <n v="62238889"/>
    <n v="158809188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TERMINADAS"/>
    <m/>
    <m/>
    <m/>
    <m/>
    <m/>
    <m/>
    <m/>
    <m/>
    <m/>
    <m/>
    <m/>
    <m/>
    <m/>
  </r>
  <r>
    <n v="31"/>
    <s v="A"/>
    <x v="6"/>
    <x v="4"/>
    <s v="HUALAIHUE"/>
    <x v="3"/>
    <s v="EJECUCION"/>
    <n v="30036043"/>
    <s v="30036043-EJECUCION"/>
    <m/>
    <s v="30036043"/>
    <s v="MEJORAMIENTO Y REPOSICION ESCUELA ANTUPIREN"/>
    <n v="2105704808"/>
    <n v="2105704808"/>
    <n v="0"/>
    <n v="0"/>
    <n v="0"/>
    <n v="0"/>
    <n v="0"/>
    <n v="0"/>
    <n v="0"/>
    <n v="0"/>
    <n v="0"/>
    <n v="0"/>
    <s v="TERMINADO"/>
  </r>
  <r>
    <n v="31"/>
    <s v="A"/>
    <x v="9"/>
    <x v="4"/>
    <s v="HUALAIHUE"/>
    <x v="2"/>
    <s v="EJECUCION"/>
    <n v="30136949"/>
    <s v="30136949-EJECUCION"/>
    <m/>
    <s v="30136949"/>
    <s v="CONSERVACION GIMNASIO MUNICIPAL DE HORNOPIREN(C33)"/>
    <n v="123511343"/>
    <n v="123511343"/>
    <n v="0"/>
    <n v="0"/>
    <n v="0"/>
    <n v="0"/>
    <n v="0"/>
    <n v="0"/>
    <n v="0"/>
    <n v="0"/>
    <n v="0"/>
    <n v="0"/>
    <s v="TERMINADO"/>
  </r>
  <r>
    <m/>
    <m/>
    <x v="0"/>
    <x v="0"/>
    <m/>
    <x v="0"/>
    <m/>
    <m/>
    <m/>
    <m/>
    <m/>
    <s v="TOTAL DE INICIATIVAS TERMINADAS"/>
    <n v="2229216151"/>
    <n v="2229216151"/>
    <n v="0"/>
    <n v="0"/>
    <n v="0"/>
    <n v="0"/>
    <n v="0"/>
    <n v="0"/>
    <n v="0"/>
    <n v="0"/>
    <n v="0"/>
    <n v="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CONVENIO Y TRAMITE"/>
    <m/>
    <m/>
    <m/>
    <m/>
    <m/>
    <m/>
    <m/>
    <m/>
    <m/>
    <m/>
    <m/>
    <m/>
    <m/>
  </r>
  <r>
    <n v="31"/>
    <s v="P"/>
    <x v="5"/>
    <x v="4"/>
    <s v="HUALAIHUE"/>
    <x v="2"/>
    <s v="EJECUCION"/>
    <n v="30395825"/>
    <s v="30395825-EJECUCION"/>
    <m/>
    <s v="30395825"/>
    <s v="CONSERVACION SEDE SOCIAL LOCALIDAD DE CONTAO (C33)"/>
    <n v="113663000"/>
    <n v="0"/>
    <n v="34098900"/>
    <n v="0"/>
    <n v="0"/>
    <n v="0"/>
    <n v="0"/>
    <n v="0"/>
    <n v="0"/>
    <n v="0"/>
    <n v="34098900"/>
    <n v="79564100"/>
    <s v="CON CONVENIO"/>
  </r>
  <r>
    <n v="31"/>
    <s v="N"/>
    <x v="1"/>
    <x v="4"/>
    <s v="HUALAIHUE"/>
    <x v="9"/>
    <s v="EJECUCION"/>
    <n v="30311722"/>
    <s v="30311722-EJECUCION"/>
    <s v="30311722-FNDR"/>
    <s v="30311722"/>
    <s v="REPOSICION POSTA SALUD RURAL AULEN"/>
    <n v="614592000"/>
    <n v="0"/>
    <n v="61459200"/>
    <n v="0"/>
    <n v="0"/>
    <n v="0"/>
    <n v="0"/>
    <n v="0"/>
    <n v="0"/>
    <n v="0"/>
    <n v="61459200"/>
    <n v="553132800"/>
    <s v="CON CONVENIO"/>
  </r>
  <r>
    <n v="31"/>
    <s v="N"/>
    <x v="5"/>
    <x v="4"/>
    <s v="HUALAIHUE"/>
    <x v="9"/>
    <s v="DISEÑO"/>
    <n v="30340472"/>
    <s v="30340472-DISEÑO"/>
    <m/>
    <s v="30340472"/>
    <s v="CONSTRUCCION CEMENTERIO DE CONTAO, HUALAIHUE"/>
    <n v="44601000"/>
    <n v="0"/>
    <n v="44601000"/>
    <n v="0"/>
    <n v="0"/>
    <n v="0"/>
    <n v="0"/>
    <n v="0"/>
    <n v="0"/>
    <n v="0"/>
    <n v="44601000"/>
    <n v="0"/>
    <s v="TRAMITE CONVENIO"/>
  </r>
  <r>
    <n v="31"/>
    <s v="N"/>
    <x v="4"/>
    <x v="4"/>
    <s v="HUALAIHUE"/>
    <x v="1"/>
    <s v="EJECUCION"/>
    <n v="30471092"/>
    <s v="30471092-EJECUCION"/>
    <m/>
    <s v="30471092"/>
    <s v="CONSERVACION CAMINOS VECINALES GLOSA 7,COMUNA HUALAIHUE, PROV. PALENA(C33)"/>
    <n v="354649000"/>
    <n v="0"/>
    <n v="30000000"/>
    <n v="0"/>
    <n v="0"/>
    <n v="0"/>
    <n v="0"/>
    <n v="0"/>
    <n v="0"/>
    <n v="0"/>
    <n v="30000000"/>
    <n v="324649000"/>
    <s v="TRAMITE CONVENIO"/>
  </r>
  <r>
    <n v="31"/>
    <s v="P"/>
    <x v="9"/>
    <x v="4"/>
    <s v="HUALAIHUE"/>
    <x v="9"/>
    <s v="DISEÑO"/>
    <n v="30393123"/>
    <s v="30393123-DISEÑO"/>
    <m/>
    <s v="30393123"/>
    <s v="CONSTRUCCION GIMNASIO PICHICOLO"/>
    <n v="30175000"/>
    <n v="0"/>
    <n v="20000000"/>
    <n v="0"/>
    <n v="0"/>
    <n v="0"/>
    <n v="0"/>
    <n v="0"/>
    <n v="0"/>
    <n v="0"/>
    <n v="20000000"/>
    <n v="10175000"/>
    <s v="TRAMITE CONVENIO"/>
  </r>
  <r>
    <n v="31"/>
    <s v="P"/>
    <x v="8"/>
    <x v="4"/>
    <s v="HUALAIHUE"/>
    <x v="10"/>
    <s v="DISEÑO"/>
    <n v="30338024"/>
    <s v="30338024-DISEÑO"/>
    <m/>
    <s v="30338024"/>
    <s v="CONSTRUCCION SISTEMA AGUA POTABLE PUNTILLA PICHICOLO"/>
    <n v="33857000"/>
    <n v="0"/>
    <n v="33857000"/>
    <n v="0"/>
    <n v="0"/>
    <n v="0"/>
    <n v="0"/>
    <n v="0"/>
    <n v="0"/>
    <n v="0"/>
    <n v="33857000"/>
    <n v="0"/>
    <s v="TRAMITE CONVENIO"/>
  </r>
  <r>
    <n v="31"/>
    <s v="P"/>
    <x v="8"/>
    <x v="4"/>
    <s v="HUALAIHUE"/>
    <x v="4"/>
    <s v="DISEÑO"/>
    <n v="30338523"/>
    <s v="30338523-DISEÑO"/>
    <m/>
    <s v="30338523"/>
    <s v="CONSTRUCCION SISTEMA AGUA POTABLE CHOLGO"/>
    <n v="33857000"/>
    <n v="0"/>
    <n v="33857000"/>
    <n v="0"/>
    <n v="0"/>
    <n v="0"/>
    <n v="0"/>
    <n v="0"/>
    <n v="0"/>
    <n v="0"/>
    <n v="33857000"/>
    <n v="0"/>
    <s v="TRAMITE CONVENIO"/>
  </r>
  <r>
    <n v="29"/>
    <s v="N"/>
    <x v="5"/>
    <x v="4"/>
    <s v="HUALAIHUE"/>
    <x v="2"/>
    <s v="EJECUCION"/>
    <n v="30349931"/>
    <s v="30349931-EJECUCION"/>
    <m/>
    <s v="30349931"/>
    <s v="ADQUISICION CAMION MULTIPROPOSITO (C33)"/>
    <n v="330966000"/>
    <n v="0"/>
    <n v="0"/>
    <n v="0"/>
    <n v="0"/>
    <n v="0"/>
    <n v="0"/>
    <n v="0"/>
    <n v="0"/>
    <n v="0"/>
    <n v="0"/>
    <n v="330966000"/>
    <s v="TRAMITE CONVENIO"/>
  </r>
  <r>
    <n v="31"/>
    <s v="N"/>
    <x v="8"/>
    <x v="4"/>
    <s v="HUALAIHUE"/>
    <x v="9"/>
    <s v="EJECUCION"/>
    <n v="30065600"/>
    <s v="30065600-EJECUCION"/>
    <m/>
    <s v="30065600"/>
    <s v="CONSTRUCCION SISTEMA AGUA POTABLE EL MANZANO"/>
    <n v="418012000"/>
    <n v="0"/>
    <n v="41801200"/>
    <n v="0"/>
    <n v="0"/>
    <n v="0"/>
    <n v="0"/>
    <n v="0"/>
    <n v="0"/>
    <n v="0"/>
    <n v="41801200"/>
    <n v="376210800"/>
    <s v="TRAMITE CONVENIO"/>
  </r>
  <r>
    <m/>
    <m/>
    <x v="0"/>
    <x v="0"/>
    <m/>
    <x v="0"/>
    <m/>
    <m/>
    <m/>
    <m/>
    <m/>
    <s v="TOTAL DE INICIATIVAS EN CONVENIO Y TRAMITE"/>
    <n v="1974372000"/>
    <n v="0"/>
    <n v="299674300"/>
    <n v="0"/>
    <n v="0"/>
    <n v="0"/>
    <n v="0"/>
    <n v="0"/>
    <n v="0"/>
    <n v="0"/>
    <n v="299674300"/>
    <n v="167469770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SIN MOVIMIENTO"/>
    <m/>
    <m/>
    <m/>
    <m/>
    <m/>
    <m/>
    <m/>
    <m/>
    <m/>
    <m/>
    <m/>
    <m/>
    <m/>
  </r>
  <r>
    <n v="29"/>
    <s v="N"/>
    <x v="4"/>
    <x v="4"/>
    <s v="HUALAIHUE"/>
    <x v="2"/>
    <s v="EJECUCION"/>
    <n v="30471865"/>
    <s v="30471865-EJECUCION"/>
    <m/>
    <s v="30471865"/>
    <s v="ADQUISICION SISTEMA DE ILUMINACION PAD. RIO NEGRO HORNOPIREN(C33)"/>
    <n v="101104000"/>
    <n v="0"/>
    <n v="101104000"/>
    <n v="0"/>
    <n v="0"/>
    <n v="0"/>
    <n v="0"/>
    <n v="0"/>
    <n v="0"/>
    <n v="0"/>
    <n v="101104000"/>
    <n v="0"/>
    <s v="RECOMENDADO"/>
  </r>
  <r>
    <n v="29"/>
    <s v="N"/>
    <x v="2"/>
    <x v="4"/>
    <s v="HUALAIHUE"/>
    <x v="2"/>
    <s v="EJECUCION"/>
    <n v="30480167"/>
    <s v="30480167-EJECUCION"/>
    <m/>
    <s v="30480167"/>
    <s v="ADQUISICION LANCHA POLICIAL TENENCIA HORNOPIREN, COMUNA HUALAIHUE(C33)"/>
    <n v="74992000"/>
    <n v="0"/>
    <n v="3749600"/>
    <n v="0"/>
    <n v="0"/>
    <n v="0"/>
    <n v="0"/>
    <n v="0"/>
    <n v="0"/>
    <n v="0"/>
    <n v="3749600"/>
    <n v="71242400"/>
    <s v="OBSERVADO"/>
  </r>
  <r>
    <n v="31"/>
    <s v="N"/>
    <x v="1"/>
    <x v="4"/>
    <s v="HUALAIHUE"/>
    <x v="2"/>
    <s v="DISEÑO"/>
    <n v="30311772"/>
    <s v="30311772-DISEÑO"/>
    <s v="30311772-FNDR"/>
    <s v="30311772"/>
    <s v="CONSTRUCCION CONSULTORIO RURAL DE CONTAO"/>
    <n v="121599000"/>
    <n v="0"/>
    <n v="5000000"/>
    <n v="0"/>
    <n v="0"/>
    <n v="0"/>
    <n v="0"/>
    <n v="0"/>
    <n v="0"/>
    <n v="0"/>
    <n v="5000000"/>
    <n v="116599000"/>
    <s v="ARI"/>
  </r>
  <r>
    <n v="31"/>
    <s v="N"/>
    <x v="9"/>
    <x v="4"/>
    <s v="HUALAIHUE"/>
    <x v="2"/>
    <s v="EJECUCION"/>
    <n v="30395923"/>
    <s v="30395923-EJECUCION"/>
    <m/>
    <s v="30395923"/>
    <s v="CONSTRUCCION CARPETA SINTETICA CANCHA ROLECHA"/>
    <n v="596813000"/>
    <n v="0"/>
    <n v="20233127"/>
    <n v="0"/>
    <n v="0"/>
    <n v="0"/>
    <n v="0"/>
    <n v="0"/>
    <n v="0"/>
    <n v="0"/>
    <n v="20233127"/>
    <n v="576579873"/>
    <s v="ARI"/>
  </r>
  <r>
    <m/>
    <m/>
    <x v="0"/>
    <x v="0"/>
    <m/>
    <x v="0"/>
    <m/>
    <m/>
    <m/>
    <m/>
    <m/>
    <s v="TOTAL DE INICIATIVAS SIN MOVIMIENTO"/>
    <n v="894508000"/>
    <n v="0"/>
    <n v="130086727"/>
    <n v="0"/>
    <n v="0"/>
    <n v="0"/>
    <n v="0"/>
    <n v="0"/>
    <n v="0"/>
    <n v="0"/>
    <n v="130086727"/>
    <n v="764421273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TOTAL COMUNA DE  HUALAIHUE"/>
    <n v="5425097151"/>
    <n v="2229216151"/>
    <n v="597952839"/>
    <n v="0"/>
    <n v="0"/>
    <n v="3970778"/>
    <n v="3970778"/>
    <n v="58238761"/>
    <n v="43743384"/>
    <n v="105952923"/>
    <n v="491999916"/>
    <n v="2597928161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COMUNA DE PALENA"/>
    <m/>
    <m/>
    <m/>
    <m/>
    <m/>
    <m/>
    <m/>
    <m/>
    <m/>
    <m/>
    <m/>
    <m/>
    <m/>
  </r>
  <r>
    <m/>
    <m/>
    <x v="0"/>
    <x v="0"/>
    <m/>
    <x v="0"/>
    <m/>
    <m/>
    <m/>
    <m/>
    <m/>
    <s v="INICIATIVAS EN EJECUCION"/>
    <m/>
    <m/>
    <m/>
    <m/>
    <m/>
    <m/>
    <m/>
    <m/>
    <m/>
    <m/>
    <m/>
    <m/>
    <m/>
  </r>
  <r>
    <n v="31"/>
    <s v="A"/>
    <x v="2"/>
    <x v="4"/>
    <s v="PALENA"/>
    <x v="9"/>
    <s v="EJECUCION"/>
    <n v="30115295"/>
    <s v="30115295-EJECUCION"/>
    <m/>
    <s v="30115295"/>
    <s v="REPOSICION Y AMPLIACION CUARTEL 1° COMPAÑIA DE BOMBEROS DE PALENA"/>
    <n v="704595000"/>
    <n v="256755441"/>
    <n v="234865000"/>
    <n v="1645250"/>
    <n v="40971274"/>
    <n v="59963061"/>
    <n v="102579585"/>
    <n v="35001460"/>
    <n v="1645250"/>
    <n v="139226295"/>
    <n v="95638705"/>
    <n v="212974559"/>
    <s v="EN EJECUCION"/>
  </r>
  <r>
    <n v="31"/>
    <s v="A"/>
    <x v="5"/>
    <x v="4"/>
    <s v="PALENA"/>
    <x v="9"/>
    <s v="DISEÑO"/>
    <n v="30116040"/>
    <s v="30116040-DISEÑO"/>
    <m/>
    <s v="30116040"/>
    <s v="CONSTRUCCION BODEGA Y GALPON MUNICIPAL"/>
    <n v="43969000"/>
    <n v="35173080"/>
    <n v="0"/>
    <n v="0"/>
    <n v="0"/>
    <n v="0"/>
    <n v="0"/>
    <n v="0"/>
    <n v="0"/>
    <n v="0"/>
    <n v="0"/>
    <n v="8795920"/>
    <s v="EN EJECUCION"/>
  </r>
  <r>
    <m/>
    <m/>
    <x v="0"/>
    <x v="0"/>
    <m/>
    <x v="0"/>
    <m/>
    <m/>
    <m/>
    <m/>
    <m/>
    <s v="TOTAL DE INICIATIVAS EN EJECUCION"/>
    <n v="748564000"/>
    <n v="291928521"/>
    <n v="234865000"/>
    <n v="1645250"/>
    <n v="40971274"/>
    <n v="59963061"/>
    <n v="102579585"/>
    <n v="35001460"/>
    <n v="1645250"/>
    <n v="139226295"/>
    <n v="95638705"/>
    <n v="221770479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LICITACION/ADJUDICACION"/>
    <m/>
    <m/>
    <m/>
    <m/>
    <m/>
    <m/>
    <m/>
    <m/>
    <m/>
    <m/>
    <m/>
    <m/>
    <m/>
  </r>
  <r>
    <n v="29"/>
    <s v="N"/>
    <x v="5"/>
    <x v="4"/>
    <s v="PALENA"/>
    <x v="2"/>
    <s v="EJECUCION"/>
    <n v="40000847"/>
    <s v="40000847-EJECUCION"/>
    <m/>
    <s v="40000847"/>
    <s v="ADQUISICION DOS CAMIONETAS Y UN FURGON Y UNA CAMIONETA DE CARGA(C33)"/>
    <n v="110000000"/>
    <n v="0"/>
    <n v="110000000"/>
    <n v="0"/>
    <n v="0"/>
    <n v="0"/>
    <n v="0"/>
    <n v="0"/>
    <n v="0"/>
    <n v="0"/>
    <n v="110000000"/>
    <n v="0"/>
    <s v="TERMINADO"/>
  </r>
  <r>
    <m/>
    <m/>
    <x v="0"/>
    <x v="0"/>
    <m/>
    <x v="0"/>
    <m/>
    <m/>
    <m/>
    <m/>
    <m/>
    <s v="TOTAL DE INICIATIVAS EN LICITACION/ADJUDICACION"/>
    <n v="110000000"/>
    <n v="0"/>
    <n v="110000000"/>
    <n v="0"/>
    <n v="0"/>
    <n v="0"/>
    <n v="0"/>
    <n v="0"/>
    <n v="0"/>
    <n v="0"/>
    <n v="110000000"/>
    <n v="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SIN MOVIMIENTO"/>
    <m/>
    <m/>
    <m/>
    <m/>
    <m/>
    <m/>
    <m/>
    <m/>
    <m/>
    <m/>
    <m/>
    <m/>
    <m/>
  </r>
  <r>
    <n v="22"/>
    <s v="P"/>
    <x v="3"/>
    <x v="4"/>
    <s v="PALENA"/>
    <x v="2"/>
    <s v="EJECUCION"/>
    <n v="30474713"/>
    <s v="30474713-EJECUCION"/>
    <m/>
    <s v="30474713"/>
    <s v="ACTUALIZACION PLAN REGULADOR COMUNA DE PALENA (C33)"/>
    <n v="130000000"/>
    <n v="0"/>
    <n v="39000000"/>
    <n v="0"/>
    <n v="0"/>
    <n v="0"/>
    <n v="0"/>
    <n v="0"/>
    <n v="0"/>
    <n v="0"/>
    <n v="39000000"/>
    <n v="91000000"/>
    <s v="APROBADO CORE"/>
  </r>
  <r>
    <n v="31"/>
    <s v="N"/>
    <x v="4"/>
    <x v="4"/>
    <s v="PALENA"/>
    <x v="9"/>
    <s v="PREFACTIBILIDAD"/>
    <n v="30384235"/>
    <s v="30384235-PREFACTIBILIDAD"/>
    <m/>
    <s v="30384235"/>
    <s v="CONSTRUCCION CONEXION VIAL SECTOR PALENA-LAGO PALENA"/>
    <n v="565000000"/>
    <n v="0"/>
    <n v="169500000"/>
    <n v="0"/>
    <n v="0"/>
    <n v="0"/>
    <n v="0"/>
    <n v="0"/>
    <n v="0"/>
    <n v="0"/>
    <n v="169500000"/>
    <n v="395500000"/>
    <s v="ORD 1896, OF 2992"/>
  </r>
  <r>
    <n v="31"/>
    <s v="N"/>
    <x v="4"/>
    <x v="4"/>
    <s v="PALENA"/>
    <x v="1"/>
    <s v="EJECUCION"/>
    <n v="30468388"/>
    <s v="30468388-EJECUCION"/>
    <m/>
    <s v="30468388"/>
    <s v="AMPLIACION AREA DE MOVIMIENTO PEQUEÑO AERODROMO ALTO PALENA"/>
    <n v="200002000"/>
    <n v="0"/>
    <n v="10000000"/>
    <n v="0"/>
    <n v="0"/>
    <n v="0"/>
    <n v="0"/>
    <n v="0"/>
    <n v="0"/>
    <n v="0"/>
    <n v="10000000"/>
    <n v="190002000"/>
    <s v="ARI"/>
  </r>
  <r>
    <n v="31"/>
    <s v="N"/>
    <x v="8"/>
    <x v="4"/>
    <s v="PALENA"/>
    <x v="4"/>
    <s v="EJECUCION"/>
    <n v="30116034"/>
    <s v="30116034-EJECUCION"/>
    <m/>
    <s v="30116034"/>
    <s v="CONSTRUCCION SISTEMA DE AGUA POTABLE Y ALCANTARILLADO SECTOR PUERTO"/>
    <n v="565000000"/>
    <n v="0"/>
    <n v="18250000"/>
    <n v="0"/>
    <n v="0"/>
    <n v="0"/>
    <n v="0"/>
    <n v="0"/>
    <n v="0"/>
    <n v="0"/>
    <n v="18250000"/>
    <n v="546750000"/>
    <s v="ARI"/>
  </r>
  <r>
    <n v="31"/>
    <s v="N"/>
    <x v="5"/>
    <x v="4"/>
    <s v="PALENA"/>
    <x v="6"/>
    <s v="EJECUCION"/>
    <n v="30125915"/>
    <s v="30125915-EJECUCION"/>
    <m/>
    <s v="30125915"/>
    <s v="CONSTRUCCION CENTRO INTEGRAL DE TRATAMIENTOS DE RSD"/>
    <n v="800000000"/>
    <n v="0"/>
    <n v="40000000"/>
    <n v="0"/>
    <n v="0"/>
    <n v="0"/>
    <n v="0"/>
    <n v="0"/>
    <n v="0"/>
    <n v="0"/>
    <n v="40000000"/>
    <n v="760000000"/>
    <s v="ARI"/>
  </r>
  <r>
    <m/>
    <m/>
    <x v="0"/>
    <x v="0"/>
    <m/>
    <x v="0"/>
    <m/>
    <m/>
    <m/>
    <m/>
    <m/>
    <s v="TOTAL DE INICIATIVAS SIN MOVIMIENTO"/>
    <n v="2260002000"/>
    <n v="0"/>
    <n v="276750000"/>
    <n v="0"/>
    <n v="0"/>
    <n v="0"/>
    <n v="0"/>
    <n v="0"/>
    <n v="0"/>
    <n v="0"/>
    <n v="276750000"/>
    <n v="198325200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TOTAL COMUNA DE  PALENA"/>
    <n v="3118566000"/>
    <n v="291928521"/>
    <n v="621615000"/>
    <n v="1645250"/>
    <n v="40971274"/>
    <n v="59963061"/>
    <n v="102579585"/>
    <n v="35001460"/>
    <n v="1645250"/>
    <n v="139226295"/>
    <n v="482388705"/>
    <n v="2205022479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PROVINCIALES"/>
    <m/>
    <m/>
    <m/>
    <m/>
    <m/>
    <m/>
    <m/>
    <m/>
    <m/>
    <m/>
    <m/>
    <m/>
    <m/>
  </r>
  <r>
    <m/>
    <m/>
    <x v="0"/>
    <x v="0"/>
    <m/>
    <x v="0"/>
    <m/>
    <m/>
    <m/>
    <m/>
    <m/>
    <s v="INICIATIVAS EN EJECUCION"/>
    <m/>
    <m/>
    <m/>
    <m/>
    <m/>
    <m/>
    <m/>
    <m/>
    <m/>
    <m/>
    <m/>
    <m/>
    <m/>
  </r>
  <r>
    <n v="31"/>
    <s v="A"/>
    <x v="4"/>
    <x v="4"/>
    <s v="PROV. PALENA"/>
    <x v="9"/>
    <s v="EJECUCION"/>
    <n v="30071449"/>
    <s v="30071449-EJECUCION"/>
    <m/>
    <s v="30071449"/>
    <s v="MEJORAMIENTO RUTA 7 SECTOR PTO. CARDENAS-SANTA LUCIA"/>
    <n v="26259177000"/>
    <n v="17047207852"/>
    <n v="4494092066"/>
    <n v="0"/>
    <n v="668533488"/>
    <n v="735673033"/>
    <n v="1404206521"/>
    <n v="1718881545"/>
    <n v="859872612"/>
    <n v="3982960678"/>
    <n v="511131388"/>
    <n v="4717877082"/>
    <s v="EN EJECUCION"/>
  </r>
  <r>
    <n v="31"/>
    <s v="A"/>
    <x v="4"/>
    <x v="4"/>
    <s v="PROV. PALENA"/>
    <x v="9"/>
    <s v="EJECUCION"/>
    <n v="30342724"/>
    <s v="30342724-EJECUCION"/>
    <m/>
    <s v="30342724"/>
    <s v="CONSERVACION CAMINOS BASICOS RUTA  W609 ETAPA I (C33)"/>
    <n v="1404332505"/>
    <n v="1396318184"/>
    <n v="7014321"/>
    <n v="0"/>
    <n v="0"/>
    <n v="0"/>
    <n v="0"/>
    <n v="0"/>
    <n v="7014321"/>
    <n v="7014321"/>
    <n v="0"/>
    <n v="1000000"/>
    <s v="EN EJECUCION"/>
  </r>
  <r>
    <n v="31"/>
    <s v="A"/>
    <x v="4"/>
    <x v="4"/>
    <s v="PROV. PALENA"/>
    <x v="9"/>
    <s v="EJECUCION"/>
    <n v="30350774"/>
    <s v="30350774-EJECUCION"/>
    <m/>
    <s v="30350774"/>
    <s v="MEJORAMIENTO DIVERSAS CALLES PROVINCIA DE PALENA"/>
    <n v="2659379994"/>
    <n v="2641078795"/>
    <n v="14749933"/>
    <n v="0"/>
    <n v="0"/>
    <n v="0"/>
    <n v="0"/>
    <n v="0"/>
    <n v="14749933"/>
    <n v="14749933"/>
    <n v="0"/>
    <n v="3551266"/>
    <s v="EN EJECUCION"/>
  </r>
  <r>
    <n v="31"/>
    <s v="P"/>
    <x v="1"/>
    <x v="4"/>
    <s v="PROV. PALENA"/>
    <x v="9"/>
    <s v="DISEÑO"/>
    <n v="30351932"/>
    <s v="30351932-DISEÑO"/>
    <m/>
    <s v="30351932"/>
    <s v="HABILITACION DE UNIDADES CRITICAS, HOSPITAL DE CHAITEN"/>
    <n v="65679000"/>
    <n v="10409508"/>
    <n v="24983410"/>
    <n v="0"/>
    <n v="0"/>
    <n v="0"/>
    <n v="0"/>
    <n v="12491410"/>
    <n v="0"/>
    <n v="12491410"/>
    <n v="12492000"/>
    <n v="30286082"/>
    <s v="EN EJECUCION"/>
  </r>
  <r>
    <n v="31"/>
    <s v="A"/>
    <x v="4"/>
    <x v="4"/>
    <s v="PROV. PALENA"/>
    <x v="9"/>
    <s v="EJECUCION"/>
    <n v="30342673"/>
    <s v="30342673-EJECUCION"/>
    <m/>
    <s v="30342673"/>
    <s v="CONSTRUCION CAMINO RUTA  W 807 SECTOR PUENTE NEGRO PTE. AQUELLAS"/>
    <n v="8584233019"/>
    <n v="94762309"/>
    <n v="594857938"/>
    <n v="0"/>
    <n v="1172563"/>
    <n v="1328397"/>
    <n v="2500960"/>
    <n v="252294"/>
    <n v="0"/>
    <n v="2753254"/>
    <n v="592104684"/>
    <n v="7894612772"/>
    <s v="EN EJECUCION"/>
  </r>
  <r>
    <n v="29"/>
    <s v="A"/>
    <x v="1"/>
    <x v="4"/>
    <s v="PROV. PALENA"/>
    <x v="2"/>
    <s v="EJECUCION"/>
    <n v="30428989"/>
    <s v="30428989-EJECUCION"/>
    <s v="30428989-FNDR"/>
    <s v="30428989"/>
    <s v="ADQUISICION EQUIPOS Y EQUIPAMIENTOS PARA HOSPITALES PROVINCIA DE PALENA(C33)"/>
    <n v="554963000"/>
    <n v="127658084"/>
    <n v="424963000"/>
    <n v="0"/>
    <n v="0"/>
    <n v="0"/>
    <n v="0"/>
    <n v="0"/>
    <n v="0"/>
    <n v="0"/>
    <n v="424963000"/>
    <n v="2341916"/>
    <s v="EN EJECUCION"/>
  </r>
  <r>
    <n v="33"/>
    <s v="P"/>
    <x v="5"/>
    <x v="4"/>
    <s v="PROV. PALENA"/>
    <x v="7"/>
    <s v="EJECUCION"/>
    <s v="S/C"/>
    <s v="S/C-EJECUCION"/>
    <m/>
    <s v="S/C"/>
    <s v="FONDO  REGIONAL DE INICIATIVA LOCAL"/>
    <n v="850348800"/>
    <n v="0"/>
    <n v="850348800"/>
    <n v="0"/>
    <n v="135539820"/>
    <n v="53914879"/>
    <n v="189454699"/>
    <n v="174877775"/>
    <n v="162257304"/>
    <n v="526589778"/>
    <n v="323759022"/>
    <n v="0"/>
    <s v="EN EJECUCION"/>
  </r>
  <r>
    <n v="24"/>
    <s v="P"/>
    <x v="6"/>
    <x v="4"/>
    <s v="PROV. PALENA"/>
    <x v="2"/>
    <s v="EJECUCION"/>
    <s v="SUBT 24"/>
    <s v="SUBT 24-EJECUCION"/>
    <m/>
    <s v="SUBT 24"/>
    <s v="ACTIVIDADES CULTURALES"/>
    <n v="359099988.79963976"/>
    <n v="0"/>
    <n v="359099988.79963976"/>
    <n v="0"/>
    <n v="16243000"/>
    <n v="0"/>
    <n v="16243000"/>
    <n v="4587434"/>
    <n v="0"/>
    <n v="20830434"/>
    <n v="338269554.79963976"/>
    <n v="0"/>
    <s v="CONCURSO"/>
  </r>
  <r>
    <n v="24"/>
    <s v="P"/>
    <x v="9"/>
    <x v="4"/>
    <s v="PROV. PALENA"/>
    <x v="2"/>
    <s v="EJECUCION"/>
    <s v="SUBT 24"/>
    <s v="SUBT 24-EJECUCION"/>
    <m/>
    <s v="SUBT 24"/>
    <s v="ACTIVIDADES DEPORTIVAS"/>
    <n v="359099988.79963976"/>
    <n v="0"/>
    <n v="359099988.79963976"/>
    <n v="0"/>
    <n v="0"/>
    <n v="0"/>
    <n v="0"/>
    <n v="0"/>
    <n v="0"/>
    <n v="0"/>
    <n v="359099988.79963976"/>
    <n v="0"/>
    <s v="CONCURSO"/>
  </r>
  <r>
    <n v="24"/>
    <s v="P"/>
    <x v="2"/>
    <x v="4"/>
    <s v="PROV. PALENA"/>
    <x v="2"/>
    <s v="EJECUCION"/>
    <s v="SUBT 24"/>
    <s v="SUBT 24-EJECUCION"/>
    <m/>
    <s v="SUBT 24"/>
    <s v="ACTIVIDADES COMUNIDAD ACTIVA"/>
    <n v="359099988.79963976"/>
    <n v="0"/>
    <n v="359099988.79963976"/>
    <n v="0"/>
    <n v="5745950"/>
    <n v="3500000"/>
    <n v="9245950"/>
    <n v="0"/>
    <n v="0"/>
    <n v="9245950"/>
    <n v="349854038.79963976"/>
    <n v="0"/>
    <s v="CONCURSO"/>
  </r>
  <r>
    <m/>
    <m/>
    <x v="0"/>
    <x v="0"/>
    <m/>
    <x v="0"/>
    <m/>
    <m/>
    <m/>
    <m/>
    <m/>
    <s v="TOTAL DE INICIATIVAS EN EJECUCION"/>
    <n v="41455413284.398911"/>
    <n v="21317434732"/>
    <n v="7488309434.3989191"/>
    <n v="0"/>
    <n v="827234821"/>
    <n v="794416309"/>
    <n v="1621651130"/>
    <n v="1911090458"/>
    <n v="1043894170"/>
    <n v="4576635758"/>
    <n v="2911673676.3989191"/>
    <n v="12649669118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TERMINADAS"/>
    <m/>
    <m/>
    <m/>
    <m/>
    <m/>
    <m/>
    <m/>
    <m/>
    <m/>
    <m/>
    <m/>
    <m/>
    <m/>
  </r>
  <r>
    <n v="24"/>
    <s v="P"/>
    <x v="11"/>
    <x v="4"/>
    <s v="PROV. PALENA"/>
    <x v="5"/>
    <s v="EJECUCION"/>
    <n v="30322174"/>
    <s v="30322174-EJECUCION"/>
    <m/>
    <s v="30322174"/>
    <s v="SUBSIDIO A LA OPERACION SISTEMA ISLAS DESERTORES"/>
    <n v="580480953"/>
    <n v="515137912"/>
    <n v="65343041"/>
    <n v="83944"/>
    <n v="12909872"/>
    <n v="13290124"/>
    <n v="26283940"/>
    <n v="12356634"/>
    <n v="26702467"/>
    <n v="65343041"/>
    <n v="0"/>
    <n v="0"/>
    <s v="EN EJECUCION"/>
  </r>
  <r>
    <m/>
    <m/>
    <x v="0"/>
    <x v="0"/>
    <m/>
    <x v="0"/>
    <m/>
    <m/>
    <m/>
    <m/>
    <m/>
    <s v="TOTAL DE INICIATIVAS TERMINADAS"/>
    <n v="580480953"/>
    <n v="515137912"/>
    <n v="65343041"/>
    <n v="83944"/>
    <n v="12909872"/>
    <n v="13290124"/>
    <n v="26283940"/>
    <n v="12356634"/>
    <n v="26702467"/>
    <n v="65343041"/>
    <n v="0"/>
    <n v="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LICITACION/ADJUDICACION"/>
    <m/>
    <m/>
    <m/>
    <m/>
    <m/>
    <m/>
    <m/>
    <m/>
    <m/>
    <m/>
    <m/>
    <m/>
    <m/>
  </r>
  <r>
    <n v="31"/>
    <s v="P"/>
    <x v="4"/>
    <x v="4"/>
    <s v="PROV. PALENA"/>
    <x v="10"/>
    <s v="EJECUCION"/>
    <n v="30447539"/>
    <s v="30447539-EJECUCION"/>
    <m/>
    <s v="30447539"/>
    <s v="DIAGNOSTICO DIVERSOS SECTORES EN ISLAS DESERTORES"/>
    <n v="188129000"/>
    <n v="220000"/>
    <n v="176937131"/>
    <n v="0"/>
    <n v="0"/>
    <n v="0"/>
    <n v="0"/>
    <n v="0"/>
    <n v="0"/>
    <n v="0"/>
    <n v="176937131"/>
    <n v="10971869"/>
    <s v="EN LICITACION"/>
  </r>
  <r>
    <m/>
    <m/>
    <x v="0"/>
    <x v="0"/>
    <m/>
    <x v="0"/>
    <m/>
    <m/>
    <m/>
    <m/>
    <m/>
    <s v="TOTAL DE INICIATIVAS EN LICITACION/ADJUDICACION"/>
    <n v="188129000"/>
    <n v="220000"/>
    <n v="176937131"/>
    <n v="0"/>
    <n v="0"/>
    <n v="0"/>
    <n v="0"/>
    <n v="0"/>
    <n v="0"/>
    <n v="0"/>
    <n v="176937131"/>
    <n v="10971869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CONVENIO Y TRAMITE"/>
    <m/>
    <m/>
    <m/>
    <m/>
    <m/>
    <m/>
    <m/>
    <m/>
    <m/>
    <m/>
    <m/>
    <m/>
    <m/>
  </r>
  <r>
    <n v="29"/>
    <s v="P"/>
    <x v="5"/>
    <x v="4"/>
    <s v="PROV. PALENA"/>
    <x v="2"/>
    <s v="EJECUCION"/>
    <n v="30398377"/>
    <s v="30398377-EJECUCION"/>
    <m/>
    <s v="30398377"/>
    <s v="ADQUISICION EQUIPOS GPS BIENES NACIONALES PALENA (C33)"/>
    <n v="33689000"/>
    <n v="0"/>
    <n v="33689000"/>
    <n v="0"/>
    <n v="0"/>
    <n v="0"/>
    <n v="0"/>
    <n v="0"/>
    <n v="0"/>
    <n v="0"/>
    <n v="33689000"/>
    <n v="0"/>
    <s v="CON CONVENIO"/>
  </r>
  <r>
    <n v="29"/>
    <s v="P"/>
    <x v="1"/>
    <x v="4"/>
    <s v="PROV. PALENA"/>
    <x v="9"/>
    <s v="EJECUCION"/>
    <n v="30458546"/>
    <s v="30458546-EJECUCION"/>
    <s v="30458546-FNDR"/>
    <s v="30458546"/>
    <s v="REPOSICION MOVILES TRASLADOS HOSPITALES PROVINCIA DE PALENA(C33)"/>
    <n v="404955000"/>
    <n v="0"/>
    <n v="404955000"/>
    <n v="0"/>
    <n v="0"/>
    <n v="0"/>
    <n v="0"/>
    <n v="0"/>
    <n v="0"/>
    <n v="0"/>
    <n v="404955000"/>
    <n v="0"/>
    <s v="CON CONVENIO"/>
  </r>
  <r>
    <m/>
    <m/>
    <x v="0"/>
    <x v="0"/>
    <m/>
    <x v="0"/>
    <m/>
    <m/>
    <m/>
    <m/>
    <m/>
    <s v="TOTAL DE INICIATIVAS EN CONVENIO Y TRAMITE"/>
    <n v="438644000"/>
    <n v="0"/>
    <n v="438644000"/>
    <n v="0"/>
    <n v="0"/>
    <n v="0"/>
    <n v="0"/>
    <n v="0"/>
    <n v="0"/>
    <n v="0"/>
    <n v="438644000"/>
    <n v="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SIN MOVIMIENTO"/>
    <m/>
    <m/>
    <m/>
    <m/>
    <m/>
    <m/>
    <m/>
    <m/>
    <m/>
    <m/>
    <m/>
    <m/>
    <m/>
  </r>
  <r>
    <n v="24"/>
    <s v="P"/>
    <x v="11"/>
    <x v="4"/>
    <s v="PROV. PALENA"/>
    <x v="5"/>
    <s v="EJECUCION"/>
    <n v="30483010"/>
    <s v="30483010-EJECUCION"/>
    <m/>
    <s v="30483010"/>
    <s v="SUBSIDIO A LA OPERACION SISTEMA PRIVADO DE GENERACION ISLAS AYACARA"/>
    <n v="242000000"/>
    <n v="0"/>
    <n v="242000000"/>
    <n v="0"/>
    <n v="0"/>
    <n v="0"/>
    <n v="0"/>
    <n v="0"/>
    <n v="0"/>
    <n v="0"/>
    <n v="242000000"/>
    <n v="0"/>
    <s v="REQUERIMIENTO"/>
  </r>
  <r>
    <n v="31"/>
    <s v="N"/>
    <x v="4"/>
    <x v="4"/>
    <s v="PROV. PALENA"/>
    <x v="9"/>
    <s v="EJECUCION"/>
    <n v="30384677"/>
    <s v="30384677-EJECUCION"/>
    <m/>
    <s v="30384677"/>
    <s v="MEJORAMIENTO RUTA 235-CH SECTOR V. S. LUCIA-P. RAMIREZ, PROV. PALENA"/>
    <n v="25266986000"/>
    <n v="0"/>
    <n v="266366363.33333331"/>
    <n v="0"/>
    <n v="0"/>
    <n v="0"/>
    <n v="0"/>
    <n v="0"/>
    <n v="0"/>
    <n v="0"/>
    <n v="266366363.33333331"/>
    <n v="25000619636.666668"/>
    <s v="ARI"/>
  </r>
  <r>
    <n v="31"/>
    <s v="N"/>
    <x v="1"/>
    <x v="4"/>
    <s v="PROV. PALENA"/>
    <x v="2"/>
    <s v="DISEÑO"/>
    <n v="30135200"/>
    <s v="30135200-DISEÑO"/>
    <m/>
    <s v="30135200"/>
    <s v="MEJORAMIENTO Y READECUACION FUNCIONAL HOSPITAL DE PALENA"/>
    <n v="50167000"/>
    <n v="0"/>
    <n v="10000000"/>
    <n v="0"/>
    <n v="0"/>
    <n v="0"/>
    <n v="0"/>
    <n v="0"/>
    <n v="0"/>
    <n v="0"/>
    <n v="10000000"/>
    <n v="40167000"/>
    <s v="ARI"/>
  </r>
  <r>
    <m/>
    <m/>
    <x v="0"/>
    <x v="0"/>
    <m/>
    <x v="0"/>
    <m/>
    <m/>
    <m/>
    <m/>
    <m/>
    <s v="TOTAL DE INICIATIVAS SIN MOVIMIENTO"/>
    <n v="25559153000"/>
    <n v="0"/>
    <n v="518366363.33333331"/>
    <n v="0"/>
    <n v="0"/>
    <n v="0"/>
    <n v="0"/>
    <n v="0"/>
    <n v="0"/>
    <n v="0"/>
    <n v="518366363.33333331"/>
    <n v="25040786636.666668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TOTAL PROVINCIALES"/>
    <n v="68221820237.398911"/>
    <n v="21832792644"/>
    <n v="8687599969.7322521"/>
    <n v="83944"/>
    <n v="840144693"/>
    <n v="807706433"/>
    <n v="1647935070"/>
    <n v="1923447092"/>
    <n v="1070596637"/>
    <n v="4641978799"/>
    <n v="4045621170.7322521"/>
    <n v="37701427623.666672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TOTAL PROVINCIA DE PALENA"/>
    <n v="102540001965.39891"/>
    <n v="29541980043"/>
    <n v="14924852488.732252"/>
    <n v="71837988"/>
    <n v="1598848975"/>
    <n v="1318273222"/>
    <n v="2988960185"/>
    <n v="2713335505"/>
    <n v="1856230946"/>
    <n v="7558526636"/>
    <n v="7366325852.7322521"/>
    <n v="58073169433.666672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REGIONALES"/>
    <m/>
    <m/>
    <m/>
    <m/>
    <m/>
    <m/>
    <m/>
    <m/>
    <m/>
    <m/>
    <m/>
    <m/>
    <m/>
  </r>
  <r>
    <m/>
    <m/>
    <x v="0"/>
    <x v="0"/>
    <m/>
    <x v="0"/>
    <m/>
    <m/>
    <m/>
    <m/>
    <m/>
    <s v="INICIATIVAS EN EJECUCION"/>
    <m/>
    <m/>
    <m/>
    <m/>
    <m/>
    <m/>
    <m/>
    <m/>
    <m/>
    <m/>
    <m/>
    <m/>
    <m/>
  </r>
  <r>
    <n v="33"/>
    <s v="A"/>
    <x v="4"/>
    <x v="5"/>
    <s v="REGIONAL"/>
    <x v="2"/>
    <s v="EJECUCION"/>
    <n v="30429222"/>
    <s v="30429222-EJECUCION"/>
    <m/>
    <s v="30429222"/>
    <s v="TRANSFERENCIA PROGRAMA RENOVACION FLOTA LOCOMOCION COLECTIVA"/>
    <n v="4529449000"/>
    <n v="995670000"/>
    <n v="2000000000"/>
    <n v="0"/>
    <n v="0"/>
    <n v="0"/>
    <n v="0"/>
    <n v="0"/>
    <n v="492980000"/>
    <n v="492980000"/>
    <n v="1507020000"/>
    <n v="1533779000"/>
    <s v="EN EJECUCION"/>
  </r>
  <r>
    <m/>
    <m/>
    <x v="0"/>
    <x v="0"/>
    <m/>
    <x v="0"/>
    <m/>
    <m/>
    <m/>
    <m/>
    <m/>
    <s v="TOTAL DE INICIATIVAS EN EJECUCION"/>
    <n v="4529449000"/>
    <n v="995670000"/>
    <n v="2000000000"/>
    <n v="0"/>
    <n v="0"/>
    <n v="0"/>
    <n v="0"/>
    <n v="0"/>
    <n v="492980000"/>
    <n v="492980000"/>
    <n v="1507020000"/>
    <n v="153377900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LICITACION/ADJUDICACION"/>
    <m/>
    <m/>
    <m/>
    <m/>
    <m/>
    <m/>
    <m/>
    <m/>
    <m/>
    <m/>
    <m/>
    <m/>
    <m/>
  </r>
  <r>
    <n v="31"/>
    <s v="P"/>
    <x v="5"/>
    <x v="5"/>
    <s v="REGIONAL"/>
    <x v="1"/>
    <s v="FACTIBILIDAD"/>
    <n v="30409780"/>
    <s v="30409780-FACTIBILIDAD"/>
    <m/>
    <s v="30409780"/>
    <s v="REPOSICION COMPLEJOR FRONTERIZO CARDENAL SAMORE"/>
    <n v="435192000"/>
    <n v="0"/>
    <n v="335192000"/>
    <n v="0"/>
    <n v="0"/>
    <n v="0"/>
    <n v="0"/>
    <n v="0"/>
    <n v="0"/>
    <n v="0"/>
    <n v="335192000"/>
    <n v="100000000"/>
    <s v="EN ADJUDICACION"/>
  </r>
  <r>
    <m/>
    <m/>
    <x v="0"/>
    <x v="0"/>
    <m/>
    <x v="0"/>
    <m/>
    <m/>
    <m/>
    <m/>
    <m/>
    <s v="TOTAL DE INICIATIVAS EN LICITACION/ADJUDICACION"/>
    <n v="435192000"/>
    <n v="0"/>
    <n v="335192000"/>
    <n v="0"/>
    <n v="0"/>
    <n v="0"/>
    <n v="0"/>
    <n v="0"/>
    <n v="0"/>
    <n v="0"/>
    <n v="335192000"/>
    <n v="10000000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CONVENIO Y TRAMITE"/>
    <m/>
    <m/>
    <m/>
    <m/>
    <m/>
    <m/>
    <m/>
    <m/>
    <m/>
    <m/>
    <m/>
    <m/>
    <m/>
  </r>
  <r>
    <n v="29"/>
    <s v="P"/>
    <x v="2"/>
    <x v="5"/>
    <s v="REGIONAL"/>
    <x v="2"/>
    <s v="EJECUCION"/>
    <n v="30415731"/>
    <s v="30415731-EJECUCION"/>
    <m/>
    <s v="30415731"/>
    <s v="EQUIPAMIENTO PLANTAS  POTABILIZADORAS DE EMERGENCIA(C33)"/>
    <n v="669066000"/>
    <n v="0"/>
    <n v="669066000"/>
    <n v="0"/>
    <n v="0"/>
    <n v="0"/>
    <n v="0"/>
    <n v="0"/>
    <n v="0"/>
    <n v="0"/>
    <n v="669066000"/>
    <n v="0"/>
    <s v="CON CONVENIO"/>
  </r>
  <r>
    <n v="22"/>
    <s v="P"/>
    <x v="5"/>
    <x v="5"/>
    <s v="REGIONAL"/>
    <x v="2"/>
    <s v="EJECUCION"/>
    <n v="30430874"/>
    <s v="30430874-EJECUCION"/>
    <m/>
    <s v="30430874"/>
    <s v="ACTUALIZACION, MODIFICACION Y REESTRUCTURACION DE LA PROPUESTA PROT (C33)"/>
    <n v="403457000"/>
    <n v="0"/>
    <n v="284067000"/>
    <n v="0"/>
    <n v="0"/>
    <n v="0"/>
    <n v="0"/>
    <n v="0"/>
    <n v="0"/>
    <n v="0"/>
    <n v="284067000"/>
    <n v="119390000"/>
    <s v="TRAMITE CONVENIO"/>
  </r>
  <r>
    <n v="29"/>
    <s v="N"/>
    <x v="2"/>
    <x v="5"/>
    <s v="REGIONAL"/>
    <x v="2"/>
    <s v="EJECUCION"/>
    <n v="30137152"/>
    <s v="30137152-EJECUCION"/>
    <m/>
    <s v="30137152"/>
    <s v="EQUIPAMIENTO DE RESCATE Y REPOSICION VEHICULOS PARA GOPE(C33)"/>
    <n v="247557000"/>
    <n v="0"/>
    <n v="0"/>
    <n v="0"/>
    <n v="0"/>
    <n v="0"/>
    <n v="0"/>
    <n v="0"/>
    <n v="0"/>
    <n v="0"/>
    <n v="0"/>
    <n v="247557000"/>
    <s v="TRAMITE CONVENIO"/>
  </r>
  <r>
    <m/>
    <m/>
    <x v="0"/>
    <x v="0"/>
    <m/>
    <x v="0"/>
    <m/>
    <m/>
    <m/>
    <m/>
    <m/>
    <s v="TOTAL DE INICIATIVAS EN CONVENIO Y TRAMITE"/>
    <n v="1320080000"/>
    <n v="0"/>
    <n v="953133000"/>
    <n v="0"/>
    <n v="0"/>
    <n v="0"/>
    <n v="0"/>
    <n v="0"/>
    <n v="0"/>
    <n v="0"/>
    <n v="953133000"/>
    <n v="366947000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SIN MOVIMIENTO"/>
    <m/>
    <m/>
    <m/>
    <m/>
    <m/>
    <m/>
    <m/>
    <m/>
    <m/>
    <m/>
    <m/>
    <m/>
    <m/>
  </r>
  <r>
    <n v="31"/>
    <s v="N"/>
    <x v="5"/>
    <x v="5"/>
    <s v="REGIONAL"/>
    <x v="6"/>
    <s v="EJECUCION"/>
    <n v="30469138"/>
    <s v="30469138-EJECUCION"/>
    <m/>
    <s v="30469138"/>
    <s v="DIAGNOSTICO PARA LA ESTRATEGIA REGIONAL RESIDUOS SOLIDOS"/>
    <n v="99796000"/>
    <n v="0"/>
    <n v="50000000"/>
    <n v="0"/>
    <n v="0"/>
    <n v="0"/>
    <n v="0"/>
    <n v="0"/>
    <n v="0"/>
    <n v="0"/>
    <n v="50000000"/>
    <n v="49796000"/>
    <s v="ARI"/>
  </r>
  <r>
    <n v="31"/>
    <s v="N"/>
    <x v="1"/>
    <x v="5"/>
    <s v="REGIONAL"/>
    <x v="2"/>
    <s v="EJECUCION"/>
    <n v="30488757"/>
    <s v="30488757-EJECUCION"/>
    <m/>
    <s v="30488757"/>
    <s v="HABILITACION BANCO DE LECHE MATERNA DONADA"/>
    <n v="600000000"/>
    <n v="0"/>
    <n v="0"/>
    <n v="0"/>
    <n v="0"/>
    <n v="0"/>
    <n v="0"/>
    <n v="0"/>
    <n v="0"/>
    <n v="0"/>
    <n v="0"/>
    <n v="600000000"/>
    <s v="SOLICITUD SSR"/>
  </r>
  <r>
    <n v="29"/>
    <s v="N"/>
    <x v="1"/>
    <x v="5"/>
    <s v="REGIONAL"/>
    <x v="2"/>
    <s v="EJECUCION"/>
    <n v="40001507"/>
    <s v="40001507-EJECUCION"/>
    <m/>
    <s v="40001507"/>
    <s v="HABILITACION DE BOX Y CAMARA HIPERBARICA(C33)"/>
    <n v="690000000"/>
    <n v="0"/>
    <n v="0"/>
    <n v="0"/>
    <n v="0"/>
    <n v="0"/>
    <n v="0"/>
    <n v="0"/>
    <n v="0"/>
    <n v="0"/>
    <n v="0"/>
    <n v="690000000"/>
    <s v="SOLICITUD SSR"/>
  </r>
  <r>
    <n v="29"/>
    <s v="N"/>
    <x v="1"/>
    <x v="5"/>
    <s v="REGIONAL"/>
    <x v="2"/>
    <s v="EJECUCION"/>
    <n v="30488894"/>
    <s v="30488894-EJECUCION"/>
    <m/>
    <s v="30488894"/>
    <s v="ADQUISICION EQUIPOS Y EQUIPAMIENTO PARA HABILITACION PABELLON CMA (C33)"/>
    <n v="1055427000"/>
    <n v="0"/>
    <n v="400000000"/>
    <n v="0"/>
    <n v="0"/>
    <n v="0"/>
    <n v="0"/>
    <n v="0"/>
    <n v="0"/>
    <n v="0"/>
    <n v="400000000"/>
    <n v="655427000"/>
    <s v="SOLICITUD SSR"/>
  </r>
  <r>
    <n v="31"/>
    <s v="P"/>
    <x v="5"/>
    <x v="5"/>
    <s v="REGIONAL"/>
    <x v="2"/>
    <s v="EJECUCION"/>
    <n v="30460140"/>
    <s v="30460140-EJECUCION"/>
    <m/>
    <s v="30460140"/>
    <s v="CONSERVACION FACHADAS Y CIRCULACIONES CENTRO ADMINISTRATIVO REGIONAL (C33)"/>
    <n v="3120702676"/>
    <n v="0"/>
    <n v="200000000"/>
    <n v="0"/>
    <n v="0"/>
    <n v="0"/>
    <n v="0"/>
    <n v="0"/>
    <n v="4750000"/>
    <n v="4750000"/>
    <n v="195250000"/>
    <n v="2920702676"/>
    <s v="EN EJECUCION CONS."/>
  </r>
  <r>
    <n v="33"/>
    <s v="N"/>
    <x v="2"/>
    <x v="5"/>
    <s v="REGIONAL"/>
    <x v="2"/>
    <s v="EJECUCION"/>
    <n v="40005575"/>
    <s v="40005575-EJECUCION"/>
    <m/>
    <s v="40005575"/>
    <s v="TRANSFERENCIA PARA ADQUISICIÓN MATERIAL MAYOR Y MENOR BOMBEROS REGION DE LOS LAG"/>
    <n v="2500000000"/>
    <n v="0"/>
    <n v="2500000000"/>
    <n v="0"/>
    <n v="0"/>
    <n v="0"/>
    <n v="0"/>
    <n v="0"/>
    <n v="0"/>
    <n v="0"/>
    <n v="2500000000"/>
    <n v="0"/>
    <s v="TRAMITE CONVENIO"/>
  </r>
  <r>
    <n v="31"/>
    <s v="N"/>
    <x v="2"/>
    <x v="5"/>
    <s v="REGIONAL"/>
    <x v="2"/>
    <s v="DISEÑO"/>
    <n v="30433022"/>
    <s v="30433022-DISEÑO"/>
    <m/>
    <s v="30433022"/>
    <s v="CONSTRUCCION EDIFICIO INSTITUCIONAL ONEMI LOS LAGOS"/>
    <n v="200000000"/>
    <n v="0"/>
    <n v="0"/>
    <n v="0"/>
    <n v="0"/>
    <n v="0"/>
    <n v="0"/>
    <n v="0"/>
    <n v="0"/>
    <n v="0"/>
    <n v="0"/>
    <n v="200000000"/>
    <s v="SOLICITUD ONEMI"/>
  </r>
  <r>
    <m/>
    <m/>
    <x v="0"/>
    <x v="0"/>
    <m/>
    <x v="0"/>
    <m/>
    <m/>
    <m/>
    <m/>
    <m/>
    <s v="TOTAL DE INICIATIVAS SIN MOVIMIENTO"/>
    <n v="8265925676"/>
    <n v="0"/>
    <n v="3150000000"/>
    <n v="0"/>
    <n v="0"/>
    <n v="0"/>
    <n v="0"/>
    <n v="0"/>
    <n v="4750000"/>
    <n v="4750000"/>
    <n v="3145250000"/>
    <n v="5115925676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TOTAL REGIONAL"/>
    <n v="14550646676"/>
    <n v="995670000"/>
    <n v="6438325000"/>
    <n v="0"/>
    <n v="0"/>
    <n v="0"/>
    <n v="0"/>
    <n v="0"/>
    <n v="497730000"/>
    <n v="497730000"/>
    <n v="5940595000"/>
    <n v="7116651676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FOMENTO"/>
    <m/>
    <m/>
    <m/>
    <m/>
    <m/>
    <m/>
    <m/>
    <m/>
    <m/>
    <m/>
    <m/>
    <m/>
    <m/>
  </r>
  <r>
    <m/>
    <m/>
    <x v="0"/>
    <x v="0"/>
    <m/>
    <x v="0"/>
    <m/>
    <m/>
    <m/>
    <m/>
    <m/>
    <s v="INICIATIVAS EN EJECUCION"/>
    <m/>
    <m/>
    <m/>
    <m/>
    <m/>
    <m/>
    <m/>
    <m/>
    <m/>
    <m/>
    <m/>
    <m/>
    <m/>
  </r>
  <r>
    <n v="33"/>
    <s v="A"/>
    <x v="13"/>
    <x v="6"/>
    <s v="FOMENTO"/>
    <x v="9"/>
    <s v="EJECUCION"/>
    <n v="30342022"/>
    <s v="30342022-EJECUCION"/>
    <m/>
    <s v="30342022"/>
    <s v="TRANSFERENCIA PDT PECUARIO BOVINO Y AGROINDUSTRIAL TPV"/>
    <n v="198536511"/>
    <n v="193245960"/>
    <n v="5290551"/>
    <n v="0"/>
    <n v="0"/>
    <n v="78930"/>
    <n v="78930"/>
    <n v="536512"/>
    <n v="0"/>
    <n v="615442"/>
    <n v="4675109"/>
    <n v="0"/>
    <s v="EN EJECUCION"/>
  </r>
  <r>
    <n v="33"/>
    <s v="A"/>
    <x v="7"/>
    <x v="6"/>
    <s v="FOMENTO"/>
    <x v="2"/>
    <s v="EJECUCION"/>
    <n v="30364279"/>
    <s v="30364279-EJECUCION"/>
    <m/>
    <s v="30364279"/>
    <s v="TRANSFERENCIA PROGRAMA  FOMENTO PRODUCTIVO ASOCIATIVO 2 REGION DE LOS LAGOS"/>
    <n v="1007332301"/>
    <n v="994077298"/>
    <n v="0"/>
    <n v="0"/>
    <n v="0"/>
    <n v="0"/>
    <n v="0"/>
    <n v="0"/>
    <n v="0"/>
    <n v="0"/>
    <n v="0"/>
    <n v="13255003"/>
    <s v="EN EJECUCION"/>
  </r>
  <r>
    <n v="33"/>
    <s v="A"/>
    <x v="13"/>
    <x v="6"/>
    <s v="FOMENTO"/>
    <x v="9"/>
    <s v="EJECUCION"/>
    <n v="30326872"/>
    <s v="30326872-EJECUCION"/>
    <m/>
    <s v="30326872"/>
    <s v="TRANSFERENCIA Y ADOPCION DESARROLLO CAPITAL HUMANO PARA LA AGRICULTURA FAMILIAR CAMPESINA"/>
    <n v="60000000"/>
    <n v="59123879"/>
    <n v="0"/>
    <n v="0"/>
    <n v="0"/>
    <n v="0"/>
    <n v="0"/>
    <n v="0"/>
    <n v="0"/>
    <n v="0"/>
    <n v="0"/>
    <n v="876121"/>
    <s v="EN EJECUCION"/>
  </r>
  <r>
    <n v="33"/>
    <s v="A"/>
    <x v="12"/>
    <x v="6"/>
    <s v="FOMENTO"/>
    <x v="9"/>
    <s v="EJECUCION"/>
    <n v="30341732"/>
    <s v="30341732-EJECUCION"/>
    <m/>
    <s v="30341732"/>
    <s v="TRANSFERENCIA FORTALECER PESCA ARTESANAL CHAITEN, HUALAIHUE Y COCHAMO"/>
    <n v="382821104"/>
    <n v="287548000"/>
    <n v="90452000"/>
    <n v="45024120"/>
    <n v="0"/>
    <n v="45248984"/>
    <n v="90273104"/>
    <n v="0"/>
    <n v="0"/>
    <n v="90273104"/>
    <n v="178896"/>
    <n v="4821104"/>
    <s v="EN EJECUCION"/>
  </r>
  <r>
    <n v="33"/>
    <s v="A"/>
    <x v="7"/>
    <x v="6"/>
    <s v="FOMENTO"/>
    <x v="9"/>
    <s v="EJECUCION"/>
    <n v="30342073"/>
    <s v="30342073-EJECUCION"/>
    <m/>
    <s v="30342073"/>
    <s v="TRANSFERENCIA DESARROLLO SUSTENTABLE DESTINO TURISTICO PATAGONIA VERDE"/>
    <n v="960000000"/>
    <n v="482500000"/>
    <n v="287226896"/>
    <n v="0"/>
    <n v="0"/>
    <n v="31494"/>
    <n v="31494"/>
    <n v="3147855"/>
    <n v="1400000"/>
    <n v="4579349"/>
    <n v="282647547"/>
    <n v="190273104"/>
    <s v="EN EJECUCION"/>
  </r>
  <r>
    <n v="33"/>
    <s v="A"/>
    <x v="7"/>
    <x v="6"/>
    <s v="FOMENTO"/>
    <x v="9"/>
    <s v="EJECUCION"/>
    <n v="30345125"/>
    <s v="30345125-EJECUCION"/>
    <m/>
    <s v="30345125"/>
    <s v="TRANSFERENCIA FORTALECIMIENTO MICRO Y PEQUEÑA EMPRESA"/>
    <n v="1060000000"/>
    <n v="790964379"/>
    <n v="251286941"/>
    <n v="0"/>
    <n v="0"/>
    <n v="0"/>
    <n v="0"/>
    <n v="762833"/>
    <n v="0"/>
    <n v="762833"/>
    <n v="250524108"/>
    <n v="17748680"/>
    <s v="EN EJECUCION"/>
  </r>
  <r>
    <n v="33"/>
    <s v="A"/>
    <x v="7"/>
    <x v="6"/>
    <s v="FOMENTO"/>
    <x v="9"/>
    <s v="EJECUCION"/>
    <n v="30342023"/>
    <s v="30342023-EJECUCION"/>
    <m/>
    <s v="30342023"/>
    <s v="CAPACITACION CENTRO EMPRENDIMIENTO PATAGONIA VERDE "/>
    <n v="602433000"/>
    <n v="184553121"/>
    <n v="182650500"/>
    <n v="0"/>
    <n v="0"/>
    <n v="0"/>
    <n v="0"/>
    <n v="0"/>
    <n v="0"/>
    <n v="0"/>
    <n v="182650500"/>
    <n v="235229379"/>
    <s v="EN EJECUCION"/>
  </r>
  <r>
    <n v="33"/>
    <s v="A"/>
    <x v="13"/>
    <x v="6"/>
    <s v="FOMENTO"/>
    <x v="9"/>
    <s v="EJECUCION"/>
    <n v="30329922"/>
    <s v="30329922-EJECUCION"/>
    <m/>
    <s v="30329922"/>
    <s v="TRANSFERENCIA TECNOLOGICA PARA EL DESARROLLO Y POTENCIAMIENTO DE LA AFC"/>
    <n v="530000000"/>
    <n v="72327909"/>
    <n v="200000000"/>
    <n v="0"/>
    <n v="0"/>
    <n v="0"/>
    <n v="0"/>
    <n v="0"/>
    <n v="0"/>
    <n v="0"/>
    <n v="200000000"/>
    <n v="257672091"/>
    <s v="EN EJECUCION"/>
  </r>
  <r>
    <n v="33"/>
    <s v="A"/>
    <x v="13"/>
    <x v="6"/>
    <s v="FOMENTO"/>
    <x v="9"/>
    <s v="EJECUCION"/>
    <n v="30341173"/>
    <s v="30341173-EJECUCION"/>
    <m/>
    <s v="30341173"/>
    <s v="TRANSFERENCIA PROGRAMA VALORACION SELLO ORIGEN DE PRODUCTOS SILVOAGROPECUARIOS"/>
    <n v="450000000"/>
    <n v="49745252"/>
    <n v="250000000"/>
    <n v="0"/>
    <n v="0"/>
    <n v="0"/>
    <n v="0"/>
    <n v="0"/>
    <n v="0"/>
    <n v="0"/>
    <n v="250000000"/>
    <n v="150254748"/>
    <s v="EN EJECUCION"/>
  </r>
  <r>
    <n v="33"/>
    <s v="A"/>
    <x v="13"/>
    <x v="6"/>
    <s v="FOMENTO"/>
    <x v="9"/>
    <s v="EJECUCION"/>
    <n v="30341175"/>
    <s v="30341175-EJECUCION"/>
    <m/>
    <s v="30341175"/>
    <s v="PROGRAMA MEJORAMIENTO GENETICO OVINO/BOVINO TPV"/>
    <n v="600000000"/>
    <n v="80000000"/>
    <n v="300000000"/>
    <n v="0"/>
    <n v="0"/>
    <n v="0"/>
    <n v="0"/>
    <n v="0"/>
    <n v="0"/>
    <n v="0"/>
    <n v="300000000"/>
    <n v="220000000"/>
    <s v="EN EJECUCION"/>
  </r>
  <r>
    <n v="33"/>
    <s v="A"/>
    <x v="13"/>
    <x v="6"/>
    <s v="FOMENTO"/>
    <x v="9"/>
    <s v="EJECUCION"/>
    <n v="30341424"/>
    <s v="30341424-EJECUCION"/>
    <m/>
    <s v="30341424"/>
    <s v="TRANSFERENCIA MONITOREO SITUACION SANITARIA EN BOVINOS Y OVINOS DEL TPV"/>
    <n v="169500000"/>
    <n v="24997878"/>
    <n v="80000000"/>
    <n v="0"/>
    <n v="0"/>
    <n v="0"/>
    <n v="0"/>
    <n v="0"/>
    <n v="0"/>
    <n v="0"/>
    <n v="80000000"/>
    <n v="64502122"/>
    <s v="EN EJECUCION"/>
  </r>
  <r>
    <n v="33"/>
    <s v="A"/>
    <x v="13"/>
    <x v="6"/>
    <s v="FOMENTO"/>
    <x v="9"/>
    <s v="EJECUCION"/>
    <n v="30341439"/>
    <s v="30341439-EJECUCION"/>
    <m/>
    <s v="30341439"/>
    <s v="TRANSFERENCIA PROGRAMA RECUPERACION SUELO DEGRADADOS EN TPV"/>
    <n v="210000000"/>
    <n v="0"/>
    <n v="150000000"/>
    <n v="0"/>
    <n v="0"/>
    <n v="0"/>
    <n v="0"/>
    <n v="0"/>
    <n v="0"/>
    <n v="0"/>
    <n v="150000000"/>
    <n v="60000000"/>
    <s v="EN EJECUCION"/>
  </r>
  <r>
    <n v="33"/>
    <s v="A"/>
    <x v="7"/>
    <x v="6"/>
    <s v="FOMENTO"/>
    <x v="9"/>
    <s v="EJECUCION"/>
    <n v="30337226"/>
    <s v="30337226-EJECUCION"/>
    <m/>
    <s v="30337226"/>
    <s v="TRANSFERENCIA DESARROLLO DEL T.I.E. EN TERRITORIO PATAGONIA VERDE "/>
    <n v="1275000000"/>
    <n v="696647777"/>
    <n v="255000000"/>
    <n v="0"/>
    <n v="0"/>
    <n v="27497121"/>
    <n v="27497121"/>
    <n v="11085475"/>
    <n v="11044145"/>
    <n v="49626741"/>
    <n v="205373259"/>
    <n v="323352223"/>
    <s v="EN EJECUCION"/>
  </r>
  <r>
    <n v="33"/>
    <s v="A"/>
    <x v="12"/>
    <x v="6"/>
    <s v="FOMENTO"/>
    <x v="9"/>
    <s v="EJECUCION"/>
    <n v="30398531"/>
    <s v="30398531-EJECUCION"/>
    <m/>
    <s v="30398531"/>
    <s v="TRANSFERENCIA CAPITAL SEMILLA PARA POTENCIAR LOS SEIS EJES PRODUCTIVOS A DE LA PROVINCIA DE PALENA"/>
    <n v="658032000"/>
    <n v="178556502"/>
    <n v="205000000"/>
    <n v="0"/>
    <n v="0"/>
    <n v="0"/>
    <n v="0"/>
    <n v="0"/>
    <n v="9031108"/>
    <n v="9031108"/>
    <n v="195968892"/>
    <n v="274475498"/>
    <s v="EN EJECUCION"/>
  </r>
  <r>
    <n v="33"/>
    <s v="A"/>
    <x v="13"/>
    <x v="6"/>
    <s v="FOMENTO"/>
    <x v="9"/>
    <s v="EJECUCION"/>
    <n v="30341275"/>
    <s v="30341275-EJECUCION"/>
    <m/>
    <s v="30341275"/>
    <s v="TRANSFERENCIA PROGRAMA REGULARIZACION DERECHO APROVECHAMIENTOS DE AGUA"/>
    <n v="203000000"/>
    <n v="86207000"/>
    <n v="90000000"/>
    <n v="0"/>
    <n v="0"/>
    <n v="0"/>
    <n v="0"/>
    <n v="0"/>
    <n v="0"/>
    <n v="0"/>
    <n v="90000000"/>
    <n v="26793000"/>
    <s v="EN EJECUCION"/>
  </r>
  <r>
    <n v="33"/>
    <s v="A"/>
    <x v="7"/>
    <x v="6"/>
    <s v="FOMENTO"/>
    <x v="9"/>
    <s v="EJECUCION"/>
    <n v="30341323"/>
    <s v="30341323-EJECUCION"/>
    <m/>
    <s v="30341323"/>
    <s v="TRANSFERENCIA FORTALECIMIENTO Y COMPETITIVIDAD DE LA ARTESANIA "/>
    <n v="190000000"/>
    <n v="118572000"/>
    <n v="70117000"/>
    <n v="0"/>
    <n v="0"/>
    <n v="0"/>
    <n v="0"/>
    <n v="0"/>
    <n v="0"/>
    <n v="0"/>
    <n v="70117000"/>
    <n v="1311000"/>
    <s v="EN EJECUCION"/>
  </r>
  <r>
    <n v="33"/>
    <s v="A"/>
    <x v="7"/>
    <x v="6"/>
    <s v="FOMENTO"/>
    <x v="9"/>
    <s v="EJECUCION"/>
    <n v="30341325"/>
    <s v="30341325-EJECUCION"/>
    <m/>
    <s v="30341325"/>
    <s v="TRANSFERENCIA Y ASESORIA  TECNICA EN TURISMO RURAL II ETAPA"/>
    <n v="355000000"/>
    <n v="90171000"/>
    <n v="200000000"/>
    <n v="0"/>
    <n v="0"/>
    <n v="0"/>
    <n v="0"/>
    <n v="458828"/>
    <n v="0"/>
    <n v="458828"/>
    <n v="199541172"/>
    <n v="64829000"/>
    <s v="EN EJECUCION"/>
  </r>
  <r>
    <n v="33"/>
    <s v="A"/>
    <x v="13"/>
    <x v="6"/>
    <s v="FOMENTO"/>
    <x v="9"/>
    <s v="EJECUCION"/>
    <n v="30341329"/>
    <s v="30341329-EJECUCION"/>
    <m/>
    <s v="30341329"/>
    <s v="TRANSFERENCIA ASESORIA ESPECIALIZADA CONSOLIDACION TENENCIA TIERRA EN AFC"/>
    <n v="309000000"/>
    <n v="136309404"/>
    <n v="137000000"/>
    <n v="0"/>
    <n v="0"/>
    <n v="0"/>
    <n v="0"/>
    <n v="0"/>
    <n v="0"/>
    <n v="0"/>
    <n v="137000000"/>
    <n v="35690596"/>
    <s v="EN EJECUCION"/>
  </r>
  <r>
    <n v="33"/>
    <s v="A"/>
    <x v="5"/>
    <x v="6"/>
    <s v="FOMENTO"/>
    <x v="9"/>
    <s v="EJECUCION"/>
    <n v="30426980"/>
    <s v="30426980-EJECUCION"/>
    <m/>
    <s v="30426980"/>
    <s v="SANEAMIENTO DE LA TENENCIA IRREGULAR DE LA PROPIEDAD PATAGONIA VERDE"/>
    <n v="500000000"/>
    <n v="0"/>
    <n v="330000000"/>
    <n v="0"/>
    <n v="0"/>
    <n v="4119000"/>
    <n v="4119000"/>
    <n v="0"/>
    <n v="4692000"/>
    <n v="8811000"/>
    <n v="321189000"/>
    <n v="170000000"/>
    <s v="EN EJECUCION"/>
  </r>
  <r>
    <n v="33"/>
    <s v="A"/>
    <x v="7"/>
    <x v="6"/>
    <s v="FOMENTO"/>
    <x v="2"/>
    <s v="EJECUCION"/>
    <n v="30363825"/>
    <s v="30363825-EJECUCION"/>
    <m/>
    <s v="30363825"/>
    <s v="TRANSFERENCIA APOYO A LA COMPETITIVIDAD PRODUCTORES MAPUCHES"/>
    <n v="1000000000"/>
    <n v="334999998"/>
    <n v="365000000"/>
    <n v="0"/>
    <n v="0"/>
    <n v="8204800"/>
    <n v="8204800"/>
    <n v="26979238"/>
    <n v="59431082"/>
    <n v="94615120"/>
    <n v="270384880"/>
    <n v="300000002"/>
    <s v="EN EJECUCION"/>
  </r>
  <r>
    <n v="33"/>
    <s v="A"/>
    <x v="13"/>
    <x v="6"/>
    <s v="FOMENTO"/>
    <x v="10"/>
    <s v="EJECUCION"/>
    <n v="30136317"/>
    <s v="30136317-EJECUCION"/>
    <m/>
    <s v="30136317"/>
    <s v="CAPACITACION ASESORIA TECNICA EN TURISMO RURAL PARA PEQUEÑOS AGRICULTORES"/>
    <n v="191000000"/>
    <n v="78350572"/>
    <n v="48325000"/>
    <n v="0"/>
    <n v="0"/>
    <n v="0"/>
    <n v="0"/>
    <n v="0"/>
    <n v="0"/>
    <n v="0"/>
    <n v="48325000"/>
    <n v="64324428"/>
    <s v="EN EJECUCION"/>
  </r>
  <r>
    <n v="33"/>
    <s v="A"/>
    <x v="13"/>
    <x v="6"/>
    <s v="FOMENTO"/>
    <x v="2"/>
    <s v="EJECUCION"/>
    <n v="30137060"/>
    <s v="30137060-EJECUCION"/>
    <m/>
    <s v="30137060"/>
    <s v="TRANSFERENCIA PROGRAMAS DE INVERSIONES PRODUCTIVAS EN FAMILIAS USUARIAS DE PROGRAMAS DE ASESORIA INDAP"/>
    <n v="2332740000"/>
    <n v="1317041682"/>
    <n v="589519682"/>
    <n v="0"/>
    <n v="0"/>
    <n v="46143318"/>
    <n v="46143318"/>
    <n v="0"/>
    <n v="0"/>
    <n v="46143318"/>
    <n v="543376364"/>
    <n v="426178636"/>
    <s v="EN EJECUCION"/>
  </r>
  <r>
    <n v="33"/>
    <s v="A"/>
    <x v="13"/>
    <x v="6"/>
    <s v="FOMENTO"/>
    <x v="9"/>
    <s v="EJECUCION"/>
    <n v="30341233"/>
    <s v="30341233-EJECUCION"/>
    <m/>
    <s v="30341233"/>
    <s v="TRANSFERENCIA OBRAS MENORES DE RIEGO Y SUMINISTRO DE AGUA AFC"/>
    <n v="769600000"/>
    <n v="409000000"/>
    <n v="316464000"/>
    <n v="0"/>
    <n v="0"/>
    <n v="17550000"/>
    <n v="17550000"/>
    <n v="0"/>
    <n v="0"/>
    <n v="17550000"/>
    <n v="298914000"/>
    <n v="44136000"/>
    <s v="EN EJECUCION"/>
  </r>
  <r>
    <n v="33"/>
    <s v="A"/>
    <x v="5"/>
    <x v="6"/>
    <s v="FOMENTO"/>
    <x v="10"/>
    <s v="EJECUCION"/>
    <n v="30378428"/>
    <s v="30378428-EJECUCION"/>
    <m/>
    <s v="30378428"/>
    <s v="SANEAMIENTO ASESORIA LEGAL Y TECNICA  CONSOLIDACION DE LA TENENCIA IMPERFECTA  DE TIERRAS"/>
    <n v="539266000"/>
    <n v="152013727"/>
    <n v="387252273"/>
    <n v="0"/>
    <n v="0"/>
    <n v="0"/>
    <n v="0"/>
    <n v="0"/>
    <n v="0"/>
    <n v="0"/>
    <n v="387252273"/>
    <n v="0"/>
    <s v="EN EJECUCION"/>
  </r>
  <r>
    <n v="33"/>
    <s v="A"/>
    <x v="13"/>
    <x v="6"/>
    <s v="FOMENTO"/>
    <x v="2"/>
    <s v="EJECUCION"/>
    <n v="30433775"/>
    <s v="30433775-EJECUCION"/>
    <m/>
    <s v="30433775"/>
    <s v="MEJORAMIENTO DE SUELOS  EN TERRITORIOS INDIGENAS"/>
    <n v="500000000"/>
    <n v="7766711"/>
    <n v="300000000"/>
    <n v="0"/>
    <n v="0"/>
    <n v="0"/>
    <n v="0"/>
    <n v="0"/>
    <n v="0"/>
    <n v="0"/>
    <n v="300000000"/>
    <n v="192233289"/>
    <s v="EN EJECUCION"/>
  </r>
  <r>
    <n v="33"/>
    <s v="A"/>
    <x v="13"/>
    <x v="6"/>
    <s v="FOMENTO"/>
    <x v="2"/>
    <s v="EJECUCION"/>
    <n v="30482019"/>
    <s v="30482019-EJECUCION"/>
    <m/>
    <s v="30482019"/>
    <s v="ERRADICACION VISON DE LA REGION DE LOS LAGOS"/>
    <n v="400000000"/>
    <n v="0"/>
    <n v="300000000"/>
    <n v="0"/>
    <n v="0"/>
    <n v="0"/>
    <n v="0"/>
    <n v="0"/>
    <n v="7145796"/>
    <n v="7145796"/>
    <n v="292854204"/>
    <n v="100000000"/>
    <s v="EN EJECUCION"/>
  </r>
  <r>
    <n v="33"/>
    <s v="A"/>
    <x v="13"/>
    <x v="6"/>
    <s v="FOMENTO"/>
    <x v="2"/>
    <s v="EJECUCION"/>
    <n v="30482027"/>
    <s v="30482027-EJECUCION"/>
    <m/>
    <s v="30482027"/>
    <s v="ERRADICACION DE LA BRUCELOSIS BOVINA"/>
    <n v="500000000"/>
    <n v="20999364"/>
    <n v="300000000"/>
    <n v="0"/>
    <n v="0"/>
    <n v="0"/>
    <n v="0"/>
    <n v="0"/>
    <n v="0"/>
    <n v="0"/>
    <n v="300000000"/>
    <n v="179000636"/>
    <s v="EN EJECUCION"/>
  </r>
  <r>
    <n v="33"/>
    <s v="A"/>
    <x v="5"/>
    <x v="6"/>
    <s v="FOMENTO"/>
    <x v="10"/>
    <s v="EJECUCION"/>
    <n v="30405874"/>
    <s v="30405874-EJECUCION"/>
    <m/>
    <s v="30405874"/>
    <s v="CAPACITACION NUCLEOS GESTORES TERRITORIOS PIRDT"/>
    <n v="413277000"/>
    <n v="253421837"/>
    <n v="150250575"/>
    <n v="0"/>
    <n v="0"/>
    <n v="0"/>
    <n v="0"/>
    <n v="29258000"/>
    <n v="26276800"/>
    <n v="55534800"/>
    <n v="94715775"/>
    <n v="9604588"/>
    <s v="EN EJECUCION"/>
  </r>
  <r>
    <n v="33"/>
    <s v="A"/>
    <x v="12"/>
    <x v="6"/>
    <s v="FOMENTO"/>
    <x v="2"/>
    <s v="EJECUCION"/>
    <n v="30135459"/>
    <s v="30135459-EJECUCION"/>
    <m/>
    <s v="30135459"/>
    <s v="TRANSFERENCIA INVERSION EN LA MIPE DEL MEJILLON CHILENO"/>
    <n v="917732000"/>
    <n v="772970293"/>
    <n v="22087198"/>
    <n v="0"/>
    <n v="0"/>
    <n v="0"/>
    <n v="0"/>
    <n v="0"/>
    <n v="0"/>
    <n v="0"/>
    <n v="22087198"/>
    <n v="122674509"/>
    <s v="EN EJECUCION"/>
  </r>
  <r>
    <n v="33"/>
    <s v="A"/>
    <x v="12"/>
    <x v="6"/>
    <s v="FOMENTO"/>
    <x v="2"/>
    <s v="EJECUCION"/>
    <n v="30349427"/>
    <s v="30349427-EJECUCION"/>
    <m/>
    <s v="30349427"/>
    <s v="TRANSFERENCIA MEJORAMIENTO DE LA PRODUCTIVIDAD EN AREAS DE MANEJO II"/>
    <n v="540800000"/>
    <n v="211243811"/>
    <n v="245544000"/>
    <n v="0"/>
    <n v="0"/>
    <n v="0"/>
    <n v="0"/>
    <n v="0"/>
    <n v="0"/>
    <n v="0"/>
    <n v="245544000"/>
    <n v="84012189"/>
    <s v="EN EJECUCION"/>
  </r>
  <r>
    <n v="33"/>
    <s v="A"/>
    <x v="7"/>
    <x v="6"/>
    <s v="FOMENTO"/>
    <x v="2"/>
    <s v="EJECUCION"/>
    <n v="30440729"/>
    <s v="30440729-EJECUCION"/>
    <m/>
    <s v="30440729"/>
    <s v="PROGRAMA APOYO INTEGRAL A LAS FERIAS LIBRES"/>
    <n v="350961000"/>
    <n v="166490237"/>
    <n v="153510229"/>
    <n v="0"/>
    <n v="0"/>
    <n v="0"/>
    <n v="0"/>
    <n v="0"/>
    <n v="0"/>
    <n v="0"/>
    <n v="153510229"/>
    <n v="30960534"/>
    <s v="EN EJECUCION"/>
  </r>
  <r>
    <n v="33"/>
    <s v="A"/>
    <x v="7"/>
    <x v="6"/>
    <s v="FOMENTO"/>
    <x v="2"/>
    <s v="EJECUCION"/>
    <n v="30464733"/>
    <s v="30464733-EJECUCION"/>
    <m/>
    <s v="30464733"/>
    <s v="TRANSFERENCIA EMERGENCIA PRODUCTIVA FERIANTES Y COCINERIAS DEL MAR"/>
    <n v="552107000"/>
    <n v="491888375"/>
    <n v="11525625"/>
    <n v="0"/>
    <n v="0"/>
    <n v="0"/>
    <n v="0"/>
    <n v="0"/>
    <n v="0"/>
    <n v="0"/>
    <n v="11525625"/>
    <n v="48693000"/>
    <s v="EN EJECUCION"/>
  </r>
  <r>
    <n v="33"/>
    <s v="A"/>
    <x v="13"/>
    <x v="6"/>
    <s v="FOMENTO"/>
    <x v="2"/>
    <s v="EJECUCION"/>
    <n v="30351343"/>
    <s v="30351343-EJECUCION"/>
    <m/>
    <s v="30351343"/>
    <s v="CAPACITACION Y VALORIZACION DE PRODUCTOS AGROPECUARIOS"/>
    <n v="450000000"/>
    <n v="20000000"/>
    <n v="230000000"/>
    <n v="0"/>
    <n v="0"/>
    <n v="0"/>
    <n v="0"/>
    <n v="0"/>
    <n v="0"/>
    <n v="0"/>
    <n v="230000000"/>
    <n v="200000000"/>
    <s v="EN EJECUCION"/>
  </r>
  <r>
    <n v="33"/>
    <s v="A"/>
    <x v="13"/>
    <x v="6"/>
    <s v="FOMENTO"/>
    <x v="9"/>
    <s v="EJECUCION"/>
    <n v="30419826"/>
    <s v="30419826-EJECUCION"/>
    <m/>
    <s v="30419826"/>
    <s v="CAPACITACION PARA EL FOMENTO AGROFORESTAL EN PALENA Y COCHAMO"/>
    <n v="315000000"/>
    <n v="49500000"/>
    <n v="150000000"/>
    <n v="0"/>
    <n v="0"/>
    <n v="0"/>
    <n v="0"/>
    <n v="0"/>
    <n v="0"/>
    <n v="0"/>
    <n v="150000000"/>
    <n v="115500000"/>
    <s v="EN EJECUCION"/>
  </r>
  <r>
    <n v="33"/>
    <s v="A"/>
    <x v="13"/>
    <x v="6"/>
    <s v="FOMENTO"/>
    <x v="2"/>
    <s v="EJECUCION"/>
    <n v="30434988"/>
    <s v="30434988-EJECUCION"/>
    <m/>
    <s v="30434988"/>
    <s v="TRANSFERENCIA PROGRAMA INTEGRAL DE RIEGO REGION DE LOS LAGOS"/>
    <n v="2000000000"/>
    <n v="532448249"/>
    <n v="674016318"/>
    <n v="0"/>
    <n v="0"/>
    <n v="3533472"/>
    <n v="3533472"/>
    <n v="6977085"/>
    <n v="2648314"/>
    <n v="13158871"/>
    <n v="660857447"/>
    <n v="793535433"/>
    <s v="EN EJECUCION"/>
  </r>
  <r>
    <n v="33"/>
    <s v="A"/>
    <x v="13"/>
    <x v="6"/>
    <s v="FOMENTO"/>
    <x v="2"/>
    <s v="EJECUCION"/>
    <n v="30481688"/>
    <s v="30481688-EJECUCION"/>
    <m/>
    <s v="30481688"/>
    <s v="CAPACITACION Y FOMENTO AGROECOLOGIA  Y PRODUCCION AGRICULTURA"/>
    <n v="500000000"/>
    <n v="57601935"/>
    <n v="250000000"/>
    <n v="0"/>
    <n v="0"/>
    <n v="0"/>
    <n v="0"/>
    <n v="0"/>
    <n v="0"/>
    <n v="0"/>
    <n v="250000000"/>
    <n v="192398065"/>
    <s v="EN EJECUCION"/>
  </r>
  <r>
    <n v="33"/>
    <s v="A"/>
    <x v="5"/>
    <x v="6"/>
    <s v="FOMENTO"/>
    <x v="2"/>
    <s v="EJECUCION"/>
    <n v="30136269"/>
    <s v="30136269-EJECUCION"/>
    <m/>
    <s v="30136269"/>
    <s v="PROGRAMA RECAMBIO CALEFACTORES CIUDAD OSORNO"/>
    <n v="1535160000"/>
    <n v="624866319"/>
    <n v="375000000"/>
    <n v="0"/>
    <n v="0"/>
    <n v="0"/>
    <n v="0"/>
    <n v="0"/>
    <n v="0"/>
    <n v="0"/>
    <n v="375000000"/>
    <n v="535293681"/>
    <s v="EN EJECUCION"/>
  </r>
  <r>
    <n v="33"/>
    <s v="A"/>
    <x v="5"/>
    <x v="6"/>
    <s v="FOMENTO"/>
    <x v="2"/>
    <s v="EJECUCION"/>
    <n v="30136293"/>
    <s v="30136293-EJECUCION"/>
    <m/>
    <s v="30136293"/>
    <s v="PROGRAMA IMPLEMENTACION DE BUENAS PRACTICAS AMBIENTALES"/>
    <n v="504919571"/>
    <n v="382704098"/>
    <n v="122215473"/>
    <n v="0"/>
    <n v="0"/>
    <n v="51833735"/>
    <n v="51833735"/>
    <n v="722636"/>
    <n v="69659102"/>
    <n v="122215473"/>
    <n v="0"/>
    <n v="0"/>
    <s v="EN EJECUCION"/>
  </r>
  <r>
    <n v="33"/>
    <s v="A"/>
    <x v="5"/>
    <x v="6"/>
    <s v="FOMENTO"/>
    <x v="2"/>
    <s v="EJECUCION"/>
    <n v="30136320"/>
    <s v="30136320-EJECUCION"/>
    <m/>
    <s v="30136320"/>
    <s v="PROTECCION APLICACION MODELO USO SUST. EN PAISAJE CONSERV. CHILOE"/>
    <n v="688299000"/>
    <n v="32047278"/>
    <n v="460000000"/>
    <n v="0"/>
    <n v="0"/>
    <n v="0"/>
    <n v="0"/>
    <n v="12644"/>
    <n v="0"/>
    <n v="12644"/>
    <n v="459987356"/>
    <n v="196251722"/>
    <s v="EN EJECUCION"/>
  </r>
  <r>
    <n v="33"/>
    <s v="A"/>
    <x v="6"/>
    <x v="6"/>
    <s v="FOMENTO"/>
    <x v="2"/>
    <s v="EJECUCION"/>
    <n v="30106837"/>
    <s v="30106837-EJECUCION"/>
    <m/>
    <s v="30106837"/>
    <s v="TRANSFERENCIA DE HERRAMIENTAS DE VIDA PARA EL APRENDIZAJE"/>
    <n v="1208000000"/>
    <n v="619000000"/>
    <n v="389000000"/>
    <n v="0"/>
    <n v="0"/>
    <n v="0"/>
    <n v="0"/>
    <n v="0"/>
    <n v="0"/>
    <n v="0"/>
    <n v="389000000"/>
    <n v="200000000"/>
    <s v="EN EJECUCION"/>
  </r>
  <r>
    <n v="33"/>
    <s v="A"/>
    <x v="6"/>
    <x v="6"/>
    <s v="FOMENTO"/>
    <x v="2"/>
    <s v="EJECUCION"/>
    <n v="30124775"/>
    <s v="30124775-EJECUCION"/>
    <m/>
    <s v="30124775"/>
    <s v="MEJORAMIENTO EDUCACION POBLACION ADULTA X REGION"/>
    <n v="279511000"/>
    <n v="19365000"/>
    <n v="260146000"/>
    <n v="0"/>
    <n v="0"/>
    <n v="0"/>
    <n v="0"/>
    <n v="0"/>
    <n v="0"/>
    <n v="0"/>
    <n v="260146000"/>
    <n v="0"/>
    <s v="EN EJECUCION"/>
  </r>
  <r>
    <n v="33"/>
    <s v="A"/>
    <x v="6"/>
    <x v="6"/>
    <s v="FOMENTO"/>
    <x v="2"/>
    <s v="EJECUCION"/>
    <n v="30124802"/>
    <s v="30124802-EJECUCION"/>
    <m/>
    <s v="30124802"/>
    <s v="TRANSFERENCIA CAPACITACION MEJORAMIENTO DE LA ACTIVIDAD FISICA"/>
    <n v="389000000"/>
    <n v="17450000"/>
    <n v="250000000"/>
    <n v="0"/>
    <n v="0"/>
    <n v="0"/>
    <n v="0"/>
    <n v="0"/>
    <n v="0"/>
    <n v="0"/>
    <n v="250000000"/>
    <n v="121550000"/>
    <s v="EN EJECUCION"/>
  </r>
  <r>
    <n v="33"/>
    <s v="A"/>
    <x v="6"/>
    <x v="6"/>
    <s v="FOMENTO"/>
    <x v="2"/>
    <s v="EJECUCION"/>
    <n v="30129698"/>
    <s v="30129698-EJECUCION"/>
    <m/>
    <s v="30129698"/>
    <s v="CAPACITACION PERFECCIONAMIENTO ASIGNATURA LENGUA INDIGENA"/>
    <n v="630000000"/>
    <n v="157500000"/>
    <n v="275000000"/>
    <n v="0"/>
    <n v="0"/>
    <n v="0"/>
    <n v="0"/>
    <n v="0"/>
    <n v="0"/>
    <n v="0"/>
    <n v="275000000"/>
    <n v="197500000"/>
    <s v="EN EJECUCION"/>
  </r>
  <r>
    <n v="33"/>
    <s v="A"/>
    <x v="7"/>
    <x v="6"/>
    <s v="FOMENTO"/>
    <x v="2"/>
    <s v="EJECUCION"/>
    <n v="30342025"/>
    <s v="30342025-EJECUCION"/>
    <m/>
    <s v="30342025"/>
    <s v="TRANSFERENCIA GESTION DEL TERRITORIO TURISTICO, REGION DE LOS LAGOS "/>
    <n v="737376000"/>
    <n v="285768614"/>
    <n v="220000000"/>
    <n v="0"/>
    <n v="0"/>
    <n v="11274343"/>
    <n v="11274343"/>
    <n v="4591707"/>
    <n v="10479907"/>
    <n v="26345957"/>
    <n v="193654043"/>
    <n v="231607386"/>
    <s v="EN EJECUCION"/>
  </r>
  <r>
    <n v="33"/>
    <s v="A"/>
    <x v="1"/>
    <x v="6"/>
    <s v="FOMENTO"/>
    <x v="2"/>
    <s v="EJECUCION"/>
    <n v="30135830"/>
    <s v="30135830-EJECUCION"/>
    <m/>
    <s v="30135830"/>
    <s v="TRANSFERENCIA  TECNOLOGICA PREVENCION PRECOZ DE NEOPLASIAS COLORECTALES"/>
    <n v="200089000"/>
    <n v="152279000"/>
    <n v="47810000"/>
    <n v="0"/>
    <n v="0"/>
    <n v="0"/>
    <n v="0"/>
    <n v="13195000"/>
    <n v="0"/>
    <n v="13195000"/>
    <n v="34615000"/>
    <n v="0"/>
    <s v="EN EJECUCION"/>
  </r>
  <r>
    <n v="33"/>
    <s v="A"/>
    <x v="12"/>
    <x v="6"/>
    <s v="FOMENTO"/>
    <x v="2"/>
    <s v="EJECUCION"/>
    <n v="30343724"/>
    <s v="30343724-EJECUCION"/>
    <m/>
    <s v="30343724"/>
    <s v="PROGRAMA FOMENTO Y DESARROLLO PESCA ARTESANAL REGION DE LOS LAGOS 2014-2016"/>
    <n v="2368886000"/>
    <n v="1026634914"/>
    <n v="193091811"/>
    <n v="0"/>
    <n v="0"/>
    <n v="0"/>
    <n v="0"/>
    <n v="112036256"/>
    <n v="54292435"/>
    <n v="166328691"/>
    <n v="26763120"/>
    <n v="1149159275"/>
    <s v="EN EJECUCION"/>
  </r>
  <r>
    <n v="33"/>
    <s v="A"/>
    <x v="12"/>
    <x v="6"/>
    <s v="FOMENTO"/>
    <x v="2"/>
    <s v="EJECUCION"/>
    <n v="30398233"/>
    <s v="30398233-EJECUCION"/>
    <m/>
    <s v="30398233"/>
    <s v="RECUPERACION DE DIVERSIDAD PROD DE LA PESCA ARTESANAL"/>
    <n v="900000000"/>
    <n v="1833333"/>
    <n v="495927966"/>
    <n v="0"/>
    <n v="0"/>
    <n v="0"/>
    <n v="0"/>
    <n v="0"/>
    <n v="194322338"/>
    <n v="194322338"/>
    <n v="301605628"/>
    <n v="402238701"/>
    <s v="EN EJECUCION"/>
  </r>
  <r>
    <m/>
    <m/>
    <x v="0"/>
    <x v="0"/>
    <m/>
    <x v="0"/>
    <m/>
    <m/>
    <m/>
    <m/>
    <m/>
    <s v="TOTAL DE INICIATIVAS EN EJECUCION"/>
    <n v="31434378487"/>
    <n v="12720732706"/>
    <n v="10665710038"/>
    <n v="45024120"/>
    <n v="0"/>
    <n v="215515197"/>
    <n v="260539317"/>
    <n v="209764069"/>
    <n v="450423027"/>
    <n v="920726413"/>
    <n v="9744983625"/>
    <n v="8047935743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EN CONVENIO Y TRAMITE"/>
    <m/>
    <m/>
    <m/>
    <m/>
    <m/>
    <m/>
    <m/>
    <m/>
    <m/>
    <m/>
    <m/>
    <m/>
    <m/>
  </r>
  <r>
    <n v="33"/>
    <s v="P"/>
    <x v="7"/>
    <x v="6"/>
    <s v="FOMENTO"/>
    <x v="2"/>
    <s v="EJECUCION"/>
    <n v="30482658"/>
    <s v="30482658-EJECUCION"/>
    <m/>
    <s v="30482658"/>
    <s v="CAPACITACION Y FORTALECIMIENTO PERSONAS MAYORES"/>
    <n v="230000000"/>
    <n v="0"/>
    <n v="71747095.666666701"/>
    <n v="0"/>
    <n v="0"/>
    <n v="0"/>
    <n v="0"/>
    <n v="0"/>
    <n v="0"/>
    <n v="0"/>
    <n v="71747095.666666701"/>
    <n v="158252904.33333331"/>
    <s v="TRAMITE CONVENIO"/>
  </r>
  <r>
    <m/>
    <m/>
    <x v="0"/>
    <x v="0"/>
    <m/>
    <x v="0"/>
    <m/>
    <m/>
    <m/>
    <m/>
    <m/>
    <s v="TOTAL DE INICIATIVAS EN CONVENIO Y TRAMITE"/>
    <n v="230000000"/>
    <n v="0"/>
    <n v="71747095.666666701"/>
    <n v="0"/>
    <n v="0"/>
    <n v="0"/>
    <n v="0"/>
    <n v="0"/>
    <n v="0"/>
    <n v="0"/>
    <n v="71747095.666666701"/>
    <n v="158252904.33333331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INICIATIVAS SIN MOVIMIENTO"/>
    <m/>
    <m/>
    <m/>
    <m/>
    <m/>
    <m/>
    <m/>
    <m/>
    <m/>
    <m/>
    <m/>
    <m/>
    <m/>
  </r>
  <r>
    <n v="33"/>
    <s v="P"/>
    <x v="7"/>
    <x v="6"/>
    <s v="FOMENTO"/>
    <x v="2"/>
    <s v="EJECUCION"/>
    <n v="30484364"/>
    <s v="30484364-EJECUCION"/>
    <m/>
    <s v="30484364"/>
    <s v="CAPACITACION DESARROLLO Y FORTALECIMIENTO PERSONAS DISCAPACITADAS"/>
    <n v="230000000"/>
    <n v="0"/>
    <n v="76666666.666666672"/>
    <n v="0"/>
    <n v="0"/>
    <n v="0"/>
    <n v="0"/>
    <n v="0"/>
    <n v="0"/>
    <n v="0"/>
    <n v="76666666.666666672"/>
    <n v="153333333.33333331"/>
    <s v="APROBADO CORE"/>
  </r>
  <r>
    <n v="33"/>
    <s v="A"/>
    <x v="7"/>
    <x v="6"/>
    <s v="FOMENTO"/>
    <x v="2"/>
    <s v="EJECUCION"/>
    <n v="30399283"/>
    <s v="30399283-EJECUCION"/>
    <m/>
    <s v="30399283"/>
    <s v="DIFUSION PROG. DE APLICACION DE ESTRATEGIAS DE PROMOCION"/>
    <n v="12000000"/>
    <n v="0"/>
    <n v="0"/>
    <n v="0"/>
    <n v="0"/>
    <n v="0"/>
    <n v="0"/>
    <n v="0"/>
    <n v="0"/>
    <n v="0"/>
    <n v="0"/>
    <n v="12000000"/>
    <s v="APROBADO CORE"/>
  </r>
  <r>
    <n v="33"/>
    <s v="A"/>
    <x v="12"/>
    <x v="6"/>
    <s v="FOMENTO"/>
    <x v="2"/>
    <s v="EJECUCION"/>
    <n v="30398277"/>
    <s v="30398277-EJECUCION"/>
    <m/>
    <s v="30398277"/>
    <s v="RECUPERACION Y DIVERSIFICACION PRODUCCION ACUICOLA EN PEQUEÑA ESCALA"/>
    <n v="394000000"/>
    <n v="0"/>
    <n v="82134865"/>
    <n v="0"/>
    <n v="0"/>
    <n v="0"/>
    <n v="0"/>
    <n v="0"/>
    <n v="0"/>
    <n v="0"/>
    <n v="82134865"/>
    <n v="311865135"/>
    <s v="APROBADO CORE"/>
  </r>
  <r>
    <n v="33"/>
    <s v="N"/>
    <x v="12"/>
    <x v="6"/>
    <s v="FOMENTO"/>
    <x v="2"/>
    <s v="EJECUCION"/>
    <n v="30485060"/>
    <s v="30485060-EJECUCION"/>
    <m/>
    <s v="30485060"/>
    <s v="RECUPERACION DE ACTIVIDADES PRODUCTIVAS DE LA PESCA ARTESANAL"/>
    <n v="500000000"/>
    <n v="0"/>
    <n v="35000000"/>
    <n v="0"/>
    <n v="0"/>
    <n v="0"/>
    <n v="0"/>
    <n v="0"/>
    <n v="0"/>
    <n v="0"/>
    <n v="35000000"/>
    <n v="465000000"/>
    <s v="ARI"/>
  </r>
  <r>
    <n v="33"/>
    <s v="N"/>
    <x v="7"/>
    <x v="6"/>
    <s v="REGIONAL"/>
    <x v="2"/>
    <s v="EJECUCION"/>
    <n v="30485426"/>
    <s v="30485426-EJECUCION"/>
    <m/>
    <s v="30485426"/>
    <s v="CAPACITACION PARA EL DES. Y FORTAL. RUTA DE LOS PARQUES REG. LOS LAGOS"/>
    <n v="2000000000"/>
    <n v="0"/>
    <n v="20000000"/>
    <n v="0"/>
    <n v="0"/>
    <n v="0"/>
    <n v="0"/>
    <n v="0"/>
    <n v="0"/>
    <n v="0"/>
    <n v="20000000"/>
    <n v="1980000000"/>
    <s v="ARI"/>
  </r>
  <r>
    <n v="33"/>
    <s v="N"/>
    <x v="7"/>
    <x v="6"/>
    <s v="PROV. LLANQUIHUE"/>
    <x v="2"/>
    <s v="EJECUCION"/>
    <n v="30479944"/>
    <s v="30479944-EJECUCION"/>
    <m/>
    <s v="30479944"/>
    <s v="CAPACITACION DINAMINACION DEST. TURISTICO PMONTT,CALBUCO,MAULLIN PATRIMONIAL"/>
    <n v="514632000"/>
    <n v="0"/>
    <n v="35613425"/>
    <n v="0"/>
    <n v="0"/>
    <n v="0"/>
    <n v="0"/>
    <n v="0"/>
    <n v="0"/>
    <n v="0"/>
    <n v="35613425"/>
    <n v="479018575"/>
    <s v="ARI"/>
  </r>
  <r>
    <n v="33"/>
    <s v="N"/>
    <x v="7"/>
    <x v="6"/>
    <s v="PROV. CHILOE"/>
    <x v="2"/>
    <s v="EJECUCION"/>
    <n v="30485206"/>
    <s v="30485206-EJECUCION"/>
    <m/>
    <s v="30485206"/>
    <s v="DIFUSION PARA EL FORTALECIMIENTO Y DSLLO DEL SELLO SIPAM CHILOE EN LA AFC"/>
    <n v="450000000"/>
    <n v="0"/>
    <n v="22500000"/>
    <n v="0"/>
    <n v="0"/>
    <n v="0"/>
    <n v="0"/>
    <n v="0"/>
    <n v="0"/>
    <n v="0"/>
    <n v="22500000"/>
    <n v="427500000"/>
    <s v="ARI"/>
  </r>
  <r>
    <n v="33"/>
    <s v="N"/>
    <x v="5"/>
    <x v="6"/>
    <s v="CHAITEN"/>
    <x v="2"/>
    <s v="EJECUCION"/>
    <n v="30461825"/>
    <s v="30461825-EJECUCION"/>
    <m/>
    <s v="30461825"/>
    <s v="CAPACITACION TRABAJO EN FIBRA ANIMAL Y VEGETAL MUJERES DE CHAITEN"/>
    <n v="172834000"/>
    <n v="0"/>
    <n v="30000000"/>
    <n v="0"/>
    <n v="0"/>
    <n v="0"/>
    <n v="0"/>
    <n v="0"/>
    <n v="0"/>
    <n v="0"/>
    <n v="30000000"/>
    <n v="142834000"/>
    <s v="ARI"/>
  </r>
  <r>
    <n v="33"/>
    <s v="N"/>
    <x v="12"/>
    <x v="6"/>
    <s v="FOMENTO"/>
    <x v="2"/>
    <s v="EJECUCION"/>
    <n v="30485056"/>
    <s v="30485056-EJECUCION"/>
    <m/>
    <s v="30485056"/>
    <s v="CAPACITACION TECNICA PARA LA IMPLEMENTACION DEL PLAN DE DESARROLLO DE LA INDUSTRIA MITULICULTURA"/>
    <n v="300000000"/>
    <n v="0"/>
    <n v="30000000"/>
    <n v="0"/>
    <n v="0"/>
    <n v="0"/>
    <n v="0"/>
    <n v="0"/>
    <n v="0"/>
    <n v="0"/>
    <n v="30000000"/>
    <n v="270000000"/>
    <s v="ARI"/>
  </r>
  <r>
    <n v="33"/>
    <s v="N"/>
    <x v="12"/>
    <x v="6"/>
    <s v="FOMENTO"/>
    <x v="2"/>
    <s v="EJECUCION"/>
    <n v="30485055"/>
    <s v="30485055-EJECUCION"/>
    <m/>
    <s v="30485055"/>
    <s v="CAPACITACION PARA FORTALECIEMIENTO TECNOLOGOCO PARA LA IMPLEMETACION DEL PLAN INDUSTRIAL PARA EL CONSUMO HUMANO"/>
    <n v="300000000"/>
    <n v="0"/>
    <n v="30000000"/>
    <n v="0"/>
    <n v="0"/>
    <n v="0"/>
    <n v="0"/>
    <n v="0"/>
    <n v="0"/>
    <n v="0"/>
    <n v="30000000"/>
    <n v="270000000"/>
    <s v="ARI"/>
  </r>
  <r>
    <n v="33"/>
    <s v="N"/>
    <x v="7"/>
    <x v="6"/>
    <s v="FOMENTO"/>
    <x v="2"/>
    <s v="EJECUCION"/>
    <n v="30485183"/>
    <s v="30485183-EJECUCION"/>
    <m/>
    <s v="30485183"/>
    <s v="CAPACITACION FORTALECIMIENTO DE LA AUTONOMIA ECONOMICA DE MUJERES EMPRENDEDORAS DEL SERNAMEG"/>
    <n v="200000000"/>
    <n v="0"/>
    <n v="30000000"/>
    <n v="0"/>
    <n v="0"/>
    <n v="0"/>
    <n v="0"/>
    <n v="0"/>
    <n v="0"/>
    <n v="0"/>
    <n v="30000000"/>
    <n v="170000000"/>
    <s v="ARI"/>
  </r>
  <r>
    <n v="33"/>
    <s v="N"/>
    <x v="13"/>
    <x v="6"/>
    <s v="FOMENTO"/>
    <x v="2"/>
    <s v="EJECUCION"/>
    <n v="30400100"/>
    <s v="30400100-EJECUCION"/>
    <m/>
    <s v="30400100"/>
    <s v="CAPACITACION ORDENAMIENTO PREDIAL Y FOMENTO A LA PRODUCCION LIMPIA"/>
    <n v="950008000"/>
    <n v="0"/>
    <n v="30000000"/>
    <n v="0"/>
    <n v="0"/>
    <n v="0"/>
    <n v="0"/>
    <n v="0"/>
    <n v="0"/>
    <n v="0"/>
    <n v="30000000"/>
    <n v="920008000"/>
    <s v="ARI"/>
  </r>
  <r>
    <n v="33"/>
    <s v="N"/>
    <x v="13"/>
    <x v="6"/>
    <s v="FOMENTO"/>
    <x v="2"/>
    <s v="EJECUCION"/>
    <n v="30485196"/>
    <s v="30485196-EJECUCION"/>
    <m/>
    <s v="30485196"/>
    <s v="CAPACITACION Y MEJORAMIENTO OBRAS PARA USO EFICIENTE REC. HIDRICOS A NIVEL PREDIAL EN COM.IND"/>
    <n v="350000000"/>
    <n v="0"/>
    <n v="32341380"/>
    <n v="0"/>
    <n v="0"/>
    <n v="0"/>
    <n v="0"/>
    <n v="0"/>
    <n v="0"/>
    <n v="0"/>
    <n v="32341380"/>
    <n v="317658620"/>
    <s v="ARI"/>
  </r>
  <r>
    <n v="33"/>
    <s v="N"/>
    <x v="7"/>
    <x v="6"/>
    <s v="PROV. CHILOE"/>
    <x v="2"/>
    <s v="EJECUCION"/>
    <n v="40000631"/>
    <s v="40000631-EJECUCION"/>
    <m/>
    <s v="40000631"/>
    <s v="CAPACITACION Y FORTALECIMIENTO PESCADORES ARTESANALES DE CUCAO"/>
    <n v="200000000"/>
    <n v="0"/>
    <n v="30000000"/>
    <n v="0"/>
    <n v="0"/>
    <n v="0"/>
    <n v="0"/>
    <n v="0"/>
    <n v="0"/>
    <n v="0"/>
    <n v="30000000"/>
    <n v="170000000"/>
    <s v="ARI"/>
  </r>
  <r>
    <n v="33"/>
    <s v="N"/>
    <x v="7"/>
    <x v="6"/>
    <s v="REGIONAL"/>
    <x v="2"/>
    <s v="EJECUCION"/>
    <n v="40001173"/>
    <s v="40001173-EJECUCION"/>
    <m/>
    <s v="40001173"/>
    <s v="CAPACITACION ESCUELA DE OFICIOS TURISMO REGION DE LOS LAGOS"/>
    <n v="120000000"/>
    <n v="0"/>
    <n v="10000000"/>
    <n v="0"/>
    <n v="0"/>
    <n v="0"/>
    <n v="0"/>
    <n v="0"/>
    <n v="0"/>
    <n v="0"/>
    <n v="10000000"/>
    <n v="110000000"/>
    <s v="SOLICITUD DIPLAN"/>
  </r>
  <r>
    <n v="33"/>
    <s v="N"/>
    <x v="12"/>
    <x v="6"/>
    <s v="REGIONAL"/>
    <x v="2"/>
    <s v="EJECUCION"/>
    <s v="S/C"/>
    <s v="S/C-EJECUCION"/>
    <m/>
    <s v="S/C"/>
    <s v="TRANSFERENCIA DE LA TECNOLOGIA DE PRODUCCION DE JUVENILES DEL PULPO ROJO PATAGONICO"/>
    <n v="301766000"/>
    <n v="0"/>
    <n v="10000000"/>
    <n v="0"/>
    <n v="0"/>
    <n v="0"/>
    <n v="0"/>
    <n v="0"/>
    <n v="0"/>
    <n v="0"/>
    <n v="10000000"/>
    <n v="291766000"/>
    <s v="SOLICITUD DIPLAN"/>
  </r>
  <r>
    <n v="33"/>
    <s v="N"/>
    <x v="12"/>
    <x v="6"/>
    <s v="REGIONAL"/>
    <x v="2"/>
    <s v="EJECUCION"/>
    <s v="S/C"/>
    <s v="S/C-EJECUCION"/>
    <m/>
    <s v="S/C"/>
    <s v="POTENCIAMIENTO Y DIVERSIFICACION DE LOS ACUICULTORES DE PEQUEÑA ESCALA Y AMERB"/>
    <n v="408440000"/>
    <n v="0"/>
    <n v="10000000"/>
    <n v="0"/>
    <n v="0"/>
    <n v="0"/>
    <n v="0"/>
    <n v="0"/>
    <n v="0"/>
    <n v="0"/>
    <n v="10000000"/>
    <n v="398440000"/>
    <s v="SOLICITUD DIPLAN"/>
  </r>
  <r>
    <n v="33"/>
    <s v="N"/>
    <x v="12"/>
    <x v="6"/>
    <s v="REGIONAL"/>
    <x v="10"/>
    <s v="EJECUCION"/>
    <n v="40000965"/>
    <s v="40000965-EJECUCION"/>
    <m/>
    <s v="40000965"/>
    <s v="ASISTENCIA TECNICA PESCADORES ARTESANALES SUBTERRITORIO 2 PMDT PATAGONIA VERDE"/>
    <n v="109650000"/>
    <n v="0"/>
    <n v="36229037"/>
    <n v="0"/>
    <n v="0"/>
    <n v="0"/>
    <n v="0"/>
    <n v="0"/>
    <n v="0"/>
    <n v="0"/>
    <n v="36229037"/>
    <n v="73420963"/>
    <s v="SOLICITUD DIPLAN"/>
  </r>
  <r>
    <n v="33"/>
    <s v="N"/>
    <x v="7"/>
    <x v="6"/>
    <s v="REGIONAL"/>
    <x v="2"/>
    <s v="EJECUCION"/>
    <n v="30433774"/>
    <s v="30433774-EJECUCION"/>
    <m/>
    <s v="30433774"/>
    <s v="DIFUSION Y PROMOCION TURISTICA REGION DE LOS LAGOS"/>
    <n v="2700000000"/>
    <n v="0"/>
    <n v="10000000"/>
    <n v="0"/>
    <n v="0"/>
    <n v="0"/>
    <n v="0"/>
    <n v="0"/>
    <n v="0"/>
    <n v="0"/>
    <n v="10000000"/>
    <n v="2690000000"/>
    <s v="SOLICITUD DIPLAN"/>
  </r>
  <r>
    <n v="33"/>
    <s v="N"/>
    <x v="7"/>
    <x v="6"/>
    <s v="REGIONAL"/>
    <x v="2"/>
    <s v="EJECUCION"/>
    <n v="40001266"/>
    <s v="40001266-EJECUCION"/>
    <m/>
    <s v="40001266"/>
    <s v="CAPACITACION PARA DESARROLLO Y FORTALECIMIENTO PRODUCTIVO DE ZONAS ESTRATEGICAS"/>
    <n v="400000000"/>
    <n v="0"/>
    <n v="10000000"/>
    <n v="0"/>
    <n v="0"/>
    <n v="0"/>
    <n v="0"/>
    <n v="0"/>
    <n v="0"/>
    <n v="0"/>
    <n v="10000000"/>
    <n v="390000000"/>
    <s v="SOLICITUD DIPLAN"/>
  </r>
  <r>
    <n v="33"/>
    <s v="N"/>
    <x v="5"/>
    <x v="6"/>
    <s v="REGIONAL"/>
    <x v="11"/>
    <s v="EJECUCION"/>
    <s v="S/C"/>
    <s v="S/C-EJECUCION"/>
    <m/>
    <s v="S/C"/>
    <s v="FONDO INNOVACION Y COMPETITIVIDAD"/>
    <n v="1990433000"/>
    <n v="0"/>
    <n v="1990433000"/>
    <n v="0"/>
    <n v="0"/>
    <n v="0"/>
    <n v="0"/>
    <n v="0"/>
    <n v="0"/>
    <n v="0"/>
    <n v="1990433000"/>
    <n v="0"/>
    <s v="APROBADO  LEY "/>
  </r>
  <r>
    <m/>
    <m/>
    <x v="0"/>
    <x v="0"/>
    <m/>
    <x v="0"/>
    <m/>
    <m/>
    <m/>
    <m/>
    <m/>
    <s v="TOTAL DE INICIATIVAS SIN MOVIMIENTO"/>
    <n v="12603763000"/>
    <n v="0"/>
    <n v="2560918373.666667"/>
    <n v="0"/>
    <n v="0"/>
    <n v="0"/>
    <n v="0"/>
    <n v="0"/>
    <n v="0"/>
    <n v="0"/>
    <n v="2560918373.666667"/>
    <n v="10042844626.333332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TOTAL FOMENTO"/>
    <n v="44268141487"/>
    <n v="12720732706"/>
    <n v="13298375507.333334"/>
    <n v="45024120"/>
    <n v="0"/>
    <n v="215515197"/>
    <n v="260539317"/>
    <n v="209764069"/>
    <n v="450423027"/>
    <n v="920726413"/>
    <n v="12377649094.333334"/>
    <n v="18249033273.666664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s v="TOTAL PRESUPUESTO 2018"/>
    <n v="511555556003.19678"/>
    <n v="139888839892"/>
    <n v="111036928003.14462"/>
    <n v="1565834672"/>
    <n v="4018099064"/>
    <n v="7017538869"/>
    <n v="12601472605"/>
    <n v="6449020874"/>
    <n v="7293396038"/>
    <n v="26343889517"/>
    <n v="84693038486.144623"/>
    <n v="260629788108.05212"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6" cacheId="6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PROVISION">
  <location ref="A14:G26" firstHeaderRow="0" firstDataRow="1" firstDataCol="1"/>
  <pivotFields count="25">
    <pivotField showAll="0"/>
    <pivotField showAll="0"/>
    <pivotField showAll="0"/>
    <pivotField showAll="0"/>
    <pivotField showAll="0"/>
    <pivotField axis="axisRow" showAll="0">
      <items count="13">
        <item x="2"/>
        <item x="5"/>
        <item x="3"/>
        <item x="4"/>
        <item x="11"/>
        <item x="6"/>
        <item x="10"/>
        <item x="8"/>
        <item x="9"/>
        <item x="1"/>
        <item x="7"/>
        <item h="1" x="0"/>
        <item t="default"/>
      </items>
    </pivotField>
    <pivotField showAll="0"/>
    <pivotField showAll="0"/>
    <pivotField showAll="0" defaultSubtotal="0"/>
    <pivotField showAll="0" defaultSubtotal="0"/>
    <pivotField showAll="0" defaultSubtotal="0"/>
    <pivotField showAll="0"/>
    <pivotField dataField="1" showAll="0"/>
    <pivotField dataField="1" showAll="0"/>
    <pivotField dataField="1"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/>
    <pivotField dataField="1" showAll="0"/>
    <pivotField showAll="0"/>
  </pivotFields>
  <rowFields count="1">
    <field x="5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   COSTO" fld="12" baseField="3" baseItem="6"/>
    <dataField name="   GASTO AÑOS ANTERIORES" fld="13" baseField="3" baseItem="6"/>
    <dataField name=" TOTAL PAGADO" fld="21" baseField="5" baseItem="1"/>
    <dataField name="   SALDO A DICIEMBRE" fld="22" baseField="3" baseItem="6"/>
    <dataField name="   COMPROMISO 2018" fld="14" baseField="3" baseItem="6"/>
    <dataField name="   SALDO POR INVERTIR" fld="23" baseField="3" baseItem="6"/>
  </dataFields>
  <formats count="2"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5">
            <x v="0"/>
            <x v="1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5" cacheId="6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TERRITORIO">
  <location ref="A3:G10" firstHeaderRow="0" firstDataRow="1" firstDataCol="1"/>
  <pivotFields count="25">
    <pivotField showAll="0"/>
    <pivotField showAll="0"/>
    <pivotField showAll="0"/>
    <pivotField axis="axisRow" showAll="0">
      <items count="9">
        <item x="1"/>
        <item x="2"/>
        <item x="3"/>
        <item x="4"/>
        <item m="1" x="7"/>
        <item x="6"/>
        <item x="5"/>
        <item h="1" x="0"/>
        <item t="default"/>
      </items>
    </pivotField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dataField="1" showAll="0"/>
    <pivotField dataField="1" showAll="0"/>
    <pivotField dataField="1"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/>
    <pivotField dataField="1" showAll="0"/>
    <pivotField showAll="0"/>
  </pivotFields>
  <rowFields count="1">
    <field x="3"/>
  </rowFields>
  <rowItems count="7">
    <i>
      <x/>
    </i>
    <i>
      <x v="1"/>
    </i>
    <i>
      <x v="2"/>
    </i>
    <i>
      <x v="3"/>
    </i>
    <i>
      <x v="5"/>
    </i>
    <i>
      <x v="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   COSTO" fld="12" baseField="3" baseItem="6"/>
    <dataField name="   GASTO AÑOS ANTERIORES" fld="13" baseField="3" baseItem="6"/>
    <dataField name=" TOTAL PAGADO" fld="21" baseField="3" baseItem="1"/>
    <dataField name="   SALDO A DICIEMBRE" fld="22" baseField="3" baseItem="6"/>
    <dataField name="   COMPROMISO 2018" fld="14" baseField="3" baseItem="6"/>
    <dataField name="   SALDO POR INVERTIR" fld="23" baseField="3" baseItem="6"/>
  </dataFields>
  <formats count="2">
    <format dxfId="3">
      <pivotArea outline="0" collapsedLevelsAreSubtotals="1" fieldPosition="0"/>
    </format>
    <format dxfId="2">
      <pivotArea dataOnly="0" labelOnly="1" outline="0" fieldPosition="0">
        <references count="1">
          <reference field="4294967294" count="5">
            <x v="0"/>
            <x v="1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3" cacheId="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 rowHeaderCaption="SECTORIALISTA">
  <location ref="A49:B60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/>
    <pivotField showAll="0"/>
    <pivotField showAll="0"/>
    <pivotField showAll="0" defaultSubtotal="0"/>
    <pivotField axis="axisRow" showAll="0" defaultSubtotal="0">
      <items count="13">
        <item x="6"/>
        <item x="11"/>
        <item x="9"/>
        <item x="1"/>
        <item x="7"/>
        <item x="4"/>
        <item x="5"/>
        <item x="12"/>
        <item x="8"/>
        <item h="1" x="3"/>
        <item h="1" x="2"/>
        <item h="1" x="0"/>
        <item x="10"/>
      </items>
    </pivotField>
  </pivotFields>
  <rowFields count="1">
    <field x="25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2"/>
    </i>
    <i t="grand">
      <x/>
    </i>
  </rowItems>
  <colItems count="1">
    <i/>
  </colItems>
  <dataFields count="1">
    <dataField name="PAGADO" fld="19" baseField="0" baseItem="2290952"/>
  </dataFields>
  <formats count="9">
    <format dxfId="12">
      <pivotArea outline="0" collapsedLevelsAreSubtotals="1" fieldPosition="0"/>
    </format>
    <format dxfId="11">
      <pivotArea type="all" dataOnly="0" outline="0" fieldPosition="0"/>
    </format>
    <format dxfId="10">
      <pivotArea field="25" type="button" dataOnly="0" labelOnly="1" outline="0" axis="axisRow" fieldPosition="0"/>
    </format>
    <format dxfId="9">
      <pivotArea dataOnly="0" labelOnly="1" outline="0" axis="axisValues" fieldPosition="0"/>
    </format>
    <format dxfId="8">
      <pivotArea field="25" type="button" dataOnly="0" labelOnly="1" outline="0" axis="axisRow" fieldPosition="0"/>
    </format>
    <format dxfId="7">
      <pivotArea dataOnly="0" labelOnly="1" outline="0" axis="axisValues" fieldPosition="0"/>
    </format>
    <format dxfId="6">
      <pivotArea type="all" dataOnly="0" outline="0" fieldPosition="0"/>
    </format>
    <format dxfId="5">
      <pivotArea field="25" type="button" dataOnly="0" labelOnly="1" outline="0" axis="axisRow" fieldPosition="0"/>
    </format>
    <format dxfId="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7" cacheId="6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SECTOR">
  <location ref="A30:G44" firstHeaderRow="0" firstDataRow="1" firstDataCol="1"/>
  <pivotFields count="25">
    <pivotField showAll="0"/>
    <pivotField showAll="0"/>
    <pivotField axis="axisRow" showAll="0" sortType="descending">
      <items count="15">
        <item x="8"/>
        <item x="2"/>
        <item x="9"/>
        <item x="6"/>
        <item x="11"/>
        <item x="10"/>
        <item x="7"/>
        <item x="5"/>
        <item x="12"/>
        <item x="1"/>
        <item x="13"/>
        <item x="4"/>
        <item x="3"/>
        <item h="1" x="0"/>
        <item t="default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dataField="1" showAll="0"/>
    <pivotField dataField="1" showAll="0"/>
    <pivotField dataField="1"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/>
    <pivotField dataField="1" showAll="0"/>
    <pivotField showAll="0"/>
  </pivotFields>
  <rowFields count="1">
    <field x="2"/>
  </rowFields>
  <rowItems count="14">
    <i>
      <x v="7"/>
    </i>
    <i>
      <x v="11"/>
    </i>
    <i>
      <x v="3"/>
    </i>
    <i>
      <x v="9"/>
    </i>
    <i>
      <x v="1"/>
    </i>
    <i>
      <x v="5"/>
    </i>
    <i>
      <x v="2"/>
    </i>
    <i>
      <x v="10"/>
    </i>
    <i>
      <x v="4"/>
    </i>
    <i>
      <x/>
    </i>
    <i>
      <x v="6"/>
    </i>
    <i>
      <x v="12"/>
    </i>
    <i>
      <x v="8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   COSTO" fld="12" baseField="3" baseItem="6"/>
    <dataField name="   GASTO AÑOS ANTERIORES" fld="13" baseField="3" baseItem="6"/>
    <dataField name=" TOTAL PAGADO" fld="21" baseField="2" baseItem="13"/>
    <dataField name="   SALDO A DICIEMBRE" fld="22" baseField="3" baseItem="6"/>
    <dataField name="   COMPROMISO 2018" fld="14" baseField="3" baseItem="6"/>
    <dataField name="   SALDO POR INVERTIR" fld="23" baseField="3" baseItem="6"/>
  </dataFields>
  <formats count="2">
    <format dxfId="14">
      <pivotArea outline="0" collapsedLevelsAreSubtotals="1" fieldPosition="0"/>
    </format>
    <format dxfId="13">
      <pivotArea dataOnly="0" labelOnly="1" outline="0" fieldPosition="0">
        <references count="1">
          <reference field="4294967294" count="5">
            <x v="0"/>
            <x v="1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7.bin"/><Relationship Id="rId4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A277"/>
  <sheetViews>
    <sheetView topLeftCell="G250" zoomScale="99" zoomScaleNormal="99" workbookViewId="0">
      <selection activeCell="N269" sqref="N269"/>
    </sheetView>
  </sheetViews>
  <sheetFormatPr baseColWidth="10" defaultRowHeight="11.25" outlineLevelRow="2"/>
  <cols>
    <col min="1" max="1" width="6.28515625" style="204" customWidth="1"/>
    <col min="2" max="2" width="8.140625" style="216" bestFit="1" customWidth="1"/>
    <col min="3" max="3" width="16" style="204" customWidth="1"/>
    <col min="4" max="4" width="15.7109375" style="215" customWidth="1"/>
    <col min="5" max="5" width="22" style="215" customWidth="1"/>
    <col min="6" max="6" width="11.7109375" style="204" customWidth="1"/>
    <col min="7" max="7" width="9.140625" style="220" bestFit="1" customWidth="1"/>
    <col min="8" max="8" width="63.140625" style="204" customWidth="1"/>
    <col min="9" max="9" width="12.85546875" style="246" bestFit="1" customWidth="1"/>
    <col min="10" max="10" width="14" style="208" customWidth="1"/>
    <col min="11" max="15" width="13.28515625" style="208" customWidth="1"/>
    <col min="16" max="16" width="13.5703125" style="208" bestFit="1" customWidth="1"/>
    <col min="17" max="17" width="12.7109375" style="249" customWidth="1"/>
    <col min="18" max="18" width="14" style="203" customWidth="1"/>
    <col min="19" max="16384" width="11.42578125" style="204"/>
  </cols>
  <sheetData>
    <row r="1" spans="1:18" s="221" customFormat="1" ht="49.5" customHeight="1">
      <c r="A1" s="222" t="s">
        <v>219</v>
      </c>
      <c r="B1" s="222" t="s">
        <v>146</v>
      </c>
      <c r="C1" s="222" t="s">
        <v>143</v>
      </c>
      <c r="D1" s="222" t="s">
        <v>0</v>
      </c>
      <c r="E1" s="222" t="s">
        <v>1</v>
      </c>
      <c r="F1" s="222" t="s">
        <v>218</v>
      </c>
      <c r="G1" s="222" t="s">
        <v>3</v>
      </c>
      <c r="H1" s="222" t="s">
        <v>4</v>
      </c>
      <c r="I1" s="223" t="s">
        <v>142</v>
      </c>
      <c r="J1" s="223" t="s">
        <v>55</v>
      </c>
      <c r="K1" s="317" t="s">
        <v>986</v>
      </c>
      <c r="L1" s="317" t="s">
        <v>987</v>
      </c>
      <c r="M1" s="317" t="s">
        <v>988</v>
      </c>
      <c r="N1" s="317" t="s">
        <v>484</v>
      </c>
      <c r="O1" s="318" t="s">
        <v>1011</v>
      </c>
      <c r="P1" s="223" t="s">
        <v>573</v>
      </c>
      <c r="Q1" s="223" t="s">
        <v>475</v>
      </c>
      <c r="R1" s="223" t="s">
        <v>220</v>
      </c>
    </row>
    <row r="2" spans="1:18" s="267" customFormat="1" ht="15.75">
      <c r="A2" s="268"/>
      <c r="B2" s="268"/>
      <c r="C2" s="268"/>
      <c r="D2" s="268"/>
      <c r="E2" s="268"/>
      <c r="F2" s="268"/>
      <c r="G2" s="268"/>
      <c r="H2" s="274" t="s">
        <v>177</v>
      </c>
      <c r="I2" s="273"/>
      <c r="J2" s="273"/>
      <c r="K2" s="265"/>
      <c r="L2" s="265"/>
      <c r="M2" s="265"/>
      <c r="N2" s="266"/>
      <c r="O2" s="266"/>
      <c r="P2" s="273"/>
      <c r="Q2" s="273"/>
      <c r="R2" s="273"/>
    </row>
    <row r="3" spans="1:18" s="209" customFormat="1" ht="15" customHeight="1" outlineLevel="2">
      <c r="A3" s="239">
        <v>33125</v>
      </c>
      <c r="B3" s="288" t="s">
        <v>5</v>
      </c>
      <c r="C3" s="211" t="s">
        <v>253</v>
      </c>
      <c r="D3" s="233" t="s">
        <v>7</v>
      </c>
      <c r="E3" s="233" t="s">
        <v>7</v>
      </c>
      <c r="F3" s="211" t="s">
        <v>457</v>
      </c>
      <c r="G3" s="225">
        <v>30427174</v>
      </c>
      <c r="H3" s="235" t="s">
        <v>590</v>
      </c>
      <c r="I3" s="247">
        <v>43950374</v>
      </c>
      <c r="J3" s="234">
        <v>21722740</v>
      </c>
      <c r="K3" s="325">
        <v>0</v>
      </c>
      <c r="L3" s="325">
        <v>22227634</v>
      </c>
      <c r="M3" s="325">
        <v>0</v>
      </c>
      <c r="N3" s="234">
        <v>0</v>
      </c>
      <c r="O3" s="234">
        <v>0</v>
      </c>
      <c r="P3" s="226">
        <f>K3+L3+M3+N3+O3</f>
        <v>22227634</v>
      </c>
      <c r="Q3" s="237">
        <f>I3-(J3+P3)</f>
        <v>0</v>
      </c>
      <c r="R3" s="211" t="s">
        <v>460</v>
      </c>
    </row>
    <row r="4" spans="1:18" s="209" customFormat="1" ht="15" customHeight="1" outlineLevel="2">
      <c r="A4" s="239">
        <v>33125</v>
      </c>
      <c r="B4" s="288" t="s">
        <v>5</v>
      </c>
      <c r="C4" s="211" t="s">
        <v>251</v>
      </c>
      <c r="D4" s="233" t="s">
        <v>7</v>
      </c>
      <c r="E4" s="233" t="s">
        <v>7</v>
      </c>
      <c r="F4" s="211" t="s">
        <v>457</v>
      </c>
      <c r="G4" s="225">
        <v>30482470</v>
      </c>
      <c r="H4" s="236" t="s">
        <v>595</v>
      </c>
      <c r="I4" s="247">
        <v>89250000</v>
      </c>
      <c r="J4" s="234">
        <v>45762036</v>
      </c>
      <c r="K4" s="325">
        <v>31077847</v>
      </c>
      <c r="L4" s="325">
        <v>0</v>
      </c>
      <c r="M4" s="325">
        <v>12410117</v>
      </c>
      <c r="N4" s="234">
        <v>0</v>
      </c>
      <c r="O4" s="234">
        <v>0</v>
      </c>
      <c r="P4" s="226">
        <f>K4+L4+M4+N4+O4</f>
        <v>43487964</v>
      </c>
      <c r="Q4" s="237">
        <f>I4-(J4+P4)</f>
        <v>0</v>
      </c>
      <c r="R4" s="211" t="s">
        <v>460</v>
      </c>
    </row>
    <row r="5" spans="1:18" s="209" customFormat="1" ht="15" customHeight="1" outlineLevel="2">
      <c r="A5" s="239">
        <v>33125</v>
      </c>
      <c r="B5" s="288" t="s">
        <v>5</v>
      </c>
      <c r="C5" s="211" t="s">
        <v>311</v>
      </c>
      <c r="D5" s="233" t="s">
        <v>7</v>
      </c>
      <c r="E5" s="233" t="s">
        <v>7</v>
      </c>
      <c r="F5" s="211" t="s">
        <v>457</v>
      </c>
      <c r="G5" s="225">
        <v>30488515</v>
      </c>
      <c r="H5" s="236" t="s">
        <v>944</v>
      </c>
      <c r="I5" s="247">
        <v>89635382</v>
      </c>
      <c r="J5" s="234">
        <v>0</v>
      </c>
      <c r="K5" s="325">
        <v>0</v>
      </c>
      <c r="L5" s="325">
        <v>0</v>
      </c>
      <c r="M5" s="325">
        <v>41922629</v>
      </c>
      <c r="N5" s="234">
        <v>0</v>
      </c>
      <c r="O5" s="234">
        <v>47712753</v>
      </c>
      <c r="P5" s="226">
        <f>K5+L5+M5+N5+O5</f>
        <v>89635382</v>
      </c>
      <c r="Q5" s="237">
        <f>I5-(J5+P5)</f>
        <v>0</v>
      </c>
      <c r="R5" s="211" t="s">
        <v>460</v>
      </c>
    </row>
    <row r="6" spans="1:18" s="209" customFormat="1" ht="15" customHeight="1" outlineLevel="1">
      <c r="A6" s="256"/>
      <c r="B6" s="289"/>
      <c r="C6" s="257"/>
      <c r="D6" s="258"/>
      <c r="E6" s="259"/>
      <c r="F6" s="257"/>
      <c r="G6" s="260"/>
      <c r="H6" s="252" t="s">
        <v>149</v>
      </c>
      <c r="I6" s="253">
        <f>SUBTOTAL(9,I3:I5)</f>
        <v>222835756</v>
      </c>
      <c r="J6" s="253">
        <f>SUBTOTAL(9,J3:J5)</f>
        <v>67484776</v>
      </c>
      <c r="K6" s="253">
        <f t="shared" ref="K6:N6" si="0">SUBTOTAL(9,K3:K5)</f>
        <v>31077847</v>
      </c>
      <c r="L6" s="253">
        <f t="shared" si="0"/>
        <v>22227634</v>
      </c>
      <c r="M6" s="253">
        <f t="shared" si="0"/>
        <v>54332746</v>
      </c>
      <c r="N6" s="253">
        <f t="shared" si="0"/>
        <v>0</v>
      </c>
      <c r="O6" s="253">
        <f>SUBTOTAL(9,O3:O5)</f>
        <v>47712753</v>
      </c>
      <c r="P6" s="253">
        <f>SUBTOTAL(9,P3:P5)</f>
        <v>155350980</v>
      </c>
      <c r="Q6" s="253">
        <f>SUBTOTAL(9,Q3:Q5)</f>
        <v>0</v>
      </c>
      <c r="R6" s="254"/>
    </row>
    <row r="7" spans="1:18" s="257" customFormat="1" ht="15" customHeight="1" outlineLevel="1">
      <c r="A7" s="256"/>
      <c r="B7" s="289"/>
      <c r="D7" s="258"/>
      <c r="E7" s="259"/>
      <c r="G7" s="260"/>
      <c r="H7" s="271"/>
      <c r="I7" s="272"/>
      <c r="J7" s="272"/>
      <c r="K7" s="319"/>
      <c r="L7" s="319"/>
      <c r="M7" s="319"/>
      <c r="N7" s="320"/>
      <c r="O7" s="320"/>
      <c r="P7" s="272"/>
      <c r="Q7" s="272"/>
      <c r="R7" s="254"/>
    </row>
    <row r="8" spans="1:18" s="209" customFormat="1" ht="15.75" outlineLevel="1">
      <c r="A8" s="256"/>
      <c r="B8" s="289"/>
      <c r="C8" s="257"/>
      <c r="D8" s="258"/>
      <c r="E8" s="259"/>
      <c r="F8" s="257"/>
      <c r="G8" s="260"/>
      <c r="H8" s="274" t="s">
        <v>474</v>
      </c>
      <c r="I8" s="272"/>
      <c r="J8" s="272"/>
      <c r="K8" s="319"/>
      <c r="L8" s="319"/>
      <c r="M8" s="319"/>
      <c r="N8" s="320"/>
      <c r="O8" s="320"/>
      <c r="P8" s="272"/>
      <c r="Q8" s="272"/>
      <c r="R8" s="254"/>
    </row>
    <row r="9" spans="1:18" s="209" customFormat="1" ht="15" customHeight="1" outlineLevel="2">
      <c r="A9" s="239">
        <v>33125</v>
      </c>
      <c r="B9" s="288" t="s">
        <v>5</v>
      </c>
      <c r="C9" s="211" t="s">
        <v>867</v>
      </c>
      <c r="D9" s="224" t="s">
        <v>7</v>
      </c>
      <c r="E9" s="224" t="s">
        <v>580</v>
      </c>
      <c r="F9" s="211" t="s">
        <v>457</v>
      </c>
      <c r="G9" s="225">
        <v>30483068</v>
      </c>
      <c r="H9" s="232" t="s">
        <v>945</v>
      </c>
      <c r="I9" s="248">
        <v>52936256</v>
      </c>
      <c r="J9" s="228">
        <v>50285647</v>
      </c>
      <c r="K9" s="325">
        <v>0</v>
      </c>
      <c r="L9" s="238">
        <v>2650609</v>
      </c>
      <c r="M9" s="325">
        <v>0</v>
      </c>
      <c r="N9" s="234">
        <v>0</v>
      </c>
      <c r="O9" s="234">
        <v>0</v>
      </c>
      <c r="P9" s="226">
        <f>K9+L9+M9+N9+O9</f>
        <v>2650609</v>
      </c>
      <c r="Q9" s="237">
        <f>I9-(J9+P9)</f>
        <v>0</v>
      </c>
      <c r="R9" s="211" t="s">
        <v>460</v>
      </c>
    </row>
    <row r="10" spans="1:18" s="209" customFormat="1" ht="15" customHeight="1" outlineLevel="2">
      <c r="A10" s="239">
        <v>33125</v>
      </c>
      <c r="B10" s="288" t="s">
        <v>5</v>
      </c>
      <c r="C10" s="211" t="s">
        <v>253</v>
      </c>
      <c r="D10" s="224" t="s">
        <v>7</v>
      </c>
      <c r="E10" s="224" t="s">
        <v>580</v>
      </c>
      <c r="F10" s="211" t="s">
        <v>457</v>
      </c>
      <c r="G10" s="225">
        <v>30483088</v>
      </c>
      <c r="H10" s="231" t="s">
        <v>949</v>
      </c>
      <c r="I10" s="248">
        <v>6850930</v>
      </c>
      <c r="J10" s="228">
        <v>6118509</v>
      </c>
      <c r="K10" s="325">
        <v>0</v>
      </c>
      <c r="L10" s="238">
        <v>732421</v>
      </c>
      <c r="M10" s="325">
        <v>0</v>
      </c>
      <c r="N10" s="234">
        <v>0</v>
      </c>
      <c r="O10" s="234">
        <v>0</v>
      </c>
      <c r="P10" s="226">
        <f>K10+L10+M10+N10+O10</f>
        <v>732421</v>
      </c>
      <c r="Q10" s="237">
        <f>I10-(J10+P10)</f>
        <v>0</v>
      </c>
      <c r="R10" s="211" t="s">
        <v>460</v>
      </c>
    </row>
    <row r="11" spans="1:18" s="209" customFormat="1" ht="15" customHeight="1" outlineLevel="2">
      <c r="A11" s="239">
        <v>33125</v>
      </c>
      <c r="B11" s="288" t="s">
        <v>5</v>
      </c>
      <c r="C11" s="211" t="s">
        <v>311</v>
      </c>
      <c r="D11" s="224" t="s">
        <v>7</v>
      </c>
      <c r="E11" s="224" t="s">
        <v>580</v>
      </c>
      <c r="F11" s="211" t="s">
        <v>457</v>
      </c>
      <c r="G11" s="225">
        <v>30483075</v>
      </c>
      <c r="H11" s="232" t="s">
        <v>946</v>
      </c>
      <c r="I11" s="248">
        <v>54626931</v>
      </c>
      <c r="J11" s="227">
        <v>15001690</v>
      </c>
      <c r="K11" s="325">
        <v>0</v>
      </c>
      <c r="L11" s="325">
        <v>0</v>
      </c>
      <c r="M11" s="325">
        <v>0</v>
      </c>
      <c r="N11" s="234">
        <v>0</v>
      </c>
      <c r="O11" s="234">
        <v>39625241</v>
      </c>
      <c r="P11" s="226">
        <f>K11+L11+M11+N11+O11</f>
        <v>39625241</v>
      </c>
      <c r="Q11" s="237">
        <v>0</v>
      </c>
      <c r="R11" s="211" t="s">
        <v>460</v>
      </c>
    </row>
    <row r="12" spans="1:18" s="209" customFormat="1" ht="15" customHeight="1" outlineLevel="2">
      <c r="A12" s="239">
        <v>33125</v>
      </c>
      <c r="B12" s="288" t="s">
        <v>5</v>
      </c>
      <c r="C12" s="213" t="s">
        <v>311</v>
      </c>
      <c r="D12" s="224" t="s">
        <v>7</v>
      </c>
      <c r="E12" s="224" t="s">
        <v>580</v>
      </c>
      <c r="F12" s="211" t="s">
        <v>457</v>
      </c>
      <c r="G12" s="225">
        <v>30483085</v>
      </c>
      <c r="H12" s="232" t="s">
        <v>947</v>
      </c>
      <c r="I12" s="248">
        <v>25595747</v>
      </c>
      <c r="J12" s="227">
        <v>12843696</v>
      </c>
      <c r="K12" s="325">
        <v>0</v>
      </c>
      <c r="L12" s="325">
        <v>0</v>
      </c>
      <c r="M12" s="325">
        <v>0</v>
      </c>
      <c r="N12" s="234">
        <v>0</v>
      </c>
      <c r="O12" s="234">
        <v>12752051</v>
      </c>
      <c r="P12" s="226">
        <f>K12+L12+M12+N12+O12</f>
        <v>12752051</v>
      </c>
      <c r="Q12" s="237">
        <f>I12-(J12+P12)</f>
        <v>0</v>
      </c>
      <c r="R12" s="211" t="s">
        <v>460</v>
      </c>
    </row>
    <row r="13" spans="1:18" s="209" customFormat="1" ht="15" customHeight="1" outlineLevel="2">
      <c r="A13" s="239">
        <v>33125</v>
      </c>
      <c r="B13" s="288" t="s">
        <v>5</v>
      </c>
      <c r="C13" s="211" t="s">
        <v>253</v>
      </c>
      <c r="D13" s="224" t="s">
        <v>7</v>
      </c>
      <c r="E13" s="224" t="s">
        <v>580</v>
      </c>
      <c r="F13" s="211" t="s">
        <v>457</v>
      </c>
      <c r="G13" s="225">
        <v>30488224</v>
      </c>
      <c r="H13" s="232" t="s">
        <v>593</v>
      </c>
      <c r="I13" s="248">
        <v>84827658</v>
      </c>
      <c r="J13" s="240">
        <v>0</v>
      </c>
      <c r="K13" s="325">
        <v>0</v>
      </c>
      <c r="L13" s="325">
        <v>0</v>
      </c>
      <c r="M13" s="238">
        <v>56040932</v>
      </c>
      <c r="N13" s="226">
        <v>9994119</v>
      </c>
      <c r="O13" s="234">
        <v>14503293</v>
      </c>
      <c r="P13" s="226">
        <f>K13+L13+M13+N13+O13</f>
        <v>80538344</v>
      </c>
      <c r="Q13" s="237">
        <f>I13-(J13+P13)</f>
        <v>4289314</v>
      </c>
      <c r="R13" s="211" t="s">
        <v>239</v>
      </c>
    </row>
    <row r="14" spans="1:18" s="209" customFormat="1" ht="15" customHeight="1" outlineLevel="2">
      <c r="A14" s="239">
        <v>33125</v>
      </c>
      <c r="B14" s="288" t="s">
        <v>5</v>
      </c>
      <c r="C14" s="211" t="s">
        <v>867</v>
      </c>
      <c r="D14" s="224" t="s">
        <v>7</v>
      </c>
      <c r="E14" s="224" t="s">
        <v>580</v>
      </c>
      <c r="F14" s="211" t="s">
        <v>457</v>
      </c>
      <c r="G14" s="225">
        <v>30488407</v>
      </c>
      <c r="H14" s="232" t="s">
        <v>948</v>
      </c>
      <c r="I14" s="248">
        <v>65455848</v>
      </c>
      <c r="J14" s="240">
        <v>0</v>
      </c>
      <c r="K14" s="325">
        <v>0</v>
      </c>
      <c r="L14" s="238">
        <v>49731836</v>
      </c>
      <c r="M14" s="325">
        <v>0</v>
      </c>
      <c r="N14" s="234">
        <v>0</v>
      </c>
      <c r="O14" s="234">
        <v>15724012</v>
      </c>
      <c r="P14" s="226">
        <f>K14+L14+M14+N14+O14</f>
        <v>65455848</v>
      </c>
      <c r="Q14" s="237">
        <f>I14-(J14+P14)</f>
        <v>0</v>
      </c>
      <c r="R14" s="211" t="s">
        <v>460</v>
      </c>
    </row>
    <row r="15" spans="1:18" s="209" customFormat="1" ht="15" customHeight="1" outlineLevel="1">
      <c r="A15" s="256"/>
      <c r="B15" s="289"/>
      <c r="C15" s="257"/>
      <c r="D15" s="261"/>
      <c r="E15" s="262"/>
      <c r="F15" s="257"/>
      <c r="G15" s="260"/>
      <c r="H15" s="252" t="s">
        <v>508</v>
      </c>
      <c r="I15" s="253">
        <f>SUBTOTAL(9,I9:I14)</f>
        <v>290293370</v>
      </c>
      <c r="J15" s="253">
        <f>SUBTOTAL(9,J9:J14)</f>
        <v>84249542</v>
      </c>
      <c r="K15" s="253">
        <f t="shared" ref="K15:N15" si="1">SUBTOTAL(9,K9:K14)</f>
        <v>0</v>
      </c>
      <c r="L15" s="253">
        <f t="shared" si="1"/>
        <v>53114866</v>
      </c>
      <c r="M15" s="253">
        <f t="shared" si="1"/>
        <v>56040932</v>
      </c>
      <c r="N15" s="253">
        <f t="shared" si="1"/>
        <v>9994119</v>
      </c>
      <c r="O15" s="253">
        <f>SUBTOTAL(9,O9:O14)</f>
        <v>82604597</v>
      </c>
      <c r="P15" s="253">
        <f>SUBTOTAL(9,P9:P14)</f>
        <v>201754514</v>
      </c>
      <c r="Q15" s="253">
        <f>SUBTOTAL(9,Q9:Q14)</f>
        <v>4289314</v>
      </c>
      <c r="R15" s="254"/>
    </row>
    <row r="16" spans="1:18" s="257" customFormat="1" ht="15" customHeight="1" outlineLevel="1">
      <c r="A16" s="256"/>
      <c r="B16" s="289"/>
      <c r="D16" s="261"/>
      <c r="E16" s="262"/>
      <c r="G16" s="260"/>
      <c r="H16" s="271"/>
      <c r="I16" s="272"/>
      <c r="J16" s="272"/>
      <c r="K16" s="321"/>
      <c r="L16" s="321"/>
      <c r="M16" s="321"/>
      <c r="N16" s="322"/>
      <c r="O16" s="322"/>
      <c r="P16" s="272"/>
      <c r="Q16" s="272"/>
      <c r="R16" s="254"/>
    </row>
    <row r="17" spans="1:18" s="209" customFormat="1" ht="15.75" outlineLevel="1">
      <c r="A17" s="256"/>
      <c r="B17" s="289"/>
      <c r="C17" s="257"/>
      <c r="D17" s="261"/>
      <c r="E17" s="262"/>
      <c r="F17" s="257"/>
      <c r="G17" s="260"/>
      <c r="H17" s="274" t="s">
        <v>178</v>
      </c>
      <c r="I17" s="272"/>
      <c r="J17" s="272"/>
      <c r="K17" s="321"/>
      <c r="L17" s="321"/>
      <c r="M17" s="321"/>
      <c r="N17" s="322"/>
      <c r="O17" s="322"/>
      <c r="P17" s="272"/>
      <c r="Q17" s="272"/>
      <c r="R17" s="254"/>
    </row>
    <row r="18" spans="1:18" s="209" customFormat="1" ht="15" customHeight="1" outlineLevel="2">
      <c r="A18" s="239">
        <v>33125</v>
      </c>
      <c r="B18" s="288" t="s">
        <v>5</v>
      </c>
      <c r="C18" s="211" t="s">
        <v>311</v>
      </c>
      <c r="D18" s="224" t="s">
        <v>7</v>
      </c>
      <c r="E18" s="224" t="s">
        <v>16</v>
      </c>
      <c r="F18" s="211" t="s">
        <v>457</v>
      </c>
      <c r="G18" s="225">
        <v>30482960</v>
      </c>
      <c r="H18" s="231" t="s">
        <v>611</v>
      </c>
      <c r="I18" s="248">
        <v>86202700</v>
      </c>
      <c r="J18" s="228">
        <v>45450274</v>
      </c>
      <c r="K18" s="325">
        <v>0</v>
      </c>
      <c r="L18" s="325">
        <v>0</v>
      </c>
      <c r="M18" s="238">
        <v>40752426</v>
      </c>
      <c r="N18" s="234">
        <v>0</v>
      </c>
      <c r="O18" s="234">
        <v>0</v>
      </c>
      <c r="P18" s="226">
        <f>K18+L18+M18+N18+O18</f>
        <v>40752426</v>
      </c>
      <c r="Q18" s="237">
        <f>I18-(J18+P18)</f>
        <v>0</v>
      </c>
      <c r="R18" s="211" t="s">
        <v>460</v>
      </c>
    </row>
    <row r="19" spans="1:18" s="209" customFormat="1" ht="15" customHeight="1" outlineLevel="2">
      <c r="A19" s="239">
        <v>33125</v>
      </c>
      <c r="B19" s="288" t="s">
        <v>5</v>
      </c>
      <c r="C19" s="211" t="s">
        <v>253</v>
      </c>
      <c r="D19" s="224" t="s">
        <v>7</v>
      </c>
      <c r="E19" s="224" t="s">
        <v>16</v>
      </c>
      <c r="F19" s="211" t="s">
        <v>457</v>
      </c>
      <c r="G19" s="225">
        <v>30458561</v>
      </c>
      <c r="H19" s="224" t="s">
        <v>950</v>
      </c>
      <c r="I19" s="248">
        <v>89600264</v>
      </c>
      <c r="J19" s="227">
        <v>27689896</v>
      </c>
      <c r="K19" s="325">
        <v>0</v>
      </c>
      <c r="L19" s="325">
        <v>0</v>
      </c>
      <c r="M19" s="325">
        <v>0</v>
      </c>
      <c r="N19" s="234">
        <v>0</v>
      </c>
      <c r="O19" s="234">
        <v>0</v>
      </c>
      <c r="P19" s="226">
        <f>K19+L19+M19+N19+O19</f>
        <v>0</v>
      </c>
      <c r="Q19" s="237">
        <f>I19-(J19+P19)</f>
        <v>61910368</v>
      </c>
      <c r="R19" s="211" t="s">
        <v>239</v>
      </c>
    </row>
    <row r="20" spans="1:18" s="209" customFormat="1" ht="15" customHeight="1" outlineLevel="2">
      <c r="A20" s="239">
        <v>33125</v>
      </c>
      <c r="B20" s="288" t="s">
        <v>5</v>
      </c>
      <c r="C20" s="211" t="s">
        <v>241</v>
      </c>
      <c r="D20" s="224" t="s">
        <v>7</v>
      </c>
      <c r="E20" s="224" t="s">
        <v>16</v>
      </c>
      <c r="F20" s="211" t="s">
        <v>457</v>
      </c>
      <c r="G20" s="225">
        <v>30488417</v>
      </c>
      <c r="H20" s="224" t="s">
        <v>951</v>
      </c>
      <c r="I20" s="248">
        <v>25000000</v>
      </c>
      <c r="J20" s="240">
        <v>0</v>
      </c>
      <c r="K20" s="325">
        <v>0</v>
      </c>
      <c r="L20" s="325">
        <v>0</v>
      </c>
      <c r="M20" s="325">
        <v>0</v>
      </c>
      <c r="N20" s="226">
        <v>11916363</v>
      </c>
      <c r="O20" s="234">
        <v>0</v>
      </c>
      <c r="P20" s="226">
        <f>K20+L20+M20+N20+O20</f>
        <v>11916363</v>
      </c>
      <c r="Q20" s="237">
        <f>I20-(J20+P20)</f>
        <v>13083637</v>
      </c>
      <c r="R20" s="211" t="s">
        <v>239</v>
      </c>
    </row>
    <row r="21" spans="1:18" s="209" customFormat="1" ht="15" customHeight="1" outlineLevel="2">
      <c r="A21" s="239">
        <v>33125</v>
      </c>
      <c r="B21" s="288" t="s">
        <v>5</v>
      </c>
      <c r="C21" s="211" t="s">
        <v>241</v>
      </c>
      <c r="D21" s="224" t="s">
        <v>7</v>
      </c>
      <c r="E21" s="224" t="s">
        <v>16</v>
      </c>
      <c r="F21" s="211" t="s">
        <v>457</v>
      </c>
      <c r="G21" s="225">
        <v>30488419</v>
      </c>
      <c r="H21" s="224" t="s">
        <v>952</v>
      </c>
      <c r="I21" s="248">
        <v>25000000</v>
      </c>
      <c r="J21" s="240">
        <v>0</v>
      </c>
      <c r="K21" s="325">
        <v>0</v>
      </c>
      <c r="L21" s="325">
        <v>0</v>
      </c>
      <c r="M21" s="325">
        <v>0</v>
      </c>
      <c r="N21" s="234">
        <v>0</v>
      </c>
      <c r="O21" s="234">
        <v>0</v>
      </c>
      <c r="P21" s="226">
        <f>K21+L21+M21+N21+O21</f>
        <v>0</v>
      </c>
      <c r="Q21" s="237">
        <f>I21-(J21+P21)</f>
        <v>25000000</v>
      </c>
      <c r="R21" s="211" t="s">
        <v>239</v>
      </c>
    </row>
    <row r="22" spans="1:18" s="209" customFormat="1" ht="15" customHeight="1" outlineLevel="2">
      <c r="A22" s="239">
        <v>33125</v>
      </c>
      <c r="B22" s="288" t="s">
        <v>5</v>
      </c>
      <c r="C22" s="211" t="s">
        <v>867</v>
      </c>
      <c r="D22" s="224" t="s">
        <v>7</v>
      </c>
      <c r="E22" s="224" t="s">
        <v>16</v>
      </c>
      <c r="F22" s="211" t="s">
        <v>457</v>
      </c>
      <c r="G22" s="225">
        <v>30488420</v>
      </c>
      <c r="H22" s="224" t="s">
        <v>953</v>
      </c>
      <c r="I22" s="248">
        <v>89999173</v>
      </c>
      <c r="J22" s="240">
        <v>0</v>
      </c>
      <c r="K22" s="325">
        <v>0</v>
      </c>
      <c r="L22" s="238">
        <v>29059800</v>
      </c>
      <c r="M22" s="325">
        <v>0</v>
      </c>
      <c r="N22" s="234">
        <v>0</v>
      </c>
      <c r="O22" s="234">
        <v>38709195</v>
      </c>
      <c r="P22" s="226">
        <f>K22+L22+M22+N22+O22</f>
        <v>67768995</v>
      </c>
      <c r="Q22" s="237">
        <f>I22-(J22+P22)</f>
        <v>22230178</v>
      </c>
      <c r="R22" s="211" t="s">
        <v>239</v>
      </c>
    </row>
    <row r="23" spans="1:18" s="209" customFormat="1" ht="15" customHeight="1" outlineLevel="1">
      <c r="A23" s="256"/>
      <c r="B23" s="289"/>
      <c r="C23" s="257"/>
      <c r="D23" s="261"/>
      <c r="E23" s="262"/>
      <c r="F23" s="257"/>
      <c r="G23" s="260"/>
      <c r="H23" s="252" t="s">
        <v>150</v>
      </c>
      <c r="I23" s="253">
        <f>SUBTOTAL(9,I18:I22)</f>
        <v>315802137</v>
      </c>
      <c r="J23" s="253">
        <f>SUBTOTAL(9,J18:J22)</f>
        <v>73140170</v>
      </c>
      <c r="K23" s="253">
        <f t="shared" ref="K23:N23" si="2">SUBTOTAL(9,K18:K22)</f>
        <v>0</v>
      </c>
      <c r="L23" s="253">
        <f t="shared" si="2"/>
        <v>29059800</v>
      </c>
      <c r="M23" s="253">
        <f t="shared" si="2"/>
        <v>40752426</v>
      </c>
      <c r="N23" s="253">
        <f t="shared" si="2"/>
        <v>11916363</v>
      </c>
      <c r="O23" s="253">
        <f>SUBTOTAL(9,O18:O22)</f>
        <v>38709195</v>
      </c>
      <c r="P23" s="253">
        <f>SUBTOTAL(9,P18:P22)</f>
        <v>120437784</v>
      </c>
      <c r="Q23" s="253">
        <f>SUBTOTAL(9,Q18:Q22)</f>
        <v>122224183</v>
      </c>
      <c r="R23" s="254"/>
    </row>
    <row r="24" spans="1:18" s="257" customFormat="1" ht="15" customHeight="1" outlineLevel="1">
      <c r="A24" s="256"/>
      <c r="B24" s="289"/>
      <c r="D24" s="261"/>
      <c r="E24" s="262"/>
      <c r="G24" s="260"/>
      <c r="H24" s="271"/>
      <c r="I24" s="272"/>
      <c r="J24" s="272"/>
      <c r="K24" s="321"/>
      <c r="L24" s="321"/>
      <c r="M24" s="321"/>
      <c r="P24" s="272"/>
      <c r="Q24" s="272"/>
      <c r="R24" s="254"/>
    </row>
    <row r="25" spans="1:18" s="209" customFormat="1" ht="15.75" outlineLevel="1">
      <c r="A25" s="256"/>
      <c r="B25" s="289"/>
      <c r="C25" s="257"/>
      <c r="D25" s="261"/>
      <c r="E25" s="262"/>
      <c r="F25" s="257"/>
      <c r="G25" s="260"/>
      <c r="H25" s="274" t="s">
        <v>179</v>
      </c>
      <c r="I25" s="272"/>
      <c r="J25" s="272"/>
      <c r="K25" s="321"/>
      <c r="L25" s="321"/>
      <c r="M25" s="321"/>
      <c r="N25" s="322"/>
      <c r="O25" s="322"/>
      <c r="P25" s="272"/>
      <c r="Q25" s="272"/>
      <c r="R25" s="254"/>
    </row>
    <row r="26" spans="1:18" s="209" customFormat="1" ht="15" customHeight="1" outlineLevel="2">
      <c r="A26" s="239">
        <v>33125</v>
      </c>
      <c r="B26" s="288" t="s">
        <v>5</v>
      </c>
      <c r="C26" s="211" t="s">
        <v>251</v>
      </c>
      <c r="D26" s="224" t="s">
        <v>7</v>
      </c>
      <c r="E26" s="224" t="s">
        <v>17</v>
      </c>
      <c r="F26" s="211" t="s">
        <v>457</v>
      </c>
      <c r="G26" s="225">
        <v>30279923</v>
      </c>
      <c r="H26" s="224" t="s">
        <v>954</v>
      </c>
      <c r="I26" s="248">
        <v>77186021</v>
      </c>
      <c r="J26" s="226">
        <v>77186021</v>
      </c>
      <c r="K26" s="325">
        <v>0</v>
      </c>
      <c r="L26" s="325">
        <v>0</v>
      </c>
      <c r="M26" s="325">
        <v>0</v>
      </c>
      <c r="N26" s="234">
        <v>0</v>
      </c>
      <c r="O26" s="234">
        <v>0</v>
      </c>
      <c r="P26" s="226">
        <f>K26+L26+M26+N26+O26</f>
        <v>0</v>
      </c>
      <c r="Q26" s="237">
        <f>I26-(J26+P26)</f>
        <v>0</v>
      </c>
      <c r="R26" s="211" t="s">
        <v>460</v>
      </c>
    </row>
    <row r="27" spans="1:18" s="209" customFormat="1" ht="15" customHeight="1" outlineLevel="2">
      <c r="A27" s="239">
        <v>33125</v>
      </c>
      <c r="B27" s="288" t="s">
        <v>5</v>
      </c>
      <c r="C27" s="211" t="s">
        <v>251</v>
      </c>
      <c r="D27" s="224" t="s">
        <v>7</v>
      </c>
      <c r="E27" s="224" t="s">
        <v>17</v>
      </c>
      <c r="F27" s="211" t="s">
        <v>457</v>
      </c>
      <c r="G27" s="225">
        <v>30482899</v>
      </c>
      <c r="H27" s="231" t="s">
        <v>598</v>
      </c>
      <c r="I27" s="248">
        <v>75367490</v>
      </c>
      <c r="J27" s="226">
        <v>71596232</v>
      </c>
      <c r="K27" s="325">
        <v>0</v>
      </c>
      <c r="L27" s="325">
        <v>0</v>
      </c>
      <c r="M27" s="238">
        <v>3771258</v>
      </c>
      <c r="N27" s="234">
        <v>0</v>
      </c>
      <c r="O27" s="234">
        <v>0</v>
      </c>
      <c r="P27" s="226">
        <f>K27+L27+M27+N27+O27</f>
        <v>3771258</v>
      </c>
      <c r="Q27" s="237">
        <f>I27-(J27+P27)</f>
        <v>0</v>
      </c>
      <c r="R27" s="211" t="s">
        <v>460</v>
      </c>
    </row>
    <row r="28" spans="1:18" s="209" customFormat="1" ht="15" customHeight="1" outlineLevel="2">
      <c r="A28" s="239">
        <v>33125</v>
      </c>
      <c r="B28" s="288" t="s">
        <v>5</v>
      </c>
      <c r="C28" s="211" t="s">
        <v>253</v>
      </c>
      <c r="D28" s="224" t="s">
        <v>7</v>
      </c>
      <c r="E28" s="224" t="s">
        <v>17</v>
      </c>
      <c r="F28" s="211" t="s">
        <v>457</v>
      </c>
      <c r="G28" s="225">
        <v>30482921</v>
      </c>
      <c r="H28" s="232" t="s">
        <v>617</v>
      </c>
      <c r="I28" s="248">
        <v>59216772</v>
      </c>
      <c r="J28" s="226">
        <v>56105111</v>
      </c>
      <c r="K28" s="325">
        <v>0</v>
      </c>
      <c r="L28" s="238">
        <v>3111661</v>
      </c>
      <c r="M28" s="325">
        <v>0</v>
      </c>
      <c r="N28" s="234">
        <v>0</v>
      </c>
      <c r="O28" s="234">
        <v>0</v>
      </c>
      <c r="P28" s="226">
        <f>K28+L28+M28+N28+O28</f>
        <v>3111661</v>
      </c>
      <c r="Q28" s="237">
        <f>I28-(J28+P28)</f>
        <v>0</v>
      </c>
      <c r="R28" s="211" t="s">
        <v>460</v>
      </c>
    </row>
    <row r="29" spans="1:18" s="209" customFormat="1" ht="15" customHeight="1" outlineLevel="2">
      <c r="A29" s="239">
        <v>33125</v>
      </c>
      <c r="B29" s="288" t="s">
        <v>5</v>
      </c>
      <c r="C29" s="211" t="s">
        <v>663</v>
      </c>
      <c r="D29" s="224" t="s">
        <v>7</v>
      </c>
      <c r="E29" s="224" t="s">
        <v>17</v>
      </c>
      <c r="F29" s="211" t="s">
        <v>457</v>
      </c>
      <c r="G29" s="225">
        <v>30483800</v>
      </c>
      <c r="H29" s="232" t="s">
        <v>955</v>
      </c>
      <c r="I29" s="248">
        <v>84412323</v>
      </c>
      <c r="J29" s="226">
        <v>0</v>
      </c>
      <c r="K29" s="325">
        <v>0</v>
      </c>
      <c r="L29" s="325">
        <v>0</v>
      </c>
      <c r="M29" s="238">
        <v>42252438</v>
      </c>
      <c r="N29" s="234">
        <v>0</v>
      </c>
      <c r="O29" s="234">
        <v>16903950</v>
      </c>
      <c r="P29" s="226">
        <f>K29+L29+M29+N29+O29</f>
        <v>59156388</v>
      </c>
      <c r="Q29" s="237">
        <f>I29-(J29+P29)</f>
        <v>25255935</v>
      </c>
      <c r="R29" s="211" t="s">
        <v>239</v>
      </c>
    </row>
    <row r="30" spans="1:18" s="209" customFormat="1" ht="15" customHeight="1" outlineLevel="2">
      <c r="A30" s="239">
        <v>33125</v>
      </c>
      <c r="B30" s="288" t="s">
        <v>5</v>
      </c>
      <c r="C30" s="211" t="s">
        <v>663</v>
      </c>
      <c r="D30" s="224" t="s">
        <v>7</v>
      </c>
      <c r="E30" s="224" t="s">
        <v>17</v>
      </c>
      <c r="F30" s="211" t="s">
        <v>457</v>
      </c>
      <c r="G30" s="225">
        <v>30486466</v>
      </c>
      <c r="H30" s="232" t="s">
        <v>956</v>
      </c>
      <c r="I30" s="248">
        <v>89994016</v>
      </c>
      <c r="J30" s="226">
        <v>0</v>
      </c>
      <c r="K30" s="325">
        <v>0</v>
      </c>
      <c r="L30" s="238">
        <v>33745232</v>
      </c>
      <c r="M30" s="238">
        <v>9635281</v>
      </c>
      <c r="N30" s="226">
        <v>9077722</v>
      </c>
      <c r="O30" s="234">
        <v>27719515</v>
      </c>
      <c r="P30" s="226">
        <f>K30+L30+M30+N30+O30</f>
        <v>80177750</v>
      </c>
      <c r="Q30" s="237">
        <f>I30-(J30+P30)</f>
        <v>9816266</v>
      </c>
      <c r="R30" s="211" t="s">
        <v>239</v>
      </c>
    </row>
    <row r="31" spans="1:18" s="209" customFormat="1" ht="15" customHeight="1" outlineLevel="2">
      <c r="A31" s="239">
        <v>33125</v>
      </c>
      <c r="B31" s="288" t="s">
        <v>5</v>
      </c>
      <c r="C31" s="211" t="s">
        <v>663</v>
      </c>
      <c r="D31" s="224" t="s">
        <v>7</v>
      </c>
      <c r="E31" s="224" t="s">
        <v>17</v>
      </c>
      <c r="F31" s="211" t="s">
        <v>457</v>
      </c>
      <c r="G31" s="225">
        <v>30486824</v>
      </c>
      <c r="H31" s="232" t="s">
        <v>585</v>
      </c>
      <c r="I31" s="248">
        <v>89971164</v>
      </c>
      <c r="J31" s="226">
        <v>0</v>
      </c>
      <c r="K31" s="325">
        <v>0</v>
      </c>
      <c r="L31" s="325">
        <v>0</v>
      </c>
      <c r="M31" s="238">
        <v>16337564</v>
      </c>
      <c r="N31" s="226">
        <v>13673100</v>
      </c>
      <c r="O31" s="234">
        <v>18655258</v>
      </c>
      <c r="P31" s="226">
        <f>K31+L31+M31+N31+O31</f>
        <v>48665922</v>
      </c>
      <c r="Q31" s="237">
        <f>I31-(J31+P31)</f>
        <v>41305242</v>
      </c>
      <c r="R31" s="211" t="s">
        <v>239</v>
      </c>
    </row>
    <row r="32" spans="1:18" s="209" customFormat="1" ht="15" customHeight="1" outlineLevel="2">
      <c r="A32" s="239">
        <v>33125</v>
      </c>
      <c r="B32" s="288" t="s">
        <v>5</v>
      </c>
      <c r="C32" s="211" t="s">
        <v>251</v>
      </c>
      <c r="D32" s="224" t="s">
        <v>7</v>
      </c>
      <c r="E32" s="224" t="s">
        <v>17</v>
      </c>
      <c r="F32" s="211" t="s">
        <v>457</v>
      </c>
      <c r="G32" s="225">
        <v>30486825</v>
      </c>
      <c r="H32" s="232" t="s">
        <v>584</v>
      </c>
      <c r="I32" s="248">
        <v>89999492</v>
      </c>
      <c r="J32" s="226">
        <v>0</v>
      </c>
      <c r="K32" s="325">
        <v>0</v>
      </c>
      <c r="L32" s="325">
        <v>0</v>
      </c>
      <c r="M32" s="238">
        <v>54991923</v>
      </c>
      <c r="N32" s="226">
        <v>20275369</v>
      </c>
      <c r="O32" s="234">
        <v>0</v>
      </c>
      <c r="P32" s="226">
        <f>K32+L32+M32+N32+O32</f>
        <v>75267292</v>
      </c>
      <c r="Q32" s="237">
        <f>I32-(J32+P32)</f>
        <v>14732200</v>
      </c>
      <c r="R32" s="211" t="s">
        <v>239</v>
      </c>
    </row>
    <row r="33" spans="1:18" s="209" customFormat="1" ht="15" customHeight="1" outlineLevel="2">
      <c r="A33" s="239">
        <v>33125</v>
      </c>
      <c r="B33" s="288" t="s">
        <v>5</v>
      </c>
      <c r="C33" s="211" t="s">
        <v>867</v>
      </c>
      <c r="D33" s="224" t="s">
        <v>7</v>
      </c>
      <c r="E33" s="224" t="s">
        <v>17</v>
      </c>
      <c r="F33" s="211" t="s">
        <v>457</v>
      </c>
      <c r="G33" s="225">
        <v>30487900</v>
      </c>
      <c r="H33" s="232" t="s">
        <v>957</v>
      </c>
      <c r="I33" s="248">
        <v>89795724</v>
      </c>
      <c r="J33" s="226">
        <v>0</v>
      </c>
      <c r="K33" s="325">
        <v>0</v>
      </c>
      <c r="L33" s="325">
        <v>0</v>
      </c>
      <c r="M33" s="325">
        <v>0</v>
      </c>
      <c r="N33" s="234">
        <v>0</v>
      </c>
      <c r="O33" s="234">
        <v>0</v>
      </c>
      <c r="P33" s="226">
        <f>K33+L33+M33+N33+O33</f>
        <v>0</v>
      </c>
      <c r="Q33" s="237">
        <f>I33-(J33+P33)</f>
        <v>89795724</v>
      </c>
      <c r="R33" s="211" t="s">
        <v>239</v>
      </c>
    </row>
    <row r="34" spans="1:18" s="209" customFormat="1" ht="15" customHeight="1" outlineLevel="2">
      <c r="A34" s="239">
        <v>33125</v>
      </c>
      <c r="B34" s="288" t="s">
        <v>5</v>
      </c>
      <c r="C34" s="211" t="s">
        <v>985</v>
      </c>
      <c r="D34" s="224" t="s">
        <v>7</v>
      </c>
      <c r="E34" s="224" t="s">
        <v>17</v>
      </c>
      <c r="F34" s="211" t="s">
        <v>457</v>
      </c>
      <c r="G34" s="225">
        <v>30488940</v>
      </c>
      <c r="H34" s="232" t="s">
        <v>600</v>
      </c>
      <c r="I34" s="248">
        <v>46650975</v>
      </c>
      <c r="J34" s="226">
        <v>0</v>
      </c>
      <c r="K34" s="325">
        <v>0</v>
      </c>
      <c r="L34" s="325">
        <v>0</v>
      </c>
      <c r="M34" s="325">
        <v>0</v>
      </c>
      <c r="N34" s="234">
        <v>0</v>
      </c>
      <c r="O34" s="234">
        <v>43124114</v>
      </c>
      <c r="P34" s="226">
        <f>K34+L34+M34+N34+O34</f>
        <v>43124114</v>
      </c>
      <c r="Q34" s="237">
        <f>I34-(J34+P34)</f>
        <v>3526861</v>
      </c>
      <c r="R34" s="211" t="s">
        <v>460</v>
      </c>
    </row>
    <row r="35" spans="1:18" s="209" customFormat="1" ht="15" customHeight="1" outlineLevel="1">
      <c r="A35" s="256"/>
      <c r="B35" s="289"/>
      <c r="C35" s="257"/>
      <c r="D35" s="261"/>
      <c r="E35" s="262"/>
      <c r="F35" s="257"/>
      <c r="G35" s="260"/>
      <c r="H35" s="252" t="s">
        <v>151</v>
      </c>
      <c r="I35" s="253">
        <f>SUBTOTAL(9,I26:I34)</f>
        <v>702593977</v>
      </c>
      <c r="J35" s="253">
        <f>SUBTOTAL(9,J26:J34)</f>
        <v>204887364</v>
      </c>
      <c r="K35" s="253">
        <f t="shared" ref="K35:N35" si="3">SUBTOTAL(9,K26:K34)</f>
        <v>0</v>
      </c>
      <c r="L35" s="253">
        <f t="shared" si="3"/>
        <v>36856893</v>
      </c>
      <c r="M35" s="253">
        <f t="shared" si="3"/>
        <v>126988464</v>
      </c>
      <c r="N35" s="253">
        <f t="shared" si="3"/>
        <v>43026191</v>
      </c>
      <c r="O35" s="253">
        <f>SUBTOTAL(9,O26:O34)</f>
        <v>106402837</v>
      </c>
      <c r="P35" s="253">
        <f>SUBTOTAL(9,P26:P34)</f>
        <v>313274385</v>
      </c>
      <c r="Q35" s="253">
        <f>SUBTOTAL(9,Q26:Q34)</f>
        <v>184432228</v>
      </c>
      <c r="R35" s="254"/>
    </row>
    <row r="36" spans="1:18" s="257" customFormat="1" ht="15" customHeight="1" outlineLevel="1">
      <c r="A36" s="256"/>
      <c r="B36" s="289"/>
      <c r="D36" s="261"/>
      <c r="E36" s="262"/>
      <c r="G36" s="260"/>
      <c r="H36" s="271"/>
      <c r="I36" s="272"/>
      <c r="J36" s="272"/>
      <c r="K36" s="321"/>
      <c r="L36" s="321"/>
      <c r="M36" s="321"/>
      <c r="N36" s="322"/>
      <c r="O36" s="322"/>
      <c r="P36" s="272"/>
      <c r="Q36" s="272"/>
      <c r="R36" s="254"/>
    </row>
    <row r="37" spans="1:18" s="209" customFormat="1" ht="15.75" outlineLevel="1">
      <c r="A37" s="256"/>
      <c r="B37" s="289"/>
      <c r="C37" s="257"/>
      <c r="D37" s="261"/>
      <c r="E37" s="262"/>
      <c r="F37" s="257"/>
      <c r="G37" s="260"/>
      <c r="H37" s="274" t="s">
        <v>180</v>
      </c>
      <c r="I37" s="272"/>
      <c r="J37" s="272"/>
      <c r="K37" s="321"/>
      <c r="L37" s="321"/>
      <c r="M37" s="321"/>
      <c r="N37" s="322"/>
      <c r="O37" s="322"/>
      <c r="P37" s="272"/>
      <c r="Q37" s="272"/>
      <c r="R37" s="254"/>
    </row>
    <row r="38" spans="1:18" s="209" customFormat="1" ht="15" customHeight="1" outlineLevel="2">
      <c r="A38" s="239">
        <v>33125</v>
      </c>
      <c r="B38" s="288" t="s">
        <v>5</v>
      </c>
      <c r="C38" s="211" t="s">
        <v>253</v>
      </c>
      <c r="D38" s="224" t="s">
        <v>7</v>
      </c>
      <c r="E38" s="224" t="s">
        <v>659</v>
      </c>
      <c r="F38" s="211" t="s">
        <v>457</v>
      </c>
      <c r="G38" s="225">
        <v>30482794</v>
      </c>
      <c r="H38" s="232" t="s">
        <v>959</v>
      </c>
      <c r="I38" s="248">
        <v>59825457</v>
      </c>
      <c r="J38" s="226">
        <v>42020437</v>
      </c>
      <c r="K38" s="325">
        <v>0</v>
      </c>
      <c r="L38" s="325">
        <v>0</v>
      </c>
      <c r="M38" s="238">
        <v>17805020</v>
      </c>
      <c r="N38" s="234">
        <v>0</v>
      </c>
      <c r="O38" s="234">
        <v>0</v>
      </c>
      <c r="P38" s="226">
        <f>K38+L38+M38+N38+O38</f>
        <v>17805020</v>
      </c>
      <c r="Q38" s="237">
        <f>I38-(J38+P38)</f>
        <v>0</v>
      </c>
      <c r="R38" s="211" t="s">
        <v>460</v>
      </c>
    </row>
    <row r="39" spans="1:18" s="209" customFormat="1" ht="15" customHeight="1" outlineLevel="2">
      <c r="A39" s="239">
        <v>33125</v>
      </c>
      <c r="B39" s="288" t="s">
        <v>5</v>
      </c>
      <c r="C39" s="211" t="s">
        <v>253</v>
      </c>
      <c r="D39" s="224" t="s">
        <v>7</v>
      </c>
      <c r="E39" s="224" t="s">
        <v>659</v>
      </c>
      <c r="F39" s="211" t="s">
        <v>457</v>
      </c>
      <c r="G39" s="225">
        <v>30355425</v>
      </c>
      <c r="H39" s="224" t="s">
        <v>594</v>
      </c>
      <c r="I39" s="248">
        <v>24977520</v>
      </c>
      <c r="J39" s="226">
        <v>8766656</v>
      </c>
      <c r="K39" s="325">
        <v>0</v>
      </c>
      <c r="L39" s="325">
        <v>0</v>
      </c>
      <c r="M39" s="325">
        <v>0</v>
      </c>
      <c r="N39" s="234">
        <v>0</v>
      </c>
      <c r="O39" s="234">
        <v>0</v>
      </c>
      <c r="P39" s="226">
        <f>K39+L39+M39+N39+O39</f>
        <v>0</v>
      </c>
      <c r="Q39" s="237">
        <f>I39-(J39+P39)</f>
        <v>16210864</v>
      </c>
      <c r="R39" s="211" t="s">
        <v>239</v>
      </c>
    </row>
    <row r="40" spans="1:18" s="209" customFormat="1" ht="15" customHeight="1" outlineLevel="2">
      <c r="A40" s="239">
        <v>33125</v>
      </c>
      <c r="B40" s="288" t="s">
        <v>5</v>
      </c>
      <c r="C40" s="211" t="s">
        <v>251</v>
      </c>
      <c r="D40" s="224" t="s">
        <v>7</v>
      </c>
      <c r="E40" s="224" t="s">
        <v>659</v>
      </c>
      <c r="F40" s="211" t="s">
        <v>457</v>
      </c>
      <c r="G40" s="225">
        <v>30458526</v>
      </c>
      <c r="H40" s="224" t="s">
        <v>958</v>
      </c>
      <c r="I40" s="248">
        <v>69856176</v>
      </c>
      <c r="J40" s="226">
        <v>35354429</v>
      </c>
      <c r="K40" s="325">
        <v>0</v>
      </c>
      <c r="L40" s="325">
        <v>0</v>
      </c>
      <c r="M40" s="325">
        <v>0</v>
      </c>
      <c r="N40" s="234">
        <v>0</v>
      </c>
      <c r="O40" s="234">
        <v>0</v>
      </c>
      <c r="P40" s="226">
        <f>K40+L40+M40+N40+O40</f>
        <v>0</v>
      </c>
      <c r="Q40" s="237">
        <f>I40-(J40+P40)</f>
        <v>34501747</v>
      </c>
      <c r="R40" s="211" t="s">
        <v>239</v>
      </c>
    </row>
    <row r="41" spans="1:18" s="209" customFormat="1" ht="15" customHeight="1" outlineLevel="2">
      <c r="A41" s="239">
        <v>33125</v>
      </c>
      <c r="B41" s="288" t="s">
        <v>5</v>
      </c>
      <c r="C41" s="211" t="s">
        <v>251</v>
      </c>
      <c r="D41" s="224" t="s">
        <v>7</v>
      </c>
      <c r="E41" s="224" t="s">
        <v>659</v>
      </c>
      <c r="F41" s="211" t="s">
        <v>457</v>
      </c>
      <c r="G41" s="225">
        <v>30486915</v>
      </c>
      <c r="H41" s="224" t="s">
        <v>605</v>
      </c>
      <c r="I41" s="248">
        <v>49995970</v>
      </c>
      <c r="J41" s="226">
        <v>0</v>
      </c>
      <c r="K41" s="325">
        <v>0</v>
      </c>
      <c r="L41" s="325">
        <v>0</v>
      </c>
      <c r="M41" s="325">
        <v>0</v>
      </c>
      <c r="N41" s="226">
        <v>30452916</v>
      </c>
      <c r="O41" s="234">
        <v>4509663</v>
      </c>
      <c r="P41" s="226">
        <f>K41+L41+M41+N41+O41</f>
        <v>34962579</v>
      </c>
      <c r="Q41" s="237">
        <f>I41-(J41+P41)</f>
        <v>15033391</v>
      </c>
      <c r="R41" s="211" t="s">
        <v>239</v>
      </c>
    </row>
    <row r="42" spans="1:18" s="209" customFormat="1" ht="15" customHeight="1" outlineLevel="2">
      <c r="A42" s="239">
        <v>33125</v>
      </c>
      <c r="B42" s="288" t="s">
        <v>5</v>
      </c>
      <c r="C42" s="211" t="s">
        <v>251</v>
      </c>
      <c r="D42" s="224" t="s">
        <v>7</v>
      </c>
      <c r="E42" s="224" t="s">
        <v>659</v>
      </c>
      <c r="F42" s="211" t="s">
        <v>457</v>
      </c>
      <c r="G42" s="225">
        <v>30486919</v>
      </c>
      <c r="H42" s="224" t="s">
        <v>618</v>
      </c>
      <c r="I42" s="248">
        <v>89985214</v>
      </c>
      <c r="J42" s="226">
        <v>0</v>
      </c>
      <c r="K42" s="325">
        <v>0</v>
      </c>
      <c r="L42" s="325">
        <v>0</v>
      </c>
      <c r="M42" s="325">
        <v>0</v>
      </c>
      <c r="N42" s="226">
        <v>46068428</v>
      </c>
      <c r="O42" s="234">
        <v>16905076</v>
      </c>
      <c r="P42" s="226">
        <f>K42+L42+M42+N42+O42</f>
        <v>62973504</v>
      </c>
      <c r="Q42" s="237">
        <f>I42-(J42+P42)</f>
        <v>27011710</v>
      </c>
      <c r="R42" s="211" t="s">
        <v>239</v>
      </c>
    </row>
    <row r="43" spans="1:18" s="209" customFormat="1" ht="15" customHeight="1" outlineLevel="2">
      <c r="A43" s="239">
        <v>33125</v>
      </c>
      <c r="B43" s="288" t="s">
        <v>5</v>
      </c>
      <c r="C43" s="211" t="s">
        <v>251</v>
      </c>
      <c r="D43" s="224" t="s">
        <v>7</v>
      </c>
      <c r="E43" s="224" t="s">
        <v>659</v>
      </c>
      <c r="F43" s="211" t="s">
        <v>457</v>
      </c>
      <c r="G43" s="225">
        <v>30488548</v>
      </c>
      <c r="H43" s="224" t="s">
        <v>615</v>
      </c>
      <c r="I43" s="248">
        <v>59348813</v>
      </c>
      <c r="J43" s="226">
        <v>0</v>
      </c>
      <c r="K43" s="325">
        <v>0</v>
      </c>
      <c r="L43" s="325">
        <v>0</v>
      </c>
      <c r="M43" s="325">
        <v>0</v>
      </c>
      <c r="N43" s="226">
        <v>9703577</v>
      </c>
      <c r="O43" s="234">
        <v>11008526</v>
      </c>
      <c r="P43" s="226">
        <f>K43+L43+M43+N43+O43</f>
        <v>20712103</v>
      </c>
      <c r="Q43" s="237">
        <f>I43-(J43+P43)</f>
        <v>38636710</v>
      </c>
      <c r="R43" s="211" t="s">
        <v>239</v>
      </c>
    </row>
    <row r="44" spans="1:18" s="209" customFormat="1" ht="15" customHeight="1" outlineLevel="1">
      <c r="A44" s="256"/>
      <c r="B44" s="289"/>
      <c r="C44" s="257"/>
      <c r="D44" s="261"/>
      <c r="E44" s="262"/>
      <c r="F44" s="257"/>
      <c r="G44" s="260"/>
      <c r="H44" s="252" t="s">
        <v>989</v>
      </c>
      <c r="I44" s="253">
        <f>SUBTOTAL(9,I38:I43)</f>
        <v>353989150</v>
      </c>
      <c r="J44" s="253">
        <f>SUBTOTAL(9,J38:J43)</f>
        <v>86141522</v>
      </c>
      <c r="K44" s="253">
        <f t="shared" ref="K44:N44" si="4">SUBTOTAL(9,K38:K43)</f>
        <v>0</v>
      </c>
      <c r="L44" s="253">
        <f t="shared" si="4"/>
        <v>0</v>
      </c>
      <c r="M44" s="253">
        <f t="shared" si="4"/>
        <v>17805020</v>
      </c>
      <c r="N44" s="253">
        <f t="shared" si="4"/>
        <v>86224921</v>
      </c>
      <c r="O44" s="253">
        <f>SUBTOTAL(9,O38:O43)</f>
        <v>32423265</v>
      </c>
      <c r="P44" s="253">
        <f>SUBTOTAL(9,P38:P43)</f>
        <v>136453206</v>
      </c>
      <c r="Q44" s="253">
        <f>SUBTOTAL(9,Q38:Q43)</f>
        <v>131394422</v>
      </c>
      <c r="R44" s="254"/>
    </row>
    <row r="45" spans="1:18" s="257" customFormat="1" ht="15" customHeight="1" outlineLevel="1">
      <c r="A45" s="256"/>
      <c r="B45" s="289"/>
      <c r="D45" s="261"/>
      <c r="E45" s="262"/>
      <c r="G45" s="260"/>
      <c r="H45" s="271"/>
      <c r="I45" s="272"/>
      <c r="J45" s="272"/>
      <c r="K45" s="321"/>
      <c r="L45" s="321"/>
      <c r="M45" s="321"/>
      <c r="N45" s="322"/>
      <c r="O45" s="322"/>
      <c r="P45" s="272"/>
      <c r="Q45" s="272"/>
      <c r="R45" s="254"/>
    </row>
    <row r="46" spans="1:18" s="209" customFormat="1" ht="15.75" outlineLevel="1">
      <c r="A46" s="256"/>
      <c r="B46" s="289"/>
      <c r="C46" s="257"/>
      <c r="D46" s="261"/>
      <c r="E46" s="262"/>
      <c r="F46" s="257"/>
      <c r="G46" s="260"/>
      <c r="H46" s="274" t="s">
        <v>181</v>
      </c>
      <c r="I46" s="272"/>
      <c r="J46" s="272"/>
      <c r="K46" s="321"/>
      <c r="L46" s="321"/>
      <c r="M46" s="321"/>
      <c r="N46" s="322"/>
      <c r="O46" s="322"/>
      <c r="P46" s="272"/>
      <c r="Q46" s="272"/>
      <c r="R46" s="254"/>
    </row>
    <row r="47" spans="1:18" s="209" customFormat="1" ht="15" customHeight="1" outlineLevel="2">
      <c r="A47" s="239">
        <v>33125</v>
      </c>
      <c r="B47" s="288" t="s">
        <v>5</v>
      </c>
      <c r="C47" s="211" t="s">
        <v>241</v>
      </c>
      <c r="D47" s="224" t="s">
        <v>7</v>
      </c>
      <c r="E47" s="224" t="s">
        <v>254</v>
      </c>
      <c r="F47" s="211" t="s">
        <v>457</v>
      </c>
      <c r="G47" s="225">
        <v>30483456</v>
      </c>
      <c r="H47" s="232" t="s">
        <v>960</v>
      </c>
      <c r="I47" s="248">
        <v>70137535</v>
      </c>
      <c r="J47" s="227">
        <v>58501338</v>
      </c>
      <c r="K47" s="325">
        <v>0</v>
      </c>
      <c r="L47" s="325">
        <v>0</v>
      </c>
      <c r="M47" s="325">
        <v>0</v>
      </c>
      <c r="N47" s="234">
        <v>0</v>
      </c>
      <c r="O47" s="234">
        <v>0</v>
      </c>
      <c r="P47" s="226">
        <f>K47+L47+M47+N47+O47</f>
        <v>0</v>
      </c>
      <c r="Q47" s="237">
        <f>I47-(J47+P47)</f>
        <v>11636197</v>
      </c>
      <c r="R47" s="211" t="s">
        <v>239</v>
      </c>
    </row>
    <row r="48" spans="1:18" s="209" customFormat="1" ht="15" customHeight="1" outlineLevel="2">
      <c r="A48" s="239">
        <v>33125</v>
      </c>
      <c r="B48" s="288" t="s">
        <v>5</v>
      </c>
      <c r="C48" s="211" t="s">
        <v>241</v>
      </c>
      <c r="D48" s="224" t="s">
        <v>7</v>
      </c>
      <c r="E48" s="224" t="s">
        <v>254</v>
      </c>
      <c r="F48" s="211" t="s">
        <v>457</v>
      </c>
      <c r="G48" s="225">
        <v>30483458</v>
      </c>
      <c r="H48" s="232" t="s">
        <v>961</v>
      </c>
      <c r="I48" s="248">
        <v>65083727</v>
      </c>
      <c r="J48" s="227">
        <v>46045660</v>
      </c>
      <c r="K48" s="325">
        <v>0</v>
      </c>
      <c r="L48" s="325">
        <v>0</v>
      </c>
      <c r="M48" s="325">
        <v>0</v>
      </c>
      <c r="N48" s="234">
        <v>0</v>
      </c>
      <c r="O48" s="234">
        <v>0</v>
      </c>
      <c r="P48" s="226">
        <f>K48+L48+M48+N48+O48</f>
        <v>0</v>
      </c>
      <c r="Q48" s="237">
        <f>I48-(J48+P48)</f>
        <v>19038067</v>
      </c>
      <c r="R48" s="211" t="s">
        <v>239</v>
      </c>
    </row>
    <row r="49" spans="1:18" s="209" customFormat="1" ht="15" customHeight="1" outlineLevel="2">
      <c r="A49" s="239">
        <v>33125</v>
      </c>
      <c r="B49" s="288" t="s">
        <v>5</v>
      </c>
      <c r="C49" s="211" t="s">
        <v>241</v>
      </c>
      <c r="D49" s="224" t="s">
        <v>7</v>
      </c>
      <c r="E49" s="224" t="s">
        <v>254</v>
      </c>
      <c r="F49" s="211" t="s">
        <v>457</v>
      </c>
      <c r="G49" s="225">
        <v>30488936</v>
      </c>
      <c r="H49" s="224" t="s">
        <v>962</v>
      </c>
      <c r="I49" s="248">
        <v>59503190</v>
      </c>
      <c r="J49" s="240">
        <v>0</v>
      </c>
      <c r="K49" s="325">
        <v>0</v>
      </c>
      <c r="L49" s="325">
        <v>0</v>
      </c>
      <c r="M49" s="325">
        <v>0</v>
      </c>
      <c r="N49" s="226">
        <v>9062879</v>
      </c>
      <c r="O49" s="234">
        <v>14154413</v>
      </c>
      <c r="P49" s="226">
        <f>K49+L49+M49+N49+O49</f>
        <v>23217292</v>
      </c>
      <c r="Q49" s="237">
        <f>I49-(J49+P49)</f>
        <v>36285898</v>
      </c>
      <c r="R49" s="211" t="s">
        <v>239</v>
      </c>
    </row>
    <row r="50" spans="1:18" s="209" customFormat="1" ht="15" customHeight="1" outlineLevel="2">
      <c r="A50" s="239">
        <v>33125</v>
      </c>
      <c r="B50" s="288" t="s">
        <v>5</v>
      </c>
      <c r="C50" s="211" t="s">
        <v>251</v>
      </c>
      <c r="D50" s="224" t="s">
        <v>7</v>
      </c>
      <c r="E50" s="224" t="s">
        <v>254</v>
      </c>
      <c r="F50" s="211" t="s">
        <v>457</v>
      </c>
      <c r="G50" s="225">
        <v>40000444</v>
      </c>
      <c r="H50" s="224" t="s">
        <v>963</v>
      </c>
      <c r="I50" s="248">
        <v>80052405</v>
      </c>
      <c r="J50" s="240">
        <v>0</v>
      </c>
      <c r="K50" s="325">
        <v>0</v>
      </c>
      <c r="L50" s="325">
        <v>0</v>
      </c>
      <c r="M50" s="238">
        <v>21887089</v>
      </c>
      <c r="N50" s="226">
        <v>11832366</v>
      </c>
      <c r="O50" s="234">
        <v>17840160</v>
      </c>
      <c r="P50" s="226">
        <f>K50+L50+M50+N50+O50</f>
        <v>51559615</v>
      </c>
      <c r="Q50" s="237">
        <f>I50-(J50+P50)</f>
        <v>28492790</v>
      </c>
      <c r="R50" s="211" t="s">
        <v>239</v>
      </c>
    </row>
    <row r="51" spans="1:18" s="209" customFormat="1" ht="15" customHeight="1" outlineLevel="1">
      <c r="A51" s="256"/>
      <c r="B51" s="289"/>
      <c r="C51" s="257"/>
      <c r="D51" s="261"/>
      <c r="E51" s="262"/>
      <c r="F51" s="257"/>
      <c r="G51" s="260"/>
      <c r="H51" s="252" t="s">
        <v>182</v>
      </c>
      <c r="I51" s="253">
        <f>SUBTOTAL(9,I47:I50)</f>
        <v>274776857</v>
      </c>
      <c r="J51" s="253">
        <f>SUBTOTAL(9,J47:J50)</f>
        <v>104546998</v>
      </c>
      <c r="K51" s="253">
        <f t="shared" ref="K51:N51" si="5">SUBTOTAL(9,K47:K50)</f>
        <v>0</v>
      </c>
      <c r="L51" s="253">
        <f t="shared" si="5"/>
        <v>0</v>
      </c>
      <c r="M51" s="253">
        <f t="shared" si="5"/>
        <v>21887089</v>
      </c>
      <c r="N51" s="253">
        <f t="shared" si="5"/>
        <v>20895245</v>
      </c>
      <c r="O51" s="253">
        <f>SUBTOTAL(9,O47:O50)</f>
        <v>31994573</v>
      </c>
      <c r="P51" s="253">
        <f>SUBTOTAL(9,P47:P50)</f>
        <v>74776907</v>
      </c>
      <c r="Q51" s="253">
        <f>SUBTOTAL(9,Q47:Q50)</f>
        <v>95452952</v>
      </c>
      <c r="R51" s="254"/>
    </row>
    <row r="52" spans="1:18" s="257" customFormat="1" ht="15" customHeight="1" outlineLevel="1">
      <c r="A52" s="256"/>
      <c r="B52" s="289"/>
      <c r="D52" s="261"/>
      <c r="E52" s="262"/>
      <c r="G52" s="260"/>
      <c r="H52" s="271"/>
      <c r="I52" s="272"/>
      <c r="J52" s="272"/>
      <c r="K52" s="321"/>
      <c r="L52" s="321"/>
      <c r="M52" s="321"/>
      <c r="N52" s="322"/>
      <c r="O52" s="322"/>
      <c r="P52" s="272"/>
      <c r="Q52" s="272"/>
      <c r="R52" s="254"/>
    </row>
    <row r="53" spans="1:18" s="209" customFormat="1" ht="15.75" outlineLevel="1">
      <c r="A53" s="256"/>
      <c r="B53" s="289"/>
      <c r="C53" s="257"/>
      <c r="D53" s="261"/>
      <c r="E53" s="262"/>
      <c r="F53" s="257"/>
      <c r="G53" s="260"/>
      <c r="H53" s="274" t="s">
        <v>183</v>
      </c>
      <c r="I53" s="272"/>
      <c r="J53" s="272"/>
      <c r="K53" s="321"/>
      <c r="L53" s="321"/>
      <c r="M53" s="321"/>
      <c r="N53" s="322"/>
      <c r="O53" s="322"/>
      <c r="P53" s="272"/>
      <c r="Q53" s="272"/>
      <c r="R53" s="254"/>
    </row>
    <row r="54" spans="1:18" s="209" customFormat="1" ht="15" customHeight="1" outlineLevel="2">
      <c r="A54" s="239">
        <v>33125</v>
      </c>
      <c r="B54" s="288" t="s">
        <v>5</v>
      </c>
      <c r="C54" s="211" t="s">
        <v>241</v>
      </c>
      <c r="D54" s="224" t="s">
        <v>7</v>
      </c>
      <c r="E54" s="224" t="s">
        <v>19</v>
      </c>
      <c r="F54" s="211" t="s">
        <v>457</v>
      </c>
      <c r="G54" s="225">
        <v>30487372</v>
      </c>
      <c r="H54" s="224" t="s">
        <v>620</v>
      </c>
      <c r="I54" s="248">
        <v>42500003</v>
      </c>
      <c r="J54" s="226">
        <v>0</v>
      </c>
      <c r="K54" s="325">
        <v>0</v>
      </c>
      <c r="L54" s="238">
        <v>30586670</v>
      </c>
      <c r="M54" s="238">
        <v>9235834</v>
      </c>
      <c r="N54" s="228">
        <v>2677499</v>
      </c>
      <c r="O54" s="234">
        <v>0</v>
      </c>
      <c r="P54" s="226">
        <f>K54+L54+M54+N54+O54</f>
        <v>42500003</v>
      </c>
      <c r="Q54" s="237">
        <f>I54-(J54+P54)</f>
        <v>0</v>
      </c>
      <c r="R54" s="211" t="s">
        <v>460</v>
      </c>
    </row>
    <row r="55" spans="1:18" s="209" customFormat="1" ht="15" customHeight="1" outlineLevel="2">
      <c r="A55" s="239">
        <v>33125</v>
      </c>
      <c r="B55" s="288" t="s">
        <v>5</v>
      </c>
      <c r="C55" s="211" t="s">
        <v>311</v>
      </c>
      <c r="D55" s="224" t="s">
        <v>7</v>
      </c>
      <c r="E55" s="224" t="s">
        <v>19</v>
      </c>
      <c r="F55" s="211" t="s">
        <v>457</v>
      </c>
      <c r="G55" s="225">
        <v>40000186</v>
      </c>
      <c r="H55" s="224" t="s">
        <v>964</v>
      </c>
      <c r="I55" s="248">
        <v>83235978</v>
      </c>
      <c r="J55" s="226">
        <v>0</v>
      </c>
      <c r="K55" s="325">
        <v>0</v>
      </c>
      <c r="L55" s="325">
        <v>0</v>
      </c>
      <c r="M55" s="238">
        <v>27214449</v>
      </c>
      <c r="N55" s="228">
        <v>56021529</v>
      </c>
      <c r="O55" s="234">
        <v>0</v>
      </c>
      <c r="P55" s="226">
        <f>K55+L55+M55+N55+O55</f>
        <v>83235978</v>
      </c>
      <c r="Q55" s="237">
        <f>I55-(J55+P55)</f>
        <v>0</v>
      </c>
      <c r="R55" s="211" t="s">
        <v>460</v>
      </c>
    </row>
    <row r="56" spans="1:18" s="209" customFormat="1" ht="15" customHeight="1" outlineLevel="2">
      <c r="A56" s="239">
        <v>33125</v>
      </c>
      <c r="B56" s="288" t="s">
        <v>5</v>
      </c>
      <c r="C56" s="211" t="s">
        <v>251</v>
      </c>
      <c r="D56" s="224" t="s">
        <v>7</v>
      </c>
      <c r="E56" s="224" t="s">
        <v>19</v>
      </c>
      <c r="F56" s="211" t="s">
        <v>457</v>
      </c>
      <c r="G56" s="225">
        <v>40000188</v>
      </c>
      <c r="H56" s="224" t="s">
        <v>965</v>
      </c>
      <c r="I56" s="248">
        <v>58155014</v>
      </c>
      <c r="J56" s="226">
        <v>0</v>
      </c>
      <c r="K56" s="325">
        <v>0</v>
      </c>
      <c r="L56" s="238">
        <v>40901520</v>
      </c>
      <c r="M56" s="238">
        <v>14293370</v>
      </c>
      <c r="N56" s="228">
        <v>2960124</v>
      </c>
      <c r="O56" s="234">
        <v>0</v>
      </c>
      <c r="P56" s="226">
        <f>K56+L56+M56+N56+O56</f>
        <v>58155014</v>
      </c>
      <c r="Q56" s="237">
        <f>I56-(J56+P56)</f>
        <v>0</v>
      </c>
      <c r="R56" s="211" t="s">
        <v>460</v>
      </c>
    </row>
    <row r="57" spans="1:18" s="209" customFormat="1" ht="15" customHeight="1" outlineLevel="2">
      <c r="A57" s="239">
        <v>33125</v>
      </c>
      <c r="B57" s="288" t="s">
        <v>5</v>
      </c>
      <c r="C57" s="211" t="s">
        <v>251</v>
      </c>
      <c r="D57" s="224" t="s">
        <v>7</v>
      </c>
      <c r="E57" s="224" t="s">
        <v>19</v>
      </c>
      <c r="F57" s="211" t="s">
        <v>457</v>
      </c>
      <c r="G57" s="225">
        <v>30487371</v>
      </c>
      <c r="H57" s="224" t="s">
        <v>601</v>
      </c>
      <c r="I57" s="248">
        <v>88828884</v>
      </c>
      <c r="J57" s="226">
        <v>0</v>
      </c>
      <c r="K57" s="325">
        <v>0</v>
      </c>
      <c r="L57" s="238">
        <v>39845514</v>
      </c>
      <c r="M57" s="238">
        <v>18111800</v>
      </c>
      <c r="N57" s="234">
        <v>0</v>
      </c>
      <c r="O57" s="234">
        <v>0</v>
      </c>
      <c r="P57" s="226">
        <f>K57+L57+M57+N57+O57</f>
        <v>57957314</v>
      </c>
      <c r="Q57" s="237">
        <f>I57-(J57+P57)</f>
        <v>30871570</v>
      </c>
      <c r="R57" s="211" t="s">
        <v>239</v>
      </c>
    </row>
    <row r="58" spans="1:18" s="209" customFormat="1" ht="15" customHeight="1" outlineLevel="1">
      <c r="A58" s="256"/>
      <c r="B58" s="289"/>
      <c r="C58" s="257"/>
      <c r="D58" s="261"/>
      <c r="E58" s="262"/>
      <c r="F58" s="257"/>
      <c r="G58" s="260"/>
      <c r="H58" s="252" t="s">
        <v>153</v>
      </c>
      <c r="I58" s="253">
        <f>SUBTOTAL(9,I54:I57)</f>
        <v>272719879</v>
      </c>
      <c r="J58" s="253">
        <f>SUBTOTAL(9,J54:J57)</f>
        <v>0</v>
      </c>
      <c r="K58" s="253">
        <f t="shared" ref="K58:N58" si="6">SUBTOTAL(9,K54:K57)</f>
        <v>0</v>
      </c>
      <c r="L58" s="253">
        <f t="shared" si="6"/>
        <v>111333704</v>
      </c>
      <c r="M58" s="253">
        <f t="shared" si="6"/>
        <v>68855453</v>
      </c>
      <c r="N58" s="253">
        <f t="shared" si="6"/>
        <v>61659152</v>
      </c>
      <c r="O58" s="253">
        <f>SUBTOTAL(9,O54:O57)</f>
        <v>0</v>
      </c>
      <c r="P58" s="253">
        <f>SUBTOTAL(9,P54:P57)</f>
        <v>241848309</v>
      </c>
      <c r="Q58" s="253">
        <f>SUBTOTAL(9,Q54:Q57)</f>
        <v>30871570</v>
      </c>
      <c r="R58" s="254"/>
    </row>
    <row r="59" spans="1:18" s="257" customFormat="1" ht="15" customHeight="1" outlineLevel="1">
      <c r="A59" s="256"/>
      <c r="B59" s="289"/>
      <c r="D59" s="261"/>
      <c r="E59" s="262"/>
      <c r="G59" s="260"/>
      <c r="H59" s="271"/>
      <c r="I59" s="272"/>
      <c r="J59" s="272"/>
      <c r="K59" s="321"/>
      <c r="L59" s="321"/>
      <c r="M59" s="321"/>
      <c r="N59" s="323"/>
      <c r="O59" s="323"/>
      <c r="P59" s="272"/>
      <c r="Q59" s="272"/>
      <c r="R59" s="254"/>
    </row>
    <row r="60" spans="1:18" s="209" customFormat="1" ht="15" customHeight="1" outlineLevel="1">
      <c r="A60" s="256"/>
      <c r="B60" s="289"/>
      <c r="C60" s="257"/>
      <c r="D60" s="261"/>
      <c r="E60" s="262"/>
      <c r="F60" s="257"/>
      <c r="G60" s="260"/>
      <c r="H60" s="269" t="s">
        <v>186</v>
      </c>
      <c r="I60" s="270">
        <f t="shared" ref="I60:Q60" si="7">I58+I51+I44+I35+I23+I15+I6</f>
        <v>2433011126</v>
      </c>
      <c r="J60" s="270">
        <f t="shared" si="7"/>
        <v>620450372</v>
      </c>
      <c r="K60" s="270">
        <f t="shared" si="7"/>
        <v>31077847</v>
      </c>
      <c r="L60" s="270">
        <f t="shared" si="7"/>
        <v>252592897</v>
      </c>
      <c r="M60" s="270">
        <f t="shared" si="7"/>
        <v>386662130</v>
      </c>
      <c r="N60" s="270">
        <f t="shared" si="7"/>
        <v>233715991</v>
      </c>
      <c r="O60" s="270">
        <f t="shared" si="7"/>
        <v>339847220</v>
      </c>
      <c r="P60" s="270">
        <f t="shared" si="7"/>
        <v>1243896085</v>
      </c>
      <c r="Q60" s="270">
        <f t="shared" si="7"/>
        <v>568664669</v>
      </c>
      <c r="R60" s="254"/>
    </row>
    <row r="61" spans="1:18" s="257" customFormat="1" ht="15" customHeight="1" outlineLevel="1">
      <c r="A61" s="256"/>
      <c r="B61" s="289"/>
      <c r="D61" s="261"/>
      <c r="E61" s="262"/>
      <c r="G61" s="260"/>
      <c r="H61" s="271"/>
      <c r="I61" s="272"/>
      <c r="J61" s="272"/>
      <c r="K61" s="321"/>
      <c r="L61" s="321"/>
      <c r="M61" s="321"/>
      <c r="N61" s="323"/>
      <c r="O61" s="323"/>
      <c r="P61" s="272"/>
      <c r="Q61" s="272"/>
      <c r="R61" s="254"/>
    </row>
    <row r="62" spans="1:18" s="209" customFormat="1" ht="15.75" outlineLevel="1">
      <c r="A62" s="256"/>
      <c r="B62" s="289"/>
      <c r="C62" s="257"/>
      <c r="D62" s="261"/>
      <c r="E62" s="262"/>
      <c r="F62" s="257"/>
      <c r="G62" s="260"/>
      <c r="H62" s="274" t="s">
        <v>188</v>
      </c>
      <c r="I62" s="272"/>
      <c r="J62" s="272"/>
      <c r="K62" s="321"/>
      <c r="L62" s="321"/>
      <c r="M62" s="321"/>
      <c r="N62" s="322"/>
      <c r="O62" s="322"/>
      <c r="P62" s="272"/>
      <c r="Q62" s="272"/>
      <c r="R62" s="254"/>
    </row>
    <row r="63" spans="1:18" s="209" customFormat="1" ht="15" customHeight="1" outlineLevel="2">
      <c r="A63" s="239">
        <v>33125</v>
      </c>
      <c r="B63" s="288" t="s">
        <v>5</v>
      </c>
      <c r="C63" s="211" t="s">
        <v>241</v>
      </c>
      <c r="D63" s="224" t="s">
        <v>22</v>
      </c>
      <c r="E63" s="224" t="s">
        <v>24</v>
      </c>
      <c r="F63" s="211" t="s">
        <v>457</v>
      </c>
      <c r="G63" s="230">
        <v>30354931</v>
      </c>
      <c r="H63" s="231" t="s">
        <v>903</v>
      </c>
      <c r="I63" s="248">
        <v>91999614</v>
      </c>
      <c r="J63" s="226">
        <v>0</v>
      </c>
      <c r="K63" s="325">
        <v>0</v>
      </c>
      <c r="L63" s="325">
        <v>0</v>
      </c>
      <c r="M63" s="325">
        <v>0</v>
      </c>
      <c r="N63" s="228">
        <v>27593101</v>
      </c>
      <c r="O63" s="234">
        <v>30286024</v>
      </c>
      <c r="P63" s="226">
        <f>K63+L63+M63+N63+O63</f>
        <v>57879125</v>
      </c>
      <c r="Q63" s="237">
        <f>I63-(J63+P63)</f>
        <v>34120489</v>
      </c>
      <c r="R63" s="211" t="s">
        <v>239</v>
      </c>
    </row>
    <row r="64" spans="1:18" s="209" customFormat="1" ht="15" customHeight="1" outlineLevel="2">
      <c r="A64" s="239">
        <v>33125</v>
      </c>
      <c r="B64" s="288" t="s">
        <v>5</v>
      </c>
      <c r="C64" s="211" t="s">
        <v>867</v>
      </c>
      <c r="D64" s="224" t="s">
        <v>22</v>
      </c>
      <c r="E64" s="224" t="s">
        <v>24</v>
      </c>
      <c r="F64" s="211" t="s">
        <v>457</v>
      </c>
      <c r="G64" s="230">
        <v>30473784</v>
      </c>
      <c r="H64" s="231" t="s">
        <v>904</v>
      </c>
      <c r="I64" s="248">
        <v>66999880</v>
      </c>
      <c r="J64" s="226">
        <v>54620268</v>
      </c>
      <c r="K64" s="325">
        <v>0</v>
      </c>
      <c r="L64" s="325">
        <v>0</v>
      </c>
      <c r="M64" s="325">
        <v>0</v>
      </c>
      <c r="N64" s="234">
        <v>0</v>
      </c>
      <c r="O64" s="234">
        <v>12379532</v>
      </c>
      <c r="P64" s="226">
        <f>K64+L64+M64+N64+O64</f>
        <v>12379532</v>
      </c>
      <c r="Q64" s="237">
        <f>I64-(J64+P64)</f>
        <v>80</v>
      </c>
      <c r="R64" s="211" t="s">
        <v>460</v>
      </c>
    </row>
    <row r="65" spans="1:18" s="209" customFormat="1" ht="15" customHeight="1" outlineLevel="2">
      <c r="A65" s="239">
        <v>33125</v>
      </c>
      <c r="B65" s="288" t="s">
        <v>5</v>
      </c>
      <c r="C65" s="211" t="s">
        <v>253</v>
      </c>
      <c r="D65" s="224" t="s">
        <v>22</v>
      </c>
      <c r="E65" s="224" t="s">
        <v>24</v>
      </c>
      <c r="F65" s="211" t="s">
        <v>457</v>
      </c>
      <c r="G65" s="230">
        <v>30483059</v>
      </c>
      <c r="H65" s="232" t="s">
        <v>621</v>
      </c>
      <c r="I65" s="248">
        <v>47999199</v>
      </c>
      <c r="J65" s="226">
        <v>38393300</v>
      </c>
      <c r="K65" s="325">
        <v>0</v>
      </c>
      <c r="L65" s="325">
        <v>0</v>
      </c>
      <c r="M65" s="325">
        <v>0</v>
      </c>
      <c r="N65" s="234">
        <v>0</v>
      </c>
      <c r="O65" s="234">
        <v>9605899</v>
      </c>
      <c r="P65" s="226">
        <f>K65+L65+M65+N65+O65</f>
        <v>9605899</v>
      </c>
      <c r="Q65" s="237">
        <f>I65-(J65+P65)</f>
        <v>0</v>
      </c>
      <c r="R65" s="211" t="s">
        <v>460</v>
      </c>
    </row>
    <row r="66" spans="1:18" s="209" customFormat="1" ht="15" customHeight="1" outlineLevel="2">
      <c r="A66" s="239">
        <v>33125</v>
      </c>
      <c r="B66" s="288" t="s">
        <v>5</v>
      </c>
      <c r="C66" s="211" t="s">
        <v>241</v>
      </c>
      <c r="D66" s="224" t="s">
        <v>22</v>
      </c>
      <c r="E66" s="224" t="s">
        <v>24</v>
      </c>
      <c r="F66" s="211" t="s">
        <v>457</v>
      </c>
      <c r="G66" s="230">
        <v>30483065</v>
      </c>
      <c r="H66" s="231" t="s">
        <v>905</v>
      </c>
      <c r="I66" s="248">
        <v>24956014</v>
      </c>
      <c r="J66" s="226">
        <v>23707245</v>
      </c>
      <c r="K66" s="325">
        <v>0</v>
      </c>
      <c r="L66" s="325">
        <v>0</v>
      </c>
      <c r="M66" s="325">
        <v>0</v>
      </c>
      <c r="N66" s="234">
        <v>0</v>
      </c>
      <c r="O66" s="234">
        <v>0</v>
      </c>
      <c r="P66" s="226">
        <f>K66+L66+M66+N66+O66</f>
        <v>0</v>
      </c>
      <c r="Q66" s="237">
        <f>I66-(J66+P66)</f>
        <v>1248769</v>
      </c>
      <c r="R66" s="211" t="s">
        <v>239</v>
      </c>
    </row>
    <row r="67" spans="1:18" s="209" customFormat="1" ht="15" customHeight="1" outlineLevel="2">
      <c r="A67" s="239">
        <v>33125</v>
      </c>
      <c r="B67" s="288" t="s">
        <v>5</v>
      </c>
      <c r="C67" s="211" t="s">
        <v>251</v>
      </c>
      <c r="D67" s="224" t="s">
        <v>22</v>
      </c>
      <c r="E67" s="224" t="s">
        <v>24</v>
      </c>
      <c r="F67" s="211" t="s">
        <v>457</v>
      </c>
      <c r="G67" s="230">
        <v>30488060</v>
      </c>
      <c r="H67" s="231" t="s">
        <v>906</v>
      </c>
      <c r="I67" s="248">
        <v>92000000</v>
      </c>
      <c r="J67" s="226">
        <v>47628027</v>
      </c>
      <c r="K67" s="325">
        <v>0</v>
      </c>
      <c r="L67" s="238">
        <v>18106248</v>
      </c>
      <c r="M67" s="325">
        <v>0</v>
      </c>
      <c r="N67" s="228">
        <v>21805560</v>
      </c>
      <c r="O67" s="234">
        <v>0</v>
      </c>
      <c r="P67" s="226">
        <f>K67+L67+M67+N67+O67</f>
        <v>39911808</v>
      </c>
      <c r="Q67" s="237">
        <f>I67-(J67+P67)</f>
        <v>4460165</v>
      </c>
      <c r="R67" s="211" t="s">
        <v>239</v>
      </c>
    </row>
    <row r="68" spans="1:18" s="209" customFormat="1" ht="15" customHeight="1" outlineLevel="2">
      <c r="A68" s="239">
        <v>33125</v>
      </c>
      <c r="B68" s="288" t="s">
        <v>5</v>
      </c>
      <c r="C68" s="211" t="s">
        <v>867</v>
      </c>
      <c r="D68" s="224" t="s">
        <v>22</v>
      </c>
      <c r="E68" s="224" t="s">
        <v>24</v>
      </c>
      <c r="F68" s="211" t="s">
        <v>457</v>
      </c>
      <c r="G68" s="230">
        <v>30488083</v>
      </c>
      <c r="H68" s="231" t="s">
        <v>602</v>
      </c>
      <c r="I68" s="248">
        <v>49000000</v>
      </c>
      <c r="J68" s="226">
        <v>31192456</v>
      </c>
      <c r="K68" s="325">
        <v>0</v>
      </c>
      <c r="L68" s="238">
        <v>6232572</v>
      </c>
      <c r="M68" s="238">
        <v>995758</v>
      </c>
      <c r="N68" s="228">
        <f>1518999+1800000</f>
        <v>3318999</v>
      </c>
      <c r="O68" s="234">
        <v>2350000</v>
      </c>
      <c r="P68" s="226">
        <f>K68+L68+M68+N68+O68</f>
        <v>12897329</v>
      </c>
      <c r="Q68" s="237">
        <f>I68-(J68+P68)</f>
        <v>4910215</v>
      </c>
      <c r="R68" s="211" t="s">
        <v>239</v>
      </c>
    </row>
    <row r="69" spans="1:18" s="209" customFormat="1" ht="15" customHeight="1" outlineLevel="2">
      <c r="A69" s="239">
        <v>33125</v>
      </c>
      <c r="B69" s="288" t="s">
        <v>5</v>
      </c>
      <c r="C69" s="211" t="s">
        <v>251</v>
      </c>
      <c r="D69" s="224" t="s">
        <v>22</v>
      </c>
      <c r="E69" s="224" t="s">
        <v>24</v>
      </c>
      <c r="F69" s="211" t="s">
        <v>457</v>
      </c>
      <c r="G69" s="230">
        <v>40000578</v>
      </c>
      <c r="H69" s="231" t="s">
        <v>907</v>
      </c>
      <c r="I69" s="248">
        <v>69225776</v>
      </c>
      <c r="J69" s="226">
        <v>0</v>
      </c>
      <c r="K69" s="325">
        <v>0</v>
      </c>
      <c r="L69" s="325">
        <v>0</v>
      </c>
      <c r="M69" s="238">
        <v>8551999</v>
      </c>
      <c r="N69" s="228">
        <v>22515554</v>
      </c>
      <c r="O69" s="234">
        <v>0</v>
      </c>
      <c r="P69" s="226">
        <f>K69+L69+M69+N69+O69</f>
        <v>31067553</v>
      </c>
      <c r="Q69" s="237">
        <f>I69-(J69+P69)</f>
        <v>38158223</v>
      </c>
      <c r="R69" s="211" t="s">
        <v>239</v>
      </c>
    </row>
    <row r="70" spans="1:18" s="209" customFormat="1" ht="15" customHeight="1" outlineLevel="1">
      <c r="A70" s="256"/>
      <c r="B70" s="289"/>
      <c r="C70" s="257"/>
      <c r="D70" s="261"/>
      <c r="E70" s="262"/>
      <c r="F70" s="257"/>
      <c r="G70" s="263"/>
      <c r="H70" s="252" t="s">
        <v>155</v>
      </c>
      <c r="I70" s="253">
        <f>SUBTOTAL(9,I63:I69)</f>
        <v>442180483</v>
      </c>
      <c r="J70" s="253">
        <f>SUBTOTAL(9,J63:J69)</f>
        <v>195541296</v>
      </c>
      <c r="K70" s="253">
        <f t="shared" ref="K70:N70" si="8">SUBTOTAL(9,K63:K69)</f>
        <v>0</v>
      </c>
      <c r="L70" s="253">
        <f t="shared" si="8"/>
        <v>24338820</v>
      </c>
      <c r="M70" s="253">
        <f t="shared" si="8"/>
        <v>9547757</v>
      </c>
      <c r="N70" s="253">
        <f t="shared" si="8"/>
        <v>75233214</v>
      </c>
      <c r="O70" s="253">
        <f>SUBTOTAL(9,O63:O69)</f>
        <v>54621455</v>
      </c>
      <c r="P70" s="253">
        <f>SUBTOTAL(9,P63:P69)</f>
        <v>163741246</v>
      </c>
      <c r="Q70" s="253">
        <f>SUBTOTAL(9,Q63:Q69)</f>
        <v>82897941</v>
      </c>
      <c r="R70" s="254"/>
    </row>
    <row r="71" spans="1:18" s="257" customFormat="1" ht="15" customHeight="1" outlineLevel="1">
      <c r="A71" s="256"/>
      <c r="B71" s="289"/>
      <c r="D71" s="261"/>
      <c r="E71" s="262"/>
      <c r="G71" s="263"/>
      <c r="H71" s="271"/>
      <c r="I71" s="272"/>
      <c r="J71" s="272"/>
      <c r="K71" s="321"/>
      <c r="L71" s="321"/>
      <c r="M71" s="321"/>
      <c r="N71" s="323"/>
      <c r="O71" s="323"/>
      <c r="P71" s="272"/>
      <c r="Q71" s="272"/>
      <c r="R71" s="254"/>
    </row>
    <row r="72" spans="1:18" s="209" customFormat="1" ht="15.75" outlineLevel="1">
      <c r="A72" s="256"/>
      <c r="B72" s="289"/>
      <c r="C72" s="257"/>
      <c r="D72" s="261"/>
      <c r="E72" s="262"/>
      <c r="F72" s="257"/>
      <c r="G72" s="260"/>
      <c r="H72" s="274" t="s">
        <v>189</v>
      </c>
      <c r="I72" s="272"/>
      <c r="J72" s="272"/>
      <c r="K72" s="321"/>
      <c r="L72" s="321"/>
      <c r="M72" s="321"/>
      <c r="N72" s="322"/>
      <c r="O72" s="322"/>
      <c r="P72" s="272"/>
      <c r="Q72" s="272"/>
      <c r="R72" s="254"/>
    </row>
    <row r="73" spans="1:18" s="209" customFormat="1" ht="15" customHeight="1" outlineLevel="2">
      <c r="A73" s="239">
        <v>33125</v>
      </c>
      <c r="B73" s="288" t="s">
        <v>5</v>
      </c>
      <c r="C73" s="211" t="s">
        <v>251</v>
      </c>
      <c r="D73" s="224" t="s">
        <v>22</v>
      </c>
      <c r="E73" s="224" t="s">
        <v>25</v>
      </c>
      <c r="F73" s="211" t="s">
        <v>457</v>
      </c>
      <c r="G73" s="225">
        <v>30345822</v>
      </c>
      <c r="H73" s="224" t="s">
        <v>908</v>
      </c>
      <c r="I73" s="248">
        <v>57807070</v>
      </c>
      <c r="J73" s="226">
        <v>54721648</v>
      </c>
      <c r="K73" s="325">
        <v>0</v>
      </c>
      <c r="L73" s="325">
        <v>0</v>
      </c>
      <c r="M73" s="325">
        <v>0</v>
      </c>
      <c r="N73" s="234">
        <v>0</v>
      </c>
      <c r="O73" s="234">
        <v>0</v>
      </c>
      <c r="P73" s="226">
        <f>K73+L73+M73+N73+O73</f>
        <v>0</v>
      </c>
      <c r="Q73" s="237">
        <f>I73-(J73+P73)</f>
        <v>3085422</v>
      </c>
      <c r="R73" s="211" t="s">
        <v>239</v>
      </c>
    </row>
    <row r="74" spans="1:18" s="209" customFormat="1" ht="15" customHeight="1" outlineLevel="2">
      <c r="A74" s="239">
        <v>33125</v>
      </c>
      <c r="B74" s="288" t="s">
        <v>5</v>
      </c>
      <c r="C74" s="211" t="s">
        <v>251</v>
      </c>
      <c r="D74" s="224" t="s">
        <v>22</v>
      </c>
      <c r="E74" s="224" t="s">
        <v>25</v>
      </c>
      <c r="F74" s="211" t="s">
        <v>457</v>
      </c>
      <c r="G74" s="225">
        <v>30362425</v>
      </c>
      <c r="H74" s="224" t="s">
        <v>909</v>
      </c>
      <c r="I74" s="248">
        <v>54000000</v>
      </c>
      <c r="J74" s="226">
        <v>52044140</v>
      </c>
      <c r="K74" s="325">
        <v>0</v>
      </c>
      <c r="L74" s="325">
        <v>0</v>
      </c>
      <c r="M74" s="325">
        <v>0</v>
      </c>
      <c r="N74" s="234">
        <v>0</v>
      </c>
      <c r="O74" s="234">
        <v>0</v>
      </c>
      <c r="P74" s="226">
        <f>K74+L74+M74+N74+O74</f>
        <v>0</v>
      </c>
      <c r="Q74" s="237">
        <f>I74-(J74+P74)</f>
        <v>1955860</v>
      </c>
      <c r="R74" s="211" t="s">
        <v>239</v>
      </c>
    </row>
    <row r="75" spans="1:18" s="209" customFormat="1" ht="15" customHeight="1" outlineLevel="2">
      <c r="A75" s="239">
        <v>33125</v>
      </c>
      <c r="B75" s="288" t="s">
        <v>5</v>
      </c>
      <c r="C75" s="211" t="s">
        <v>251</v>
      </c>
      <c r="D75" s="224" t="s">
        <v>22</v>
      </c>
      <c r="E75" s="224" t="s">
        <v>25</v>
      </c>
      <c r="F75" s="211" t="s">
        <v>457</v>
      </c>
      <c r="G75" s="225">
        <v>30379451</v>
      </c>
      <c r="H75" s="224" t="s">
        <v>910</v>
      </c>
      <c r="I75" s="248">
        <v>70000000</v>
      </c>
      <c r="J75" s="226">
        <v>33655578</v>
      </c>
      <c r="K75" s="325">
        <v>0</v>
      </c>
      <c r="L75" s="325">
        <v>0</v>
      </c>
      <c r="M75" s="325">
        <v>0</v>
      </c>
      <c r="N75" s="234">
        <v>0</v>
      </c>
      <c r="O75" s="234">
        <v>0</v>
      </c>
      <c r="P75" s="226">
        <f>K75+L75+M75+N75+O75</f>
        <v>0</v>
      </c>
      <c r="Q75" s="237">
        <f>I75-(J75+P75)</f>
        <v>36344422</v>
      </c>
      <c r="R75" s="211" t="s">
        <v>239</v>
      </c>
    </row>
    <row r="76" spans="1:18" s="209" customFormat="1" ht="15" customHeight="1" outlineLevel="2">
      <c r="A76" s="239">
        <v>33125</v>
      </c>
      <c r="B76" s="288" t="s">
        <v>5</v>
      </c>
      <c r="C76" s="211" t="s">
        <v>253</v>
      </c>
      <c r="D76" s="224" t="s">
        <v>22</v>
      </c>
      <c r="E76" s="224" t="s">
        <v>25</v>
      </c>
      <c r="F76" s="211" t="s">
        <v>457</v>
      </c>
      <c r="G76" s="225">
        <v>30379473</v>
      </c>
      <c r="H76" s="224" t="s">
        <v>911</v>
      </c>
      <c r="I76" s="248">
        <v>80000000</v>
      </c>
      <c r="J76" s="226">
        <v>69425062</v>
      </c>
      <c r="K76" s="325">
        <v>0</v>
      </c>
      <c r="L76" s="325">
        <v>0</v>
      </c>
      <c r="M76" s="325">
        <v>0</v>
      </c>
      <c r="N76" s="234">
        <v>0</v>
      </c>
      <c r="O76" s="234">
        <v>0</v>
      </c>
      <c r="P76" s="226">
        <f>K76+L76+M76+N76+O76</f>
        <v>0</v>
      </c>
      <c r="Q76" s="237">
        <f>I76-(J76+P76)</f>
        <v>10574938</v>
      </c>
      <c r="R76" s="211" t="s">
        <v>239</v>
      </c>
    </row>
    <row r="77" spans="1:18" s="212" customFormat="1" ht="15" customHeight="1" outlineLevel="2">
      <c r="A77" s="239">
        <v>33125</v>
      </c>
      <c r="B77" s="288" t="s">
        <v>5</v>
      </c>
      <c r="C77" s="213" t="s">
        <v>251</v>
      </c>
      <c r="D77" s="224" t="s">
        <v>22</v>
      </c>
      <c r="E77" s="224" t="s">
        <v>25</v>
      </c>
      <c r="F77" s="211" t="s">
        <v>457</v>
      </c>
      <c r="G77" s="225">
        <v>30436177</v>
      </c>
      <c r="H77" s="224" t="s">
        <v>912</v>
      </c>
      <c r="I77" s="248">
        <v>32000000</v>
      </c>
      <c r="J77" s="226">
        <v>27188187</v>
      </c>
      <c r="K77" s="325">
        <v>0</v>
      </c>
      <c r="L77" s="325">
        <v>0</v>
      </c>
      <c r="M77" s="325">
        <v>0</v>
      </c>
      <c r="N77" s="234">
        <v>0</v>
      </c>
      <c r="O77" s="234">
        <v>0</v>
      </c>
      <c r="P77" s="226">
        <f>K77+L77+M77+N77+O77</f>
        <v>0</v>
      </c>
      <c r="Q77" s="237">
        <f>I77-(J77+P77)</f>
        <v>4811813</v>
      </c>
      <c r="R77" s="211" t="s">
        <v>239</v>
      </c>
    </row>
    <row r="78" spans="1:18" s="212" customFormat="1" ht="15" customHeight="1" outlineLevel="2">
      <c r="A78" s="239">
        <v>33125</v>
      </c>
      <c r="B78" s="288" t="s">
        <v>5</v>
      </c>
      <c r="C78" s="213" t="s">
        <v>867</v>
      </c>
      <c r="D78" s="224" t="s">
        <v>22</v>
      </c>
      <c r="E78" s="224" t="s">
        <v>25</v>
      </c>
      <c r="F78" s="211" t="s">
        <v>457</v>
      </c>
      <c r="G78" s="225">
        <v>30439687</v>
      </c>
      <c r="H78" s="224" t="s">
        <v>913</v>
      </c>
      <c r="I78" s="248">
        <v>68000000</v>
      </c>
      <c r="J78" s="226">
        <v>54302878</v>
      </c>
      <c r="K78" s="325">
        <v>0</v>
      </c>
      <c r="L78" s="325">
        <v>0</v>
      </c>
      <c r="M78" s="325">
        <v>0</v>
      </c>
      <c r="N78" s="234">
        <v>0</v>
      </c>
      <c r="O78" s="234">
        <v>0</v>
      </c>
      <c r="P78" s="226">
        <f>K78+L78+M78+N78+O78</f>
        <v>0</v>
      </c>
      <c r="Q78" s="237">
        <f>I78-(J78+P78)</f>
        <v>13697122</v>
      </c>
      <c r="R78" s="211" t="s">
        <v>239</v>
      </c>
    </row>
    <row r="79" spans="1:18" s="212" customFormat="1" ht="15" customHeight="1" outlineLevel="1">
      <c r="A79" s="256"/>
      <c r="B79" s="289"/>
      <c r="C79" s="264"/>
      <c r="D79" s="261"/>
      <c r="E79" s="262"/>
      <c r="F79" s="257"/>
      <c r="G79" s="260"/>
      <c r="H79" s="252" t="s">
        <v>156</v>
      </c>
      <c r="I79" s="253">
        <f>SUBTOTAL(9,I73:I78)</f>
        <v>361807070</v>
      </c>
      <c r="J79" s="253">
        <f>SUBTOTAL(9,J73:J78)</f>
        <v>291337493</v>
      </c>
      <c r="K79" s="253">
        <f t="shared" ref="K79:N79" si="9">SUBTOTAL(9,K73:K78)</f>
        <v>0</v>
      </c>
      <c r="L79" s="253">
        <f t="shared" si="9"/>
        <v>0</v>
      </c>
      <c r="M79" s="253">
        <f t="shared" si="9"/>
        <v>0</v>
      </c>
      <c r="N79" s="253">
        <f t="shared" si="9"/>
        <v>0</v>
      </c>
      <c r="O79" s="253">
        <f>SUBTOTAL(9,O73:O78)</f>
        <v>0</v>
      </c>
      <c r="P79" s="253">
        <f>SUBTOTAL(9,P73:P78)</f>
        <v>0</v>
      </c>
      <c r="Q79" s="253">
        <f>SUBTOTAL(9,Q73:Q78)</f>
        <v>70469577</v>
      </c>
      <c r="R79" s="254"/>
    </row>
    <row r="80" spans="1:18" s="264" customFormat="1" ht="15" customHeight="1" outlineLevel="1">
      <c r="A80" s="256"/>
      <c r="B80" s="289"/>
      <c r="D80" s="261"/>
      <c r="E80" s="262"/>
      <c r="F80" s="257"/>
      <c r="G80" s="260"/>
      <c r="H80" s="271"/>
      <c r="I80" s="272"/>
      <c r="J80" s="272"/>
      <c r="K80" s="321"/>
      <c r="L80" s="321"/>
      <c r="M80" s="321"/>
      <c r="N80" s="322"/>
      <c r="O80" s="322"/>
      <c r="P80" s="272"/>
      <c r="Q80" s="272"/>
      <c r="R80" s="254"/>
    </row>
    <row r="81" spans="1:18" s="209" customFormat="1" ht="15.75" outlineLevel="1">
      <c r="A81" s="256"/>
      <c r="B81" s="289"/>
      <c r="C81" s="257"/>
      <c r="D81" s="261"/>
      <c r="E81" s="262"/>
      <c r="F81" s="257"/>
      <c r="G81" s="260"/>
      <c r="H81" s="274" t="s">
        <v>190</v>
      </c>
      <c r="I81" s="272"/>
      <c r="J81" s="272"/>
      <c r="K81" s="321"/>
      <c r="L81" s="321"/>
      <c r="M81" s="321"/>
      <c r="N81" s="322"/>
      <c r="O81" s="322"/>
      <c r="P81" s="272"/>
      <c r="Q81" s="272"/>
      <c r="R81" s="254"/>
    </row>
    <row r="82" spans="1:18" s="212" customFormat="1" ht="15" customHeight="1" outlineLevel="2">
      <c r="A82" s="239">
        <v>33125</v>
      </c>
      <c r="B82" s="288" t="s">
        <v>5</v>
      </c>
      <c r="C82" s="211" t="s">
        <v>253</v>
      </c>
      <c r="D82" s="224" t="s">
        <v>22</v>
      </c>
      <c r="E82" s="224" t="s">
        <v>26</v>
      </c>
      <c r="F82" s="211" t="s">
        <v>457</v>
      </c>
      <c r="G82" s="225">
        <v>30488540</v>
      </c>
      <c r="H82" s="224" t="s">
        <v>914</v>
      </c>
      <c r="I82" s="248">
        <v>69900223</v>
      </c>
      <c r="J82" s="227">
        <v>12039486</v>
      </c>
      <c r="K82" s="325">
        <v>0</v>
      </c>
      <c r="L82" s="238">
        <f>17985681+22169771</f>
        <v>40155452</v>
      </c>
      <c r="M82" s="325">
        <v>0</v>
      </c>
      <c r="N82" s="234">
        <v>0</v>
      </c>
      <c r="O82" s="234">
        <v>0</v>
      </c>
      <c r="P82" s="226">
        <f>K82+L82+M82+N82+O82</f>
        <v>40155452</v>
      </c>
      <c r="Q82" s="237">
        <f>I82-(J82+P82)</f>
        <v>17705285</v>
      </c>
      <c r="R82" s="211" t="s">
        <v>239</v>
      </c>
    </row>
    <row r="83" spans="1:18" s="212" customFormat="1" ht="15" customHeight="1" outlineLevel="2">
      <c r="A83" s="239">
        <v>33125</v>
      </c>
      <c r="B83" s="288" t="s">
        <v>5</v>
      </c>
      <c r="C83" s="213" t="s">
        <v>241</v>
      </c>
      <c r="D83" s="224" t="s">
        <v>22</v>
      </c>
      <c r="E83" s="224" t="s">
        <v>26</v>
      </c>
      <c r="F83" s="211" t="s">
        <v>457</v>
      </c>
      <c r="G83" s="225">
        <v>30488541</v>
      </c>
      <c r="H83" s="224" t="s">
        <v>915</v>
      </c>
      <c r="I83" s="248">
        <v>32467242</v>
      </c>
      <c r="J83" s="227">
        <v>10326565</v>
      </c>
      <c r="K83" s="325">
        <v>0</v>
      </c>
      <c r="L83" s="238">
        <v>13493609</v>
      </c>
      <c r="M83" s="325">
        <v>0</v>
      </c>
      <c r="N83" s="234">
        <v>0</v>
      </c>
      <c r="O83" s="234">
        <v>0</v>
      </c>
      <c r="P83" s="226">
        <f>K83+L83+M83+N83+O83</f>
        <v>13493609</v>
      </c>
      <c r="Q83" s="237">
        <f>I83-(J83+P83)</f>
        <v>8647068</v>
      </c>
      <c r="R83" s="211" t="s">
        <v>239</v>
      </c>
    </row>
    <row r="84" spans="1:18" s="212" customFormat="1" ht="15" customHeight="1" outlineLevel="2">
      <c r="A84" s="239">
        <v>33125</v>
      </c>
      <c r="B84" s="288" t="s">
        <v>5</v>
      </c>
      <c r="C84" s="211" t="s">
        <v>867</v>
      </c>
      <c r="D84" s="224" t="s">
        <v>22</v>
      </c>
      <c r="E84" s="224" t="s">
        <v>26</v>
      </c>
      <c r="F84" s="211" t="s">
        <v>457</v>
      </c>
      <c r="G84" s="225">
        <v>30488543</v>
      </c>
      <c r="H84" s="224" t="s">
        <v>916</v>
      </c>
      <c r="I84" s="248">
        <v>37499973</v>
      </c>
      <c r="J84" s="227">
        <v>8404891</v>
      </c>
      <c r="K84" s="325">
        <v>0</v>
      </c>
      <c r="L84" s="238">
        <f>9187393+10195147</f>
        <v>19382540</v>
      </c>
      <c r="M84" s="325">
        <v>0</v>
      </c>
      <c r="N84" s="234">
        <v>0</v>
      </c>
      <c r="O84" s="234">
        <v>0</v>
      </c>
      <c r="P84" s="226">
        <f>K84+L84+M84+N84+O84</f>
        <v>19382540</v>
      </c>
      <c r="Q84" s="237">
        <f>I84-(J84+P84)</f>
        <v>9712542</v>
      </c>
      <c r="R84" s="211" t="s">
        <v>239</v>
      </c>
    </row>
    <row r="85" spans="1:18" s="212" customFormat="1" ht="15" customHeight="1" outlineLevel="1">
      <c r="A85" s="256"/>
      <c r="B85" s="289"/>
      <c r="C85" s="257"/>
      <c r="D85" s="261"/>
      <c r="E85" s="262"/>
      <c r="F85" s="257"/>
      <c r="G85" s="260"/>
      <c r="H85" s="252" t="s">
        <v>157</v>
      </c>
      <c r="I85" s="253">
        <f>SUBTOTAL(9,I82:I84)</f>
        <v>139867438</v>
      </c>
      <c r="J85" s="253">
        <f>SUBTOTAL(9,J82:J84)</f>
        <v>30770942</v>
      </c>
      <c r="K85" s="253">
        <f t="shared" ref="K85:N85" si="10">SUBTOTAL(9,K82:K84)</f>
        <v>0</v>
      </c>
      <c r="L85" s="253">
        <f t="shared" si="10"/>
        <v>73031601</v>
      </c>
      <c r="M85" s="253">
        <f t="shared" si="10"/>
        <v>0</v>
      </c>
      <c r="N85" s="253">
        <f t="shared" si="10"/>
        <v>0</v>
      </c>
      <c r="O85" s="253">
        <f>SUBTOTAL(9,O82:O84)</f>
        <v>0</v>
      </c>
      <c r="P85" s="253">
        <f>SUBTOTAL(9,P82:P84)</f>
        <v>73031601</v>
      </c>
      <c r="Q85" s="253">
        <f>SUBTOTAL(9,Q82:Q84)</f>
        <v>36064895</v>
      </c>
      <c r="R85" s="254"/>
    </row>
    <row r="86" spans="1:18" s="264" customFormat="1" ht="15" customHeight="1" outlineLevel="1">
      <c r="A86" s="256"/>
      <c r="B86" s="289"/>
      <c r="C86" s="257"/>
      <c r="D86" s="261"/>
      <c r="E86" s="262"/>
      <c r="F86" s="257"/>
      <c r="G86" s="260"/>
      <c r="H86" s="271"/>
      <c r="I86" s="272"/>
      <c r="J86" s="272"/>
      <c r="K86" s="321"/>
      <c r="L86" s="321"/>
      <c r="M86" s="321"/>
      <c r="N86" s="322"/>
      <c r="O86" s="322"/>
      <c r="P86" s="272"/>
      <c r="Q86" s="272"/>
      <c r="R86" s="254"/>
    </row>
    <row r="87" spans="1:18" s="209" customFormat="1" ht="15.75" outlineLevel="1">
      <c r="A87" s="256"/>
      <c r="B87" s="289"/>
      <c r="C87" s="257"/>
      <c r="D87" s="261"/>
      <c r="E87" s="262"/>
      <c r="F87" s="257"/>
      <c r="G87" s="260"/>
      <c r="H87" s="274" t="s">
        <v>191</v>
      </c>
      <c r="I87" s="272"/>
      <c r="J87" s="272"/>
      <c r="K87" s="321"/>
      <c r="L87" s="321"/>
      <c r="M87" s="321"/>
      <c r="N87" s="322"/>
      <c r="O87" s="322"/>
      <c r="P87" s="272"/>
      <c r="Q87" s="272"/>
      <c r="R87" s="254"/>
    </row>
    <row r="88" spans="1:18" s="212" customFormat="1" ht="15" customHeight="1" outlineLevel="2">
      <c r="A88" s="239">
        <v>33125</v>
      </c>
      <c r="B88" s="288" t="s">
        <v>5</v>
      </c>
      <c r="C88" s="211" t="s">
        <v>251</v>
      </c>
      <c r="D88" s="224" t="s">
        <v>22</v>
      </c>
      <c r="E88" s="224" t="s">
        <v>27</v>
      </c>
      <c r="F88" s="211" t="s">
        <v>457</v>
      </c>
      <c r="G88" s="225">
        <v>30482629</v>
      </c>
      <c r="H88" s="231" t="s">
        <v>917</v>
      </c>
      <c r="I88" s="248">
        <v>92457386</v>
      </c>
      <c r="J88" s="226">
        <v>83345556</v>
      </c>
      <c r="K88" s="325">
        <v>0</v>
      </c>
      <c r="L88" s="325">
        <v>0</v>
      </c>
      <c r="M88" s="238">
        <v>9111830</v>
      </c>
      <c r="N88" s="234">
        <v>0</v>
      </c>
      <c r="O88" s="234">
        <v>0</v>
      </c>
      <c r="P88" s="226">
        <f>K88+L88+M88+N88+O88</f>
        <v>9111830</v>
      </c>
      <c r="Q88" s="237">
        <f>I88-(J88+P88)</f>
        <v>0</v>
      </c>
      <c r="R88" s="211" t="s">
        <v>460</v>
      </c>
    </row>
    <row r="89" spans="1:18" s="212" customFormat="1" ht="15" customHeight="1" outlineLevel="2">
      <c r="A89" s="239">
        <v>33125</v>
      </c>
      <c r="B89" s="288" t="s">
        <v>5</v>
      </c>
      <c r="C89" s="211" t="s">
        <v>251</v>
      </c>
      <c r="D89" s="224" t="s">
        <v>22</v>
      </c>
      <c r="E89" s="224" t="s">
        <v>27</v>
      </c>
      <c r="F89" s="211" t="s">
        <v>457</v>
      </c>
      <c r="G89" s="225">
        <v>30488064</v>
      </c>
      <c r="H89" s="224" t="s">
        <v>918</v>
      </c>
      <c r="I89" s="248">
        <v>92457858</v>
      </c>
      <c r="J89" s="226">
        <v>0</v>
      </c>
      <c r="K89" s="325">
        <v>0</v>
      </c>
      <c r="L89" s="238">
        <v>68103485</v>
      </c>
      <c r="M89" s="325">
        <v>0</v>
      </c>
      <c r="N89" s="226">
        <v>19503704</v>
      </c>
      <c r="O89" s="234">
        <v>0</v>
      </c>
      <c r="P89" s="226">
        <f>K89+L89+M89+N89+O89</f>
        <v>87607189</v>
      </c>
      <c r="Q89" s="237">
        <f>I89-(J89+P89)</f>
        <v>4850669</v>
      </c>
      <c r="R89" s="211" t="s">
        <v>239</v>
      </c>
    </row>
    <row r="90" spans="1:18" s="212" customFormat="1" ht="15" customHeight="1" outlineLevel="2">
      <c r="A90" s="239">
        <v>33125</v>
      </c>
      <c r="B90" s="288" t="s">
        <v>5</v>
      </c>
      <c r="C90" s="211" t="s">
        <v>867</v>
      </c>
      <c r="D90" s="224" t="s">
        <v>22</v>
      </c>
      <c r="E90" s="224" t="s">
        <v>27</v>
      </c>
      <c r="F90" s="211" t="s">
        <v>457</v>
      </c>
      <c r="G90" s="225">
        <v>30488065</v>
      </c>
      <c r="H90" s="224" t="s">
        <v>919</v>
      </c>
      <c r="I90" s="248">
        <v>46482471</v>
      </c>
      <c r="J90" s="226">
        <v>0</v>
      </c>
      <c r="K90" s="325">
        <v>0</v>
      </c>
      <c r="L90" s="325">
        <v>0</v>
      </c>
      <c r="M90" s="325">
        <v>0</v>
      </c>
      <c r="N90" s="226">
        <v>10942407</v>
      </c>
      <c r="O90" s="234">
        <v>32826864</v>
      </c>
      <c r="P90" s="226">
        <f>K90+L90+M90+N90+O90</f>
        <v>43769271</v>
      </c>
      <c r="Q90" s="237">
        <f>I90-(J90+P90)</f>
        <v>2713200</v>
      </c>
      <c r="R90" s="211" t="s">
        <v>239</v>
      </c>
    </row>
    <row r="91" spans="1:18" s="212" customFormat="1" ht="15" customHeight="1" outlineLevel="2">
      <c r="A91" s="239">
        <v>33125</v>
      </c>
      <c r="B91" s="288" t="s">
        <v>5</v>
      </c>
      <c r="C91" s="211" t="s">
        <v>251</v>
      </c>
      <c r="D91" s="224" t="s">
        <v>22</v>
      </c>
      <c r="E91" s="224" t="s">
        <v>27</v>
      </c>
      <c r="F91" s="211" t="s">
        <v>457</v>
      </c>
      <c r="G91" s="225">
        <v>40000003</v>
      </c>
      <c r="H91" s="224" t="s">
        <v>920</v>
      </c>
      <c r="I91" s="248">
        <v>70000000</v>
      </c>
      <c r="J91" s="226">
        <v>0</v>
      </c>
      <c r="K91" s="325">
        <v>0</v>
      </c>
      <c r="L91" s="325">
        <v>0</v>
      </c>
      <c r="M91" s="238">
        <v>34312555</v>
      </c>
      <c r="N91" s="226">
        <v>20523768</v>
      </c>
      <c r="O91" s="234">
        <v>11280200</v>
      </c>
      <c r="P91" s="226">
        <f>K91+L91+M91+N91+O91</f>
        <v>66116523</v>
      </c>
      <c r="Q91" s="237">
        <f>I91-(J91+P91)</f>
        <v>3883477</v>
      </c>
      <c r="R91" s="211" t="s">
        <v>239</v>
      </c>
    </row>
    <row r="92" spans="1:18" s="212" customFormat="1" ht="15" customHeight="1" outlineLevel="1">
      <c r="A92" s="256"/>
      <c r="B92" s="289"/>
      <c r="C92" s="257"/>
      <c r="D92" s="261"/>
      <c r="E92" s="262"/>
      <c r="F92" s="257"/>
      <c r="G92" s="260"/>
      <c r="H92" s="252" t="s">
        <v>158</v>
      </c>
      <c r="I92" s="253">
        <f>SUBTOTAL(9,I88:I91)</f>
        <v>301397715</v>
      </c>
      <c r="J92" s="253">
        <f>SUBTOTAL(9,J88:J91)</f>
        <v>83345556</v>
      </c>
      <c r="K92" s="253">
        <f t="shared" ref="K92:N92" si="11">SUBTOTAL(9,K88:K91)</f>
        <v>0</v>
      </c>
      <c r="L92" s="253">
        <f t="shared" si="11"/>
        <v>68103485</v>
      </c>
      <c r="M92" s="253">
        <f t="shared" si="11"/>
        <v>43424385</v>
      </c>
      <c r="N92" s="253">
        <f t="shared" si="11"/>
        <v>50969879</v>
      </c>
      <c r="O92" s="253">
        <f>SUBTOTAL(9,O88:O91)</f>
        <v>44107064</v>
      </c>
      <c r="P92" s="253">
        <f>SUBTOTAL(9,P88:P91)</f>
        <v>206604813</v>
      </c>
      <c r="Q92" s="253">
        <f>SUBTOTAL(9,Q88:Q91)</f>
        <v>11447346</v>
      </c>
      <c r="R92" s="254"/>
    </row>
    <row r="93" spans="1:18" s="264" customFormat="1" ht="15" customHeight="1" outlineLevel="1">
      <c r="A93" s="256"/>
      <c r="B93" s="289"/>
      <c r="C93" s="257"/>
      <c r="D93" s="261"/>
      <c r="E93" s="262"/>
      <c r="F93" s="257"/>
      <c r="G93" s="260"/>
      <c r="H93" s="271"/>
      <c r="I93" s="272"/>
      <c r="J93" s="272"/>
      <c r="K93" s="321"/>
      <c r="L93" s="321"/>
      <c r="M93" s="321"/>
      <c r="N93" s="322"/>
      <c r="O93" s="322"/>
      <c r="P93" s="272"/>
      <c r="Q93" s="272"/>
      <c r="R93" s="254"/>
    </row>
    <row r="94" spans="1:18" s="209" customFormat="1" ht="15.75" outlineLevel="1">
      <c r="A94" s="256"/>
      <c r="B94" s="289"/>
      <c r="C94" s="257"/>
      <c r="D94" s="261"/>
      <c r="E94" s="262"/>
      <c r="F94" s="257"/>
      <c r="G94" s="260"/>
      <c r="H94" s="274" t="s">
        <v>192</v>
      </c>
      <c r="I94" s="272"/>
      <c r="J94" s="272"/>
      <c r="K94" s="321"/>
      <c r="L94" s="321"/>
      <c r="M94" s="321"/>
      <c r="N94" s="322"/>
      <c r="O94" s="322"/>
      <c r="P94" s="272"/>
      <c r="Q94" s="272"/>
      <c r="R94" s="254"/>
    </row>
    <row r="95" spans="1:18" s="212" customFormat="1" ht="15" customHeight="1" outlineLevel="2">
      <c r="A95" s="239">
        <v>33125</v>
      </c>
      <c r="B95" s="288" t="s">
        <v>5</v>
      </c>
      <c r="C95" s="213" t="s">
        <v>311</v>
      </c>
      <c r="D95" s="233" t="s">
        <v>22</v>
      </c>
      <c r="E95" s="233" t="s">
        <v>22</v>
      </c>
      <c r="F95" s="211" t="s">
        <v>457</v>
      </c>
      <c r="G95" s="225">
        <v>30488311</v>
      </c>
      <c r="H95" s="233" t="s">
        <v>922</v>
      </c>
      <c r="I95" s="247">
        <v>33497786</v>
      </c>
      <c r="J95" s="234">
        <v>0</v>
      </c>
      <c r="K95" s="325">
        <v>0</v>
      </c>
      <c r="L95" s="325">
        <f>3724432+14290948</f>
        <v>18015380</v>
      </c>
      <c r="M95" s="325">
        <v>0</v>
      </c>
      <c r="N95" s="234">
        <v>0</v>
      </c>
      <c r="O95" s="234">
        <v>15482406</v>
      </c>
      <c r="P95" s="226">
        <f>K95+L95+M95+N95+O95</f>
        <v>33497786</v>
      </c>
      <c r="Q95" s="237">
        <f>I95-(J95+P95)</f>
        <v>0</v>
      </c>
      <c r="R95" s="211" t="s">
        <v>460</v>
      </c>
    </row>
    <row r="96" spans="1:18" s="212" customFormat="1" ht="15" customHeight="1" outlineLevel="2">
      <c r="A96" s="239">
        <v>33125</v>
      </c>
      <c r="B96" s="288" t="s">
        <v>5</v>
      </c>
      <c r="C96" s="211" t="s">
        <v>867</v>
      </c>
      <c r="D96" s="233" t="s">
        <v>22</v>
      </c>
      <c r="E96" s="233" t="s">
        <v>22</v>
      </c>
      <c r="F96" s="211" t="s">
        <v>457</v>
      </c>
      <c r="G96" s="225">
        <v>40000405</v>
      </c>
      <c r="H96" s="235" t="s">
        <v>924</v>
      </c>
      <c r="I96" s="247">
        <v>91999998</v>
      </c>
      <c r="J96" s="234">
        <v>0</v>
      </c>
      <c r="K96" s="325">
        <v>0</v>
      </c>
      <c r="L96" s="325">
        <v>0</v>
      </c>
      <c r="M96" s="325">
        <v>60775009</v>
      </c>
      <c r="N96" s="234">
        <v>31224989</v>
      </c>
      <c r="O96" s="234">
        <v>0</v>
      </c>
      <c r="P96" s="226">
        <f>K96+L96+M96+N96+O96</f>
        <v>91999998</v>
      </c>
      <c r="Q96" s="237">
        <f>I96-(J96+P96)</f>
        <v>0</v>
      </c>
      <c r="R96" s="211" t="s">
        <v>460</v>
      </c>
    </row>
    <row r="97" spans="1:18" s="212" customFormat="1" ht="15" customHeight="1" outlineLevel="2">
      <c r="A97" s="239">
        <v>33125</v>
      </c>
      <c r="B97" s="288" t="s">
        <v>5</v>
      </c>
      <c r="C97" s="213" t="s">
        <v>311</v>
      </c>
      <c r="D97" s="233" t="s">
        <v>22</v>
      </c>
      <c r="E97" s="233" t="s">
        <v>22</v>
      </c>
      <c r="F97" s="211" t="s">
        <v>457</v>
      </c>
      <c r="G97" s="225">
        <v>30488074</v>
      </c>
      <c r="H97" s="233" t="s">
        <v>921</v>
      </c>
      <c r="I97" s="247">
        <v>66000000</v>
      </c>
      <c r="J97" s="234">
        <v>0</v>
      </c>
      <c r="K97" s="325">
        <v>0</v>
      </c>
      <c r="L97" s="325">
        <f>15020976+16279565</f>
        <v>31300541</v>
      </c>
      <c r="M97" s="325">
        <v>25940248</v>
      </c>
      <c r="N97" s="234">
        <v>0</v>
      </c>
      <c r="O97" s="234">
        <v>0</v>
      </c>
      <c r="P97" s="226">
        <f>K97+L97+M97+N97+O97</f>
        <v>57240789</v>
      </c>
      <c r="Q97" s="237">
        <f>I97-(J97+P97)</f>
        <v>8759211</v>
      </c>
      <c r="R97" s="211" t="s">
        <v>239</v>
      </c>
    </row>
    <row r="98" spans="1:18" s="212" customFormat="1" ht="15" customHeight="1" outlineLevel="2">
      <c r="A98" s="239">
        <v>33125</v>
      </c>
      <c r="B98" s="288" t="s">
        <v>5</v>
      </c>
      <c r="C98" s="213" t="s">
        <v>253</v>
      </c>
      <c r="D98" s="233" t="s">
        <v>22</v>
      </c>
      <c r="E98" s="233" t="s">
        <v>22</v>
      </c>
      <c r="F98" s="211" t="s">
        <v>457</v>
      </c>
      <c r="G98" s="225">
        <v>30488314</v>
      </c>
      <c r="H98" s="233" t="s">
        <v>923</v>
      </c>
      <c r="I98" s="247">
        <v>39999147</v>
      </c>
      <c r="J98" s="234">
        <v>0</v>
      </c>
      <c r="K98" s="325">
        <v>0</v>
      </c>
      <c r="L98" s="325">
        <f>4979949+8142119</f>
        <v>13122068</v>
      </c>
      <c r="M98" s="325">
        <v>15841149</v>
      </c>
      <c r="N98" s="234">
        <v>0</v>
      </c>
      <c r="O98" s="234">
        <v>11035930</v>
      </c>
      <c r="P98" s="226">
        <f>K98+L98+M98+N98+O98</f>
        <v>39999147</v>
      </c>
      <c r="Q98" s="237">
        <f>I98-(J98+P98)</f>
        <v>0</v>
      </c>
      <c r="R98" s="211" t="s">
        <v>460</v>
      </c>
    </row>
    <row r="99" spans="1:18" s="212" customFormat="1" ht="15" customHeight="1" outlineLevel="1">
      <c r="A99" s="256"/>
      <c r="B99" s="289"/>
      <c r="C99" s="257"/>
      <c r="D99" s="258"/>
      <c r="E99" s="259"/>
      <c r="F99" s="257"/>
      <c r="G99" s="260"/>
      <c r="H99" s="252" t="s">
        <v>159</v>
      </c>
      <c r="I99" s="253">
        <f>SUBTOTAL(9,I95:I98)</f>
        <v>231496931</v>
      </c>
      <c r="J99" s="253">
        <f>SUBTOTAL(9,J95:J98)</f>
        <v>0</v>
      </c>
      <c r="K99" s="253">
        <f t="shared" ref="K99:N99" si="12">SUBTOTAL(9,K95:K98)</f>
        <v>0</v>
      </c>
      <c r="L99" s="253">
        <f t="shared" si="12"/>
        <v>62437989</v>
      </c>
      <c r="M99" s="253">
        <f t="shared" si="12"/>
        <v>102556406</v>
      </c>
      <c r="N99" s="253">
        <f t="shared" si="12"/>
        <v>31224989</v>
      </c>
      <c r="O99" s="253">
        <f>SUBTOTAL(9,O95:O98)</f>
        <v>26518336</v>
      </c>
      <c r="P99" s="253">
        <f>SUBTOTAL(9,P95:P98)</f>
        <v>222737720</v>
      </c>
      <c r="Q99" s="253">
        <f>SUBTOTAL(9,Q95:Q98)</f>
        <v>8759211</v>
      </c>
      <c r="R99" s="254"/>
    </row>
    <row r="100" spans="1:18" s="264" customFormat="1" ht="15" customHeight="1" outlineLevel="1">
      <c r="A100" s="256"/>
      <c r="B100" s="289"/>
      <c r="C100" s="257"/>
      <c r="D100" s="258"/>
      <c r="E100" s="259"/>
      <c r="F100" s="257"/>
      <c r="G100" s="260"/>
      <c r="H100" s="271"/>
      <c r="I100" s="272"/>
      <c r="J100" s="272"/>
      <c r="K100" s="319"/>
      <c r="L100" s="319"/>
      <c r="M100" s="319"/>
      <c r="N100" s="320"/>
      <c r="O100" s="320"/>
      <c r="P100" s="272"/>
      <c r="Q100" s="272"/>
      <c r="R100" s="254"/>
    </row>
    <row r="101" spans="1:18" s="209" customFormat="1" ht="15.75" outlineLevel="1">
      <c r="A101" s="256"/>
      <c r="B101" s="289"/>
      <c r="C101" s="257"/>
      <c r="D101" s="261"/>
      <c r="E101" s="262"/>
      <c r="F101" s="257"/>
      <c r="G101" s="260"/>
      <c r="H101" s="274" t="s">
        <v>193</v>
      </c>
      <c r="I101" s="272"/>
      <c r="J101" s="272"/>
      <c r="K101" s="321"/>
      <c r="L101" s="321"/>
      <c r="M101" s="321"/>
      <c r="N101" s="322"/>
      <c r="O101" s="322"/>
      <c r="P101" s="272"/>
      <c r="Q101" s="272"/>
      <c r="R101" s="254"/>
    </row>
    <row r="102" spans="1:18" s="212" customFormat="1" ht="15" customHeight="1" outlineLevel="2">
      <c r="A102" s="239">
        <v>33125</v>
      </c>
      <c r="B102" s="288" t="s">
        <v>5</v>
      </c>
      <c r="C102" s="211" t="s">
        <v>867</v>
      </c>
      <c r="D102" s="233" t="s">
        <v>22</v>
      </c>
      <c r="E102" s="233" t="s">
        <v>28</v>
      </c>
      <c r="F102" s="211" t="s">
        <v>457</v>
      </c>
      <c r="G102" s="225">
        <v>30488069</v>
      </c>
      <c r="H102" s="235" t="s">
        <v>587</v>
      </c>
      <c r="I102" s="247">
        <v>47999987</v>
      </c>
      <c r="J102" s="277">
        <v>0</v>
      </c>
      <c r="K102" s="325">
        <v>0</v>
      </c>
      <c r="L102" s="325">
        <f>14399081+14399459</f>
        <v>28798540</v>
      </c>
      <c r="M102" s="325">
        <v>0</v>
      </c>
      <c r="N102" s="234">
        <v>14486591</v>
      </c>
      <c r="O102" s="234">
        <v>4714856</v>
      </c>
      <c r="P102" s="226">
        <f>K102+L102+M102+N102+O102</f>
        <v>47999987</v>
      </c>
      <c r="Q102" s="237">
        <f>I102-(J102+P102)</f>
        <v>0</v>
      </c>
      <c r="R102" s="211" t="s">
        <v>460</v>
      </c>
    </row>
    <row r="103" spans="1:18" s="212" customFormat="1" ht="15" customHeight="1" outlineLevel="2">
      <c r="A103" s="239">
        <v>33125</v>
      </c>
      <c r="B103" s="288" t="s">
        <v>5</v>
      </c>
      <c r="C103" s="211" t="s">
        <v>253</v>
      </c>
      <c r="D103" s="233" t="s">
        <v>22</v>
      </c>
      <c r="E103" s="233" t="s">
        <v>28</v>
      </c>
      <c r="F103" s="211" t="s">
        <v>457</v>
      </c>
      <c r="G103" s="225">
        <v>30488110</v>
      </c>
      <c r="H103" s="235" t="s">
        <v>925</v>
      </c>
      <c r="I103" s="247">
        <v>91999596</v>
      </c>
      <c r="J103" s="277">
        <v>0</v>
      </c>
      <c r="K103" s="325">
        <v>0</v>
      </c>
      <c r="L103" s="325">
        <f>27602863+27602700</f>
        <v>55205563</v>
      </c>
      <c r="M103" s="325">
        <v>0</v>
      </c>
      <c r="N103" s="234">
        <v>27911772</v>
      </c>
      <c r="O103" s="234">
        <v>8882261</v>
      </c>
      <c r="P103" s="226">
        <f>K103+L103+M103+N103+O103</f>
        <v>91999596</v>
      </c>
      <c r="Q103" s="237">
        <f>I103-(J103+P103)</f>
        <v>0</v>
      </c>
      <c r="R103" s="211" t="s">
        <v>460</v>
      </c>
    </row>
    <row r="104" spans="1:18" s="212" customFormat="1" ht="15" customHeight="1" outlineLevel="1">
      <c r="A104" s="256"/>
      <c r="B104" s="289"/>
      <c r="C104" s="257"/>
      <c r="D104" s="258"/>
      <c r="E104" s="259"/>
      <c r="F104" s="257"/>
      <c r="G104" s="260"/>
      <c r="H104" s="252" t="s">
        <v>160</v>
      </c>
      <c r="I104" s="253">
        <f>SUBTOTAL(9,I102:I103)</f>
        <v>139999583</v>
      </c>
      <c r="J104" s="253">
        <f>SUBTOTAL(9,J102:J103)</f>
        <v>0</v>
      </c>
      <c r="K104" s="253">
        <f t="shared" ref="K104:N104" si="13">SUBTOTAL(9,K102:K103)</f>
        <v>0</v>
      </c>
      <c r="L104" s="253">
        <f t="shared" si="13"/>
        <v>84004103</v>
      </c>
      <c r="M104" s="253">
        <f t="shared" si="13"/>
        <v>0</v>
      </c>
      <c r="N104" s="253">
        <f t="shared" si="13"/>
        <v>42398363</v>
      </c>
      <c r="O104" s="253">
        <f>SUBTOTAL(9,O102:O103)</f>
        <v>13597117</v>
      </c>
      <c r="P104" s="253">
        <f>SUBTOTAL(9,P102:P103)</f>
        <v>139999583</v>
      </c>
      <c r="Q104" s="253">
        <f>SUBTOTAL(9,Q102:Q103)</f>
        <v>0</v>
      </c>
      <c r="R104" s="254"/>
    </row>
    <row r="105" spans="1:18" s="264" customFormat="1" ht="15" customHeight="1" outlineLevel="1">
      <c r="A105" s="256"/>
      <c r="B105" s="289"/>
      <c r="C105" s="257"/>
      <c r="D105" s="258"/>
      <c r="E105" s="259"/>
      <c r="F105" s="257"/>
      <c r="G105" s="260"/>
      <c r="H105" s="271"/>
      <c r="I105" s="272"/>
      <c r="J105" s="272"/>
      <c r="K105" s="319"/>
      <c r="L105" s="319"/>
      <c r="M105" s="319"/>
      <c r="N105" s="320"/>
      <c r="O105" s="320"/>
      <c r="P105" s="272"/>
      <c r="Q105" s="272"/>
      <c r="R105" s="254"/>
    </row>
    <row r="106" spans="1:18" s="209" customFormat="1" ht="15.75" outlineLevel="1">
      <c r="A106" s="256"/>
      <c r="B106" s="289"/>
      <c r="C106" s="257"/>
      <c r="D106" s="261"/>
      <c r="E106" s="262"/>
      <c r="F106" s="257"/>
      <c r="G106" s="260"/>
      <c r="H106" s="274" t="s">
        <v>194</v>
      </c>
      <c r="I106" s="272"/>
      <c r="J106" s="272"/>
      <c r="K106" s="321"/>
      <c r="L106" s="321"/>
      <c r="M106" s="321"/>
      <c r="N106" s="322"/>
      <c r="O106" s="322"/>
      <c r="P106" s="272"/>
      <c r="Q106" s="272"/>
      <c r="R106" s="254"/>
    </row>
    <row r="107" spans="1:18" s="212" customFormat="1" ht="15" customHeight="1" outlineLevel="2">
      <c r="A107" s="239">
        <v>33125</v>
      </c>
      <c r="B107" s="288" t="s">
        <v>5</v>
      </c>
      <c r="C107" s="211" t="s">
        <v>251</v>
      </c>
      <c r="D107" s="233" t="s">
        <v>22</v>
      </c>
      <c r="E107" s="233" t="s">
        <v>29</v>
      </c>
      <c r="F107" s="211" t="s">
        <v>457</v>
      </c>
      <c r="G107" s="225">
        <v>30482624</v>
      </c>
      <c r="H107" s="236" t="s">
        <v>926</v>
      </c>
      <c r="I107" s="247">
        <v>57321848</v>
      </c>
      <c r="J107" s="234">
        <v>38285900</v>
      </c>
      <c r="K107" s="325">
        <v>0</v>
      </c>
      <c r="L107" s="325">
        <v>0</v>
      </c>
      <c r="M107" s="325">
        <v>19035948</v>
      </c>
      <c r="N107" s="234">
        <v>0</v>
      </c>
      <c r="O107" s="234">
        <v>0</v>
      </c>
      <c r="P107" s="226">
        <f>K107+L107+M107+N107+O107</f>
        <v>19035948</v>
      </c>
      <c r="Q107" s="237">
        <f>I107-(J107+P107)</f>
        <v>0</v>
      </c>
      <c r="R107" s="211" t="s">
        <v>460</v>
      </c>
    </row>
    <row r="108" spans="1:18" s="209" customFormat="1" ht="15" customHeight="1" outlineLevel="2">
      <c r="A108" s="239">
        <v>33125</v>
      </c>
      <c r="B108" s="288" t="s">
        <v>5</v>
      </c>
      <c r="C108" s="211" t="s">
        <v>241</v>
      </c>
      <c r="D108" s="233" t="s">
        <v>22</v>
      </c>
      <c r="E108" s="233" t="s">
        <v>29</v>
      </c>
      <c r="F108" s="211" t="s">
        <v>457</v>
      </c>
      <c r="G108" s="225">
        <v>30484528</v>
      </c>
      <c r="H108" s="236" t="s">
        <v>927</v>
      </c>
      <c r="I108" s="247">
        <v>79994704</v>
      </c>
      <c r="J108" s="234">
        <v>0</v>
      </c>
      <c r="K108" s="325">
        <v>0</v>
      </c>
      <c r="L108" s="325">
        <v>0</v>
      </c>
      <c r="M108" s="325">
        <f>4225690+18896887</f>
        <v>23122577</v>
      </c>
      <c r="N108" s="234">
        <v>24039472</v>
      </c>
      <c r="O108" s="234">
        <v>14599201</v>
      </c>
      <c r="P108" s="226">
        <f>K108+L108+M108+N108+O108</f>
        <v>61761250</v>
      </c>
      <c r="Q108" s="237">
        <f>I108-(J108+P108)</f>
        <v>18233454</v>
      </c>
      <c r="R108" s="211" t="s">
        <v>239</v>
      </c>
    </row>
    <row r="109" spans="1:18" s="209" customFormat="1" ht="15" customHeight="1" outlineLevel="2">
      <c r="A109" s="239">
        <v>33125</v>
      </c>
      <c r="B109" s="288" t="s">
        <v>5</v>
      </c>
      <c r="C109" s="211" t="s">
        <v>251</v>
      </c>
      <c r="D109" s="233" t="s">
        <v>22</v>
      </c>
      <c r="E109" s="233" t="s">
        <v>29</v>
      </c>
      <c r="F109" s="211" t="s">
        <v>457</v>
      </c>
      <c r="G109" s="225">
        <v>30488542</v>
      </c>
      <c r="H109" s="235" t="s">
        <v>928</v>
      </c>
      <c r="I109" s="247">
        <v>46698173</v>
      </c>
      <c r="J109" s="234">
        <v>0</v>
      </c>
      <c r="K109" s="325">
        <v>0</v>
      </c>
      <c r="L109" s="325">
        <v>0</v>
      </c>
      <c r="M109" s="325">
        <v>0</v>
      </c>
      <c r="N109" s="237">
        <v>19255197</v>
      </c>
      <c r="O109" s="234">
        <v>0</v>
      </c>
      <c r="P109" s="226">
        <f>K109+L109+M109+N109+O109</f>
        <v>19255197</v>
      </c>
      <c r="Q109" s="237">
        <f>I109-(J109+P109)</f>
        <v>27442976</v>
      </c>
      <c r="R109" s="211" t="s">
        <v>239</v>
      </c>
    </row>
    <row r="110" spans="1:18" s="209" customFormat="1" ht="15" customHeight="1" outlineLevel="2">
      <c r="A110" s="239">
        <v>33125</v>
      </c>
      <c r="B110" s="288" t="s">
        <v>5</v>
      </c>
      <c r="C110" s="211" t="s">
        <v>253</v>
      </c>
      <c r="D110" s="233" t="s">
        <v>22</v>
      </c>
      <c r="E110" s="233" t="s">
        <v>29</v>
      </c>
      <c r="F110" s="211" t="s">
        <v>457</v>
      </c>
      <c r="G110" s="225">
        <v>30488659</v>
      </c>
      <c r="H110" s="235" t="s">
        <v>929</v>
      </c>
      <c r="I110" s="247">
        <v>27541077</v>
      </c>
      <c r="J110" s="234">
        <v>0</v>
      </c>
      <c r="K110" s="325">
        <v>0</v>
      </c>
      <c r="L110" s="325">
        <v>0</v>
      </c>
      <c r="M110" s="325">
        <v>21147300</v>
      </c>
      <c r="N110" s="234">
        <v>0</v>
      </c>
      <c r="O110" s="234">
        <v>0</v>
      </c>
      <c r="P110" s="226">
        <f>K110+L110+M110+N110+O110</f>
        <v>21147300</v>
      </c>
      <c r="Q110" s="237">
        <f>I110-(J110+P110)</f>
        <v>6393777</v>
      </c>
      <c r="R110" s="211" t="s">
        <v>239</v>
      </c>
    </row>
    <row r="111" spans="1:18" s="209" customFormat="1" ht="15" customHeight="1" outlineLevel="2">
      <c r="A111" s="239">
        <v>33125</v>
      </c>
      <c r="B111" s="288" t="s">
        <v>5</v>
      </c>
      <c r="C111" s="211" t="s">
        <v>867</v>
      </c>
      <c r="D111" s="233" t="s">
        <v>22</v>
      </c>
      <c r="E111" s="233" t="s">
        <v>29</v>
      </c>
      <c r="F111" s="211" t="s">
        <v>457</v>
      </c>
      <c r="G111" s="225">
        <v>30488660</v>
      </c>
      <c r="H111" s="235" t="s">
        <v>930</v>
      </c>
      <c r="I111" s="247">
        <v>65303152</v>
      </c>
      <c r="J111" s="234">
        <v>0</v>
      </c>
      <c r="K111" s="325">
        <v>0</v>
      </c>
      <c r="L111" s="325">
        <v>9480373</v>
      </c>
      <c r="M111" s="325">
        <v>0</v>
      </c>
      <c r="N111" s="234">
        <v>0</v>
      </c>
      <c r="O111" s="234">
        <v>0</v>
      </c>
      <c r="P111" s="226">
        <f>K111+L111+M111+N111+O111</f>
        <v>9480373</v>
      </c>
      <c r="Q111" s="237">
        <f>I111-(J111+P111)</f>
        <v>55822779</v>
      </c>
      <c r="R111" s="211" t="s">
        <v>239</v>
      </c>
    </row>
    <row r="112" spans="1:18" s="209" customFormat="1" ht="15" customHeight="1" outlineLevel="2">
      <c r="A112" s="239">
        <v>33125</v>
      </c>
      <c r="B112" s="288" t="s">
        <v>5</v>
      </c>
      <c r="C112" s="211" t="s">
        <v>253</v>
      </c>
      <c r="D112" s="233" t="s">
        <v>22</v>
      </c>
      <c r="E112" s="233" t="s">
        <v>29</v>
      </c>
      <c r="F112" s="211" t="s">
        <v>457</v>
      </c>
      <c r="G112" s="225">
        <v>30488918</v>
      </c>
      <c r="H112" s="236" t="s">
        <v>931</v>
      </c>
      <c r="I112" s="247">
        <v>59993000</v>
      </c>
      <c r="J112" s="234">
        <v>0</v>
      </c>
      <c r="K112" s="325">
        <v>0</v>
      </c>
      <c r="L112" s="325">
        <v>0</v>
      </c>
      <c r="M112" s="325">
        <v>6068088</v>
      </c>
      <c r="N112" s="234">
        <v>0</v>
      </c>
      <c r="O112" s="234">
        <v>33322106</v>
      </c>
      <c r="P112" s="226">
        <f>K112+L112+M112+N112+O112</f>
        <v>39390194</v>
      </c>
      <c r="Q112" s="237">
        <f>I112-(J112+P112)</f>
        <v>20602806</v>
      </c>
      <c r="R112" s="211" t="s">
        <v>239</v>
      </c>
    </row>
    <row r="113" spans="1:18" s="209" customFormat="1" ht="15" customHeight="1" outlineLevel="2">
      <c r="A113" s="239">
        <v>33125</v>
      </c>
      <c r="B113" s="288" t="s">
        <v>5</v>
      </c>
      <c r="C113" s="211" t="s">
        <v>253</v>
      </c>
      <c r="D113" s="233" t="s">
        <v>22</v>
      </c>
      <c r="E113" s="233" t="s">
        <v>29</v>
      </c>
      <c r="F113" s="211" t="s">
        <v>457</v>
      </c>
      <c r="G113" s="225">
        <v>30488929</v>
      </c>
      <c r="H113" s="236" t="s">
        <v>932</v>
      </c>
      <c r="I113" s="247">
        <v>39993000</v>
      </c>
      <c r="J113" s="234">
        <v>0</v>
      </c>
      <c r="K113" s="325">
        <v>0</v>
      </c>
      <c r="L113" s="325">
        <v>0</v>
      </c>
      <c r="M113" s="325">
        <v>12114285</v>
      </c>
      <c r="N113" s="234">
        <v>0</v>
      </c>
      <c r="O113" s="234">
        <v>21002952</v>
      </c>
      <c r="P113" s="226">
        <f>K113+L113+M113+N113+O113</f>
        <v>33117237</v>
      </c>
      <c r="Q113" s="237">
        <f>I113-(J113+P113)</f>
        <v>6875763</v>
      </c>
      <c r="R113" s="211" t="s">
        <v>239</v>
      </c>
    </row>
    <row r="114" spans="1:18" s="209" customFormat="1" ht="15" customHeight="1" outlineLevel="1">
      <c r="A114" s="256"/>
      <c r="B114" s="289"/>
      <c r="C114" s="257"/>
      <c r="D114" s="258"/>
      <c r="E114" s="259"/>
      <c r="F114" s="257"/>
      <c r="G114" s="260"/>
      <c r="H114" s="252" t="s">
        <v>161</v>
      </c>
      <c r="I114" s="253">
        <f>SUBTOTAL(9,I107:I113)</f>
        <v>376844954</v>
      </c>
      <c r="J114" s="253">
        <f>SUBTOTAL(9,J107:J113)</f>
        <v>38285900</v>
      </c>
      <c r="K114" s="253">
        <f t="shared" ref="K114:N114" si="14">SUBTOTAL(9,K107:K113)</f>
        <v>0</v>
      </c>
      <c r="L114" s="253">
        <f t="shared" si="14"/>
        <v>9480373</v>
      </c>
      <c r="M114" s="253">
        <f t="shared" si="14"/>
        <v>81488198</v>
      </c>
      <c r="N114" s="253">
        <f t="shared" si="14"/>
        <v>43294669</v>
      </c>
      <c r="O114" s="253">
        <f>SUBTOTAL(9,O107:O113)</f>
        <v>68924259</v>
      </c>
      <c r="P114" s="253">
        <f>SUBTOTAL(9,P107:P113)</f>
        <v>203187499</v>
      </c>
      <c r="Q114" s="253">
        <f>SUBTOTAL(9,Q107:Q113)</f>
        <v>135371555</v>
      </c>
      <c r="R114" s="254"/>
    </row>
    <row r="115" spans="1:18" s="257" customFormat="1" ht="15" customHeight="1" outlineLevel="1">
      <c r="A115" s="256"/>
      <c r="B115" s="289"/>
      <c r="D115" s="258"/>
      <c r="E115" s="259"/>
      <c r="G115" s="260"/>
      <c r="H115" s="271"/>
      <c r="I115" s="272"/>
      <c r="J115" s="272"/>
      <c r="K115" s="319"/>
      <c r="L115" s="319"/>
      <c r="M115" s="319"/>
      <c r="P115" s="272"/>
      <c r="Q115" s="272"/>
      <c r="R115" s="254"/>
    </row>
    <row r="116" spans="1:18" s="209" customFormat="1" ht="15.75" outlineLevel="1">
      <c r="A116" s="256"/>
      <c r="B116" s="289"/>
      <c r="C116" s="257"/>
      <c r="D116" s="261"/>
      <c r="E116" s="262"/>
      <c r="F116" s="257"/>
      <c r="G116" s="260"/>
      <c r="H116" s="274"/>
      <c r="I116" s="272"/>
      <c r="J116" s="272"/>
      <c r="K116" s="321"/>
      <c r="L116" s="321"/>
      <c r="M116" s="321"/>
      <c r="N116" s="322"/>
      <c r="O116" s="322"/>
      <c r="P116" s="272"/>
      <c r="Q116" s="272"/>
      <c r="R116" s="254"/>
    </row>
    <row r="117" spans="1:18" s="209" customFormat="1" ht="15" customHeight="1" outlineLevel="2">
      <c r="A117" s="239">
        <v>33125</v>
      </c>
      <c r="B117" s="288" t="s">
        <v>5</v>
      </c>
      <c r="C117" s="211" t="s">
        <v>311</v>
      </c>
      <c r="D117" s="224" t="s">
        <v>22</v>
      </c>
      <c r="E117" s="224" t="s">
        <v>581</v>
      </c>
      <c r="F117" s="211" t="s">
        <v>457</v>
      </c>
      <c r="G117" s="225">
        <v>30313376</v>
      </c>
      <c r="H117" s="231" t="s">
        <v>933</v>
      </c>
      <c r="I117" s="248">
        <v>69746000</v>
      </c>
      <c r="J117" s="226">
        <v>53296293</v>
      </c>
      <c r="K117" s="325">
        <v>0</v>
      </c>
      <c r="L117" s="325">
        <v>0</v>
      </c>
      <c r="M117" s="325">
        <v>0</v>
      </c>
      <c r="N117" s="234">
        <v>0</v>
      </c>
      <c r="O117" s="234">
        <v>0</v>
      </c>
      <c r="P117" s="226">
        <f>K117+L117+M117+N117+O117</f>
        <v>0</v>
      </c>
      <c r="Q117" s="237">
        <f>I117-(J117+P117)</f>
        <v>16449707</v>
      </c>
      <c r="R117" s="211" t="s">
        <v>239</v>
      </c>
    </row>
    <row r="118" spans="1:18" s="209" customFormat="1" ht="15" customHeight="1" outlineLevel="2">
      <c r="A118" s="239">
        <v>33125</v>
      </c>
      <c r="B118" s="288" t="s">
        <v>5</v>
      </c>
      <c r="C118" s="211" t="s">
        <v>867</v>
      </c>
      <c r="D118" s="224" t="s">
        <v>22</v>
      </c>
      <c r="E118" s="224" t="s">
        <v>581</v>
      </c>
      <c r="F118" s="211" t="s">
        <v>457</v>
      </c>
      <c r="G118" s="225">
        <v>30372973</v>
      </c>
      <c r="H118" s="224" t="s">
        <v>934</v>
      </c>
      <c r="I118" s="248">
        <v>73587190</v>
      </c>
      <c r="J118" s="226">
        <v>58366318</v>
      </c>
      <c r="K118" s="325">
        <v>0</v>
      </c>
      <c r="L118" s="325">
        <v>0</v>
      </c>
      <c r="M118" s="325">
        <v>0</v>
      </c>
      <c r="N118" s="234">
        <v>0</v>
      </c>
      <c r="O118" s="234">
        <v>0</v>
      </c>
      <c r="P118" s="226">
        <f>K118+L118+M118+N118+O118</f>
        <v>0</v>
      </c>
      <c r="Q118" s="237">
        <f>I118-(J118+P118)</f>
        <v>15220872</v>
      </c>
      <c r="R118" s="211" t="s">
        <v>239</v>
      </c>
    </row>
    <row r="119" spans="1:18" s="209" customFormat="1" ht="15" customHeight="1" outlineLevel="2">
      <c r="A119" s="239">
        <v>33125</v>
      </c>
      <c r="B119" s="288" t="s">
        <v>5</v>
      </c>
      <c r="C119" s="211" t="s">
        <v>253</v>
      </c>
      <c r="D119" s="224" t="s">
        <v>22</v>
      </c>
      <c r="E119" s="224" t="s">
        <v>581</v>
      </c>
      <c r="F119" s="211" t="s">
        <v>457</v>
      </c>
      <c r="G119" s="225">
        <v>30487091</v>
      </c>
      <c r="H119" s="224" t="s">
        <v>622</v>
      </c>
      <c r="I119" s="248">
        <v>43604000</v>
      </c>
      <c r="J119" s="226">
        <v>12606943</v>
      </c>
      <c r="K119" s="238">
        <v>9000043</v>
      </c>
      <c r="L119" s="238">
        <v>11984866</v>
      </c>
      <c r="M119" s="325">
        <v>0</v>
      </c>
      <c r="N119" s="234">
        <v>0</v>
      </c>
      <c r="O119" s="234">
        <v>0</v>
      </c>
      <c r="P119" s="226">
        <f>K119+L119+M119+N119+O119</f>
        <v>20984909</v>
      </c>
      <c r="Q119" s="237">
        <f>I119-(J119+P119)</f>
        <v>10012148</v>
      </c>
      <c r="R119" s="211" t="s">
        <v>239</v>
      </c>
    </row>
    <row r="120" spans="1:18" s="209" customFormat="1" ht="15" customHeight="1" outlineLevel="2">
      <c r="A120" s="239">
        <v>33125</v>
      </c>
      <c r="B120" s="288" t="s">
        <v>5</v>
      </c>
      <c r="C120" s="211" t="s">
        <v>985</v>
      </c>
      <c r="D120" s="224" t="s">
        <v>22</v>
      </c>
      <c r="E120" s="224" t="s">
        <v>581</v>
      </c>
      <c r="F120" s="211" t="s">
        <v>457</v>
      </c>
      <c r="G120" s="225">
        <v>30487092</v>
      </c>
      <c r="H120" s="224" t="s">
        <v>935</v>
      </c>
      <c r="I120" s="248">
        <v>43604000</v>
      </c>
      <c r="J120" s="226">
        <v>10945009</v>
      </c>
      <c r="K120" s="238">
        <v>9173696</v>
      </c>
      <c r="L120" s="238">
        <v>11866648</v>
      </c>
      <c r="M120" s="325">
        <v>0</v>
      </c>
      <c r="N120" s="234">
        <v>0</v>
      </c>
      <c r="O120" s="234">
        <v>0</v>
      </c>
      <c r="P120" s="226">
        <f>K120+L120+M120+N120+O120</f>
        <v>21040344</v>
      </c>
      <c r="Q120" s="237">
        <f>I120-(J120+P120)</f>
        <v>11618647</v>
      </c>
      <c r="R120" s="211" t="s">
        <v>239</v>
      </c>
    </row>
    <row r="121" spans="1:18" s="209" customFormat="1" ht="15" customHeight="1" outlineLevel="2">
      <c r="A121" s="239">
        <v>33125</v>
      </c>
      <c r="B121" s="288" t="s">
        <v>5</v>
      </c>
      <c r="C121" s="211" t="s">
        <v>311</v>
      </c>
      <c r="D121" s="224" t="s">
        <v>22</v>
      </c>
      <c r="E121" s="224" t="s">
        <v>581</v>
      </c>
      <c r="F121" s="211" t="s">
        <v>457</v>
      </c>
      <c r="G121" s="225">
        <v>30488320</v>
      </c>
      <c r="H121" s="224" t="s">
        <v>936</v>
      </c>
      <c r="I121" s="248">
        <v>43119000</v>
      </c>
      <c r="J121" s="226">
        <v>12037147</v>
      </c>
      <c r="K121" s="238">
        <v>8376517</v>
      </c>
      <c r="L121" s="238">
        <v>17091562</v>
      </c>
      <c r="M121" s="238">
        <v>1608065</v>
      </c>
      <c r="N121" s="234">
        <v>0</v>
      </c>
      <c r="O121" s="234">
        <v>0</v>
      </c>
      <c r="P121" s="226">
        <f>K121+L121+M121+N121+O121</f>
        <v>27076144</v>
      </c>
      <c r="Q121" s="237">
        <f>I121-(J121+P121)</f>
        <v>4005709</v>
      </c>
      <c r="R121" s="211" t="s">
        <v>239</v>
      </c>
    </row>
    <row r="122" spans="1:18" s="209" customFormat="1" ht="15" customHeight="1" outlineLevel="2">
      <c r="A122" s="239">
        <v>33125</v>
      </c>
      <c r="B122" s="288" t="s">
        <v>5</v>
      </c>
      <c r="C122" s="211" t="s">
        <v>311</v>
      </c>
      <c r="D122" s="224" t="s">
        <v>22</v>
      </c>
      <c r="E122" s="224" t="s">
        <v>581</v>
      </c>
      <c r="F122" s="211" t="s">
        <v>457</v>
      </c>
      <c r="G122" s="225">
        <v>30488445</v>
      </c>
      <c r="H122" s="224" t="s">
        <v>937</v>
      </c>
      <c r="I122" s="248">
        <v>48197000</v>
      </c>
      <c r="J122" s="226">
        <v>8029130</v>
      </c>
      <c r="K122" s="238">
        <v>7694964</v>
      </c>
      <c r="L122" s="238">
        <v>14683336</v>
      </c>
      <c r="M122" s="238">
        <v>3907100</v>
      </c>
      <c r="N122" s="234">
        <v>0</v>
      </c>
      <c r="O122" s="234">
        <v>0</v>
      </c>
      <c r="P122" s="226">
        <f>K122+L122+M122+N122+O122</f>
        <v>26285400</v>
      </c>
      <c r="Q122" s="237">
        <f>I122-(J122+P122)</f>
        <v>13882470</v>
      </c>
      <c r="R122" s="211" t="s">
        <v>239</v>
      </c>
    </row>
    <row r="123" spans="1:18" s="209" customFormat="1" ht="15" customHeight="1" outlineLevel="2">
      <c r="A123" s="239">
        <v>33125</v>
      </c>
      <c r="B123" s="288" t="s">
        <v>5</v>
      </c>
      <c r="C123" s="211" t="s">
        <v>311</v>
      </c>
      <c r="D123" s="224" t="s">
        <v>22</v>
      </c>
      <c r="E123" s="224" t="s">
        <v>581</v>
      </c>
      <c r="F123" s="211" t="s">
        <v>457</v>
      </c>
      <c r="G123" s="225">
        <v>40000182</v>
      </c>
      <c r="H123" s="224" t="s">
        <v>938</v>
      </c>
      <c r="I123" s="248">
        <v>50000000</v>
      </c>
      <c r="J123" s="226">
        <v>6572965</v>
      </c>
      <c r="K123" s="238">
        <v>9956028</v>
      </c>
      <c r="L123" s="238">
        <v>8401831</v>
      </c>
      <c r="M123" s="238">
        <v>14060733</v>
      </c>
      <c r="N123" s="226">
        <v>914430</v>
      </c>
      <c r="O123" s="234">
        <v>0</v>
      </c>
      <c r="P123" s="226">
        <f>K123+L123+M123+N123+O123</f>
        <v>33333022</v>
      </c>
      <c r="Q123" s="237">
        <f>I123-(J123+P123)</f>
        <v>10094013</v>
      </c>
      <c r="R123" s="211" t="s">
        <v>239</v>
      </c>
    </row>
    <row r="124" spans="1:18" s="209" customFormat="1" ht="15" customHeight="1" outlineLevel="2">
      <c r="A124" s="239">
        <v>33125</v>
      </c>
      <c r="B124" s="288" t="s">
        <v>5</v>
      </c>
      <c r="C124" s="211" t="s">
        <v>311</v>
      </c>
      <c r="D124" s="224" t="s">
        <v>22</v>
      </c>
      <c r="E124" s="224" t="s">
        <v>581</v>
      </c>
      <c r="F124" s="211" t="s">
        <v>457</v>
      </c>
      <c r="G124" s="225">
        <v>40001265</v>
      </c>
      <c r="H124" s="224" t="s">
        <v>939</v>
      </c>
      <c r="I124" s="248">
        <v>48542000</v>
      </c>
      <c r="J124" s="226">
        <v>2888380</v>
      </c>
      <c r="K124" s="238">
        <v>7007250</v>
      </c>
      <c r="L124" s="238">
        <v>13193159</v>
      </c>
      <c r="M124" s="238">
        <v>17923659</v>
      </c>
      <c r="N124" s="234">
        <v>0</v>
      </c>
      <c r="O124" s="234">
        <v>0</v>
      </c>
      <c r="P124" s="226">
        <f>K124+L124+M124+N124+O124</f>
        <v>38124068</v>
      </c>
      <c r="Q124" s="237">
        <f>I124-(J124+P124)</f>
        <v>7529552</v>
      </c>
      <c r="R124" s="211" t="s">
        <v>239</v>
      </c>
    </row>
    <row r="125" spans="1:18" s="209" customFormat="1" ht="15" customHeight="1" outlineLevel="1">
      <c r="A125" s="256"/>
      <c r="B125" s="289"/>
      <c r="C125" s="257"/>
      <c r="D125" s="261"/>
      <c r="E125" s="262"/>
      <c r="F125" s="257"/>
      <c r="G125" s="260"/>
      <c r="H125" s="252" t="s">
        <v>990</v>
      </c>
      <c r="I125" s="253">
        <f>SUBTOTAL(9,I117:I124)</f>
        <v>420399190</v>
      </c>
      <c r="J125" s="253">
        <f>SUBTOTAL(9,J117:J124)</f>
        <v>164742185</v>
      </c>
      <c r="K125" s="253">
        <f t="shared" ref="K125:N125" si="15">SUBTOTAL(9,K117:K124)</f>
        <v>51208498</v>
      </c>
      <c r="L125" s="253">
        <f t="shared" si="15"/>
        <v>77221402</v>
      </c>
      <c r="M125" s="253">
        <f t="shared" si="15"/>
        <v>37499557</v>
      </c>
      <c r="N125" s="253">
        <f t="shared" si="15"/>
        <v>914430</v>
      </c>
      <c r="O125" s="253">
        <f>SUBTOTAL(9,O117:O124)</f>
        <v>0</v>
      </c>
      <c r="P125" s="253">
        <f>SUBTOTAL(9,P117:P124)</f>
        <v>166843887</v>
      </c>
      <c r="Q125" s="253">
        <f>SUBTOTAL(9,Q117:Q124)</f>
        <v>88813118</v>
      </c>
      <c r="R125" s="254"/>
    </row>
    <row r="126" spans="1:18" s="257" customFormat="1" ht="15" customHeight="1" outlineLevel="1">
      <c r="A126" s="256"/>
      <c r="B126" s="289"/>
      <c r="D126" s="261"/>
      <c r="E126" s="262"/>
      <c r="G126" s="260"/>
      <c r="H126" s="271"/>
      <c r="I126" s="272"/>
      <c r="J126" s="272"/>
      <c r="K126" s="321"/>
      <c r="L126" s="321"/>
      <c r="M126" s="321"/>
      <c r="N126" s="322"/>
      <c r="O126" s="322"/>
      <c r="P126" s="272"/>
      <c r="Q126" s="272"/>
      <c r="R126" s="254"/>
    </row>
    <row r="127" spans="1:18" s="209" customFormat="1" ht="15.75" outlineLevel="1">
      <c r="A127" s="256"/>
      <c r="B127" s="289"/>
      <c r="C127" s="257"/>
      <c r="D127" s="261"/>
      <c r="E127" s="262"/>
      <c r="F127" s="257"/>
      <c r="G127" s="260"/>
      <c r="H127" s="274" t="s">
        <v>195</v>
      </c>
      <c r="I127" s="272"/>
      <c r="J127" s="272"/>
      <c r="K127" s="321"/>
      <c r="L127" s="321"/>
      <c r="M127" s="321"/>
      <c r="N127" s="322"/>
      <c r="O127" s="322"/>
      <c r="P127" s="272"/>
      <c r="Q127" s="272"/>
      <c r="R127" s="254"/>
    </row>
    <row r="128" spans="1:18" s="209" customFormat="1" ht="15" customHeight="1" outlineLevel="2">
      <c r="A128" s="239">
        <v>33125</v>
      </c>
      <c r="B128" s="288" t="s">
        <v>5</v>
      </c>
      <c r="C128" s="211" t="s">
        <v>985</v>
      </c>
      <c r="D128" s="224" t="s">
        <v>22</v>
      </c>
      <c r="E128" s="224" t="s">
        <v>579</v>
      </c>
      <c r="F128" s="211" t="s">
        <v>457</v>
      </c>
      <c r="G128" s="225">
        <v>30432527</v>
      </c>
      <c r="H128" s="224" t="s">
        <v>940</v>
      </c>
      <c r="I128" s="248">
        <v>45427432</v>
      </c>
      <c r="J128" s="226">
        <v>45427432</v>
      </c>
      <c r="K128" s="325">
        <v>0</v>
      </c>
      <c r="L128" s="325">
        <v>0</v>
      </c>
      <c r="M128" s="325">
        <v>0</v>
      </c>
      <c r="N128" s="234">
        <v>0</v>
      </c>
      <c r="O128" s="234">
        <v>0</v>
      </c>
      <c r="P128" s="226">
        <f>K128+L128+M128+N128+O128</f>
        <v>0</v>
      </c>
      <c r="Q128" s="237">
        <f>I128-(J128+P128)</f>
        <v>0</v>
      </c>
      <c r="R128" s="211" t="s">
        <v>460</v>
      </c>
    </row>
    <row r="129" spans="1:18" s="209" customFormat="1" ht="15" customHeight="1" outlineLevel="2">
      <c r="A129" s="239">
        <v>33125</v>
      </c>
      <c r="B129" s="288" t="s">
        <v>5</v>
      </c>
      <c r="C129" s="211" t="s">
        <v>311</v>
      </c>
      <c r="D129" s="224" t="s">
        <v>22</v>
      </c>
      <c r="E129" s="224" t="s">
        <v>579</v>
      </c>
      <c r="F129" s="211" t="s">
        <v>457</v>
      </c>
      <c r="G129" s="225">
        <v>30482519</v>
      </c>
      <c r="H129" s="232" t="s">
        <v>941</v>
      </c>
      <c r="I129" s="248">
        <v>25539281</v>
      </c>
      <c r="J129" s="226">
        <v>24262316</v>
      </c>
      <c r="K129" s="325">
        <v>0</v>
      </c>
      <c r="L129" s="325">
        <v>0</v>
      </c>
      <c r="M129" s="325">
        <v>0</v>
      </c>
      <c r="N129" s="228">
        <v>1276965</v>
      </c>
      <c r="O129" s="234">
        <v>0</v>
      </c>
      <c r="P129" s="226">
        <f>K129+L129+M129+N129+O129</f>
        <v>1276965</v>
      </c>
      <c r="Q129" s="237">
        <f>I129-(J129+P129)</f>
        <v>0</v>
      </c>
      <c r="R129" s="211" t="s">
        <v>460</v>
      </c>
    </row>
    <row r="130" spans="1:18" s="209" customFormat="1" ht="15" customHeight="1" outlineLevel="2">
      <c r="A130" s="239">
        <v>33125</v>
      </c>
      <c r="B130" s="288" t="s">
        <v>5</v>
      </c>
      <c r="C130" s="211" t="s">
        <v>867</v>
      </c>
      <c r="D130" s="224" t="s">
        <v>22</v>
      </c>
      <c r="E130" s="224" t="s">
        <v>579</v>
      </c>
      <c r="F130" s="211" t="s">
        <v>457</v>
      </c>
      <c r="G130" s="225">
        <v>30486913</v>
      </c>
      <c r="H130" s="224" t="s">
        <v>592</v>
      </c>
      <c r="I130" s="248">
        <v>88480685</v>
      </c>
      <c r="J130" s="226">
        <v>0</v>
      </c>
      <c r="K130" s="325">
        <v>0</v>
      </c>
      <c r="L130" s="325">
        <v>0</v>
      </c>
      <c r="M130" s="325">
        <v>0</v>
      </c>
      <c r="N130" s="226">
        <v>46856101</v>
      </c>
      <c r="O130" s="234">
        <v>33602714</v>
      </c>
      <c r="P130" s="226">
        <f>K130+L130+M130+N130+O130</f>
        <v>80458815</v>
      </c>
      <c r="Q130" s="237">
        <f>I130-(J130+P130)</f>
        <v>8021870</v>
      </c>
      <c r="R130" s="211" t="s">
        <v>239</v>
      </c>
    </row>
    <row r="131" spans="1:18" s="209" customFormat="1" ht="15" customHeight="1" outlineLevel="2">
      <c r="A131" s="239">
        <v>33125</v>
      </c>
      <c r="B131" s="288" t="s">
        <v>5</v>
      </c>
      <c r="C131" s="211" t="s">
        <v>253</v>
      </c>
      <c r="D131" s="224" t="s">
        <v>22</v>
      </c>
      <c r="E131" s="224" t="s">
        <v>579</v>
      </c>
      <c r="F131" s="211" t="s">
        <v>457</v>
      </c>
      <c r="G131" s="225">
        <v>30486916</v>
      </c>
      <c r="H131" s="224" t="s">
        <v>942</v>
      </c>
      <c r="I131" s="248">
        <v>49642851</v>
      </c>
      <c r="J131" s="226">
        <v>0</v>
      </c>
      <c r="K131" s="325">
        <v>0</v>
      </c>
      <c r="L131" s="325">
        <v>0</v>
      </c>
      <c r="M131" s="325">
        <v>0</v>
      </c>
      <c r="N131" s="234">
        <v>0</v>
      </c>
      <c r="O131" s="234">
        <v>0</v>
      </c>
      <c r="P131" s="226">
        <f>K131+L131+M131+N131+O131</f>
        <v>0</v>
      </c>
      <c r="Q131" s="237">
        <f>I131-(J131+P131)</f>
        <v>49642851</v>
      </c>
      <c r="R131" s="211" t="s">
        <v>239</v>
      </c>
    </row>
    <row r="132" spans="1:18" s="209" customFormat="1" ht="15" customHeight="1" outlineLevel="2">
      <c r="A132" s="239">
        <v>33125</v>
      </c>
      <c r="B132" s="288" t="s">
        <v>5</v>
      </c>
      <c r="C132" s="211" t="s">
        <v>985</v>
      </c>
      <c r="D132" s="224" t="s">
        <v>22</v>
      </c>
      <c r="E132" s="224" t="s">
        <v>579</v>
      </c>
      <c r="F132" s="211" t="s">
        <v>457</v>
      </c>
      <c r="G132" s="225">
        <v>30487763</v>
      </c>
      <c r="H132" s="224" t="s">
        <v>943</v>
      </c>
      <c r="I132" s="248">
        <v>89378948</v>
      </c>
      <c r="J132" s="226">
        <v>0</v>
      </c>
      <c r="K132" s="325">
        <v>0</v>
      </c>
      <c r="L132" s="325">
        <v>0</v>
      </c>
      <c r="M132" s="238">
        <v>9471547</v>
      </c>
      <c r="N132" s="226">
        <v>19873284</v>
      </c>
      <c r="O132" s="234">
        <v>0</v>
      </c>
      <c r="P132" s="226">
        <f>K132+L132+M132+N132+O132</f>
        <v>29344831</v>
      </c>
      <c r="Q132" s="237">
        <f>I132-(J132+P132)</f>
        <v>60034117</v>
      </c>
      <c r="R132" s="211" t="s">
        <v>239</v>
      </c>
    </row>
    <row r="133" spans="1:18" s="209" customFormat="1" ht="15" customHeight="1" outlineLevel="1">
      <c r="A133" s="256"/>
      <c r="B133" s="289"/>
      <c r="C133" s="257"/>
      <c r="D133" s="261"/>
      <c r="E133" s="262"/>
      <c r="F133" s="257"/>
      <c r="G133" s="260"/>
      <c r="H133" s="252" t="s">
        <v>991</v>
      </c>
      <c r="I133" s="253">
        <f>SUBTOTAL(9,I128:I132)</f>
        <v>298469197</v>
      </c>
      <c r="J133" s="253">
        <f>SUBTOTAL(9,J128:J132)</f>
        <v>69689748</v>
      </c>
      <c r="K133" s="253">
        <f t="shared" ref="K133:N133" si="16">SUBTOTAL(9,K128:K132)</f>
        <v>0</v>
      </c>
      <c r="L133" s="253">
        <f t="shared" si="16"/>
        <v>0</v>
      </c>
      <c r="M133" s="253">
        <f t="shared" si="16"/>
        <v>9471547</v>
      </c>
      <c r="N133" s="253">
        <f t="shared" si="16"/>
        <v>68006350</v>
      </c>
      <c r="O133" s="253">
        <f>SUBTOTAL(9,O128:O132)</f>
        <v>33602714</v>
      </c>
      <c r="P133" s="253">
        <f>SUBTOTAL(9,P128:P132)</f>
        <v>111080611</v>
      </c>
      <c r="Q133" s="253">
        <f>SUBTOTAL(9,Q128:Q132)</f>
        <v>117698838</v>
      </c>
      <c r="R133" s="254"/>
    </row>
    <row r="134" spans="1:18" s="209" customFormat="1" ht="15" customHeight="1" outlineLevel="1">
      <c r="A134" s="256"/>
      <c r="B134" s="289"/>
      <c r="C134" s="257"/>
      <c r="D134" s="261"/>
      <c r="E134" s="262"/>
      <c r="F134" s="257"/>
      <c r="G134" s="260"/>
      <c r="H134" s="271"/>
      <c r="I134" s="272"/>
      <c r="J134" s="272"/>
      <c r="K134" s="321"/>
      <c r="L134" s="321"/>
      <c r="M134" s="321"/>
      <c r="N134" s="322"/>
      <c r="O134" s="322"/>
      <c r="P134" s="272"/>
      <c r="Q134" s="272"/>
      <c r="R134" s="254"/>
    </row>
    <row r="135" spans="1:18" s="209" customFormat="1" ht="15" outlineLevel="1">
      <c r="A135" s="256"/>
      <c r="B135" s="289"/>
      <c r="C135" s="257"/>
      <c r="D135" s="261"/>
      <c r="E135" s="262"/>
      <c r="F135" s="257"/>
      <c r="G135" s="260"/>
      <c r="H135" s="269" t="s">
        <v>196</v>
      </c>
      <c r="I135" s="270">
        <f t="shared" ref="I135:Q135" si="17">I133+I125+I114+I104+I99+I92+I85+I79+I70</f>
        <v>2712462561</v>
      </c>
      <c r="J135" s="270">
        <f t="shared" si="17"/>
        <v>873713120</v>
      </c>
      <c r="K135" s="270">
        <f t="shared" si="17"/>
        <v>51208498</v>
      </c>
      <c r="L135" s="270">
        <f t="shared" si="17"/>
        <v>398617773</v>
      </c>
      <c r="M135" s="270">
        <f t="shared" si="17"/>
        <v>283987850</v>
      </c>
      <c r="N135" s="270">
        <f t="shared" si="17"/>
        <v>312041894</v>
      </c>
      <c r="O135" s="270">
        <f t="shared" si="17"/>
        <v>241370945</v>
      </c>
      <c r="P135" s="270">
        <f t="shared" si="17"/>
        <v>1287226960</v>
      </c>
      <c r="Q135" s="270">
        <f t="shared" si="17"/>
        <v>551522481</v>
      </c>
      <c r="R135" s="254"/>
    </row>
    <row r="136" spans="1:18" s="209" customFormat="1" ht="15" outlineLevel="1">
      <c r="A136" s="256"/>
      <c r="B136" s="289"/>
      <c r="C136" s="257"/>
      <c r="D136" s="261"/>
      <c r="E136" s="262"/>
      <c r="F136" s="257"/>
      <c r="G136" s="260"/>
      <c r="H136" s="271"/>
      <c r="I136" s="272"/>
      <c r="J136" s="272"/>
      <c r="K136" s="321"/>
      <c r="L136" s="321"/>
      <c r="M136" s="321"/>
      <c r="N136" s="322"/>
      <c r="O136" s="322"/>
      <c r="P136" s="272"/>
      <c r="Q136" s="272"/>
      <c r="R136" s="254"/>
    </row>
    <row r="137" spans="1:18" s="209" customFormat="1" ht="15.75" outlineLevel="1">
      <c r="A137" s="256"/>
      <c r="B137" s="289"/>
      <c r="C137" s="257"/>
      <c r="D137" s="261"/>
      <c r="E137" s="262"/>
      <c r="F137" s="257"/>
      <c r="G137" s="260"/>
      <c r="H137" s="276" t="s">
        <v>198</v>
      </c>
      <c r="I137" s="272"/>
      <c r="J137" s="272"/>
      <c r="K137" s="321"/>
      <c r="L137" s="321"/>
      <c r="M137" s="321"/>
      <c r="N137" s="322"/>
      <c r="O137" s="322"/>
      <c r="P137" s="272"/>
      <c r="Q137" s="272"/>
      <c r="R137" s="254"/>
    </row>
    <row r="138" spans="1:18" s="209" customFormat="1" ht="15" customHeight="1" outlineLevel="2">
      <c r="A138" s="239">
        <v>33125</v>
      </c>
      <c r="B138" s="288" t="s">
        <v>5</v>
      </c>
      <c r="C138" s="211" t="s">
        <v>311</v>
      </c>
      <c r="D138" s="224" t="s">
        <v>30</v>
      </c>
      <c r="E138" s="224" t="s">
        <v>33</v>
      </c>
      <c r="F138" s="211" t="s">
        <v>457</v>
      </c>
      <c r="G138" s="225">
        <v>30470845</v>
      </c>
      <c r="H138" s="224" t="s">
        <v>859</v>
      </c>
      <c r="I138" s="248">
        <v>50000000</v>
      </c>
      <c r="J138" s="226">
        <v>46625616</v>
      </c>
      <c r="K138" s="325">
        <v>0</v>
      </c>
      <c r="L138" s="325">
        <v>0</v>
      </c>
      <c r="M138" s="325">
        <v>0</v>
      </c>
      <c r="N138" s="234">
        <v>0</v>
      </c>
      <c r="O138" s="234">
        <v>0</v>
      </c>
      <c r="P138" s="226">
        <f>K138+L138+M138+N138+O138</f>
        <v>0</v>
      </c>
      <c r="Q138" s="237">
        <f>I138-(J138+P138)</f>
        <v>3374384</v>
      </c>
      <c r="R138" s="211" t="s">
        <v>460</v>
      </c>
    </row>
    <row r="139" spans="1:18" s="209" customFormat="1" ht="15" customHeight="1" outlineLevel="2">
      <c r="A139" s="239">
        <v>33125</v>
      </c>
      <c r="B139" s="288" t="s">
        <v>5</v>
      </c>
      <c r="C139" s="211" t="s">
        <v>251</v>
      </c>
      <c r="D139" s="224" t="s">
        <v>30</v>
      </c>
      <c r="E139" s="224" t="s">
        <v>33</v>
      </c>
      <c r="F139" s="211" t="s">
        <v>457</v>
      </c>
      <c r="G139" s="225">
        <v>30482062</v>
      </c>
      <c r="H139" s="224" t="s">
        <v>860</v>
      </c>
      <c r="I139" s="248">
        <v>43843616</v>
      </c>
      <c r="J139" s="226">
        <v>41008843</v>
      </c>
      <c r="K139" s="325">
        <v>0</v>
      </c>
      <c r="L139" s="325">
        <v>0</v>
      </c>
      <c r="M139" s="325">
        <v>0</v>
      </c>
      <c r="N139" s="228">
        <v>2834773</v>
      </c>
      <c r="O139" s="234">
        <v>0</v>
      </c>
      <c r="P139" s="226">
        <f>K139+L139+M139+N139+O139</f>
        <v>2834773</v>
      </c>
      <c r="Q139" s="237">
        <f>I139-(J139+P139)</f>
        <v>0</v>
      </c>
      <c r="R139" s="211" t="s">
        <v>460</v>
      </c>
    </row>
    <row r="140" spans="1:18" s="209" customFormat="1" ht="15" customHeight="1" outlineLevel="2">
      <c r="A140" s="239">
        <v>33125</v>
      </c>
      <c r="B140" s="288" t="s">
        <v>5</v>
      </c>
      <c r="C140" s="211" t="s">
        <v>251</v>
      </c>
      <c r="D140" s="224" t="s">
        <v>30</v>
      </c>
      <c r="E140" s="224" t="s">
        <v>33</v>
      </c>
      <c r="F140" s="211" t="s">
        <v>457</v>
      </c>
      <c r="G140" s="225">
        <v>30484973</v>
      </c>
      <c r="H140" s="224" t="s">
        <v>862</v>
      </c>
      <c r="I140" s="248">
        <v>78626447</v>
      </c>
      <c r="J140" s="226">
        <v>41477541</v>
      </c>
      <c r="K140" s="325">
        <v>0</v>
      </c>
      <c r="L140" s="238">
        <f>10290000+11224409</f>
        <v>21514409</v>
      </c>
      <c r="M140" s="325">
        <v>0</v>
      </c>
      <c r="N140" s="228">
        <v>15634497</v>
      </c>
      <c r="O140" s="234">
        <v>0</v>
      </c>
      <c r="P140" s="226">
        <f>K140+L140+M140+N140+O140</f>
        <v>37148906</v>
      </c>
      <c r="Q140" s="237">
        <f>I140-(J140+P140)</f>
        <v>0</v>
      </c>
      <c r="R140" s="211" t="s">
        <v>460</v>
      </c>
    </row>
    <row r="141" spans="1:18" s="209" customFormat="1" ht="15" customHeight="1" outlineLevel="2">
      <c r="A141" s="239">
        <v>33125</v>
      </c>
      <c r="B141" s="288" t="s">
        <v>5</v>
      </c>
      <c r="C141" s="211" t="s">
        <v>311</v>
      </c>
      <c r="D141" s="224" t="s">
        <v>30</v>
      </c>
      <c r="E141" s="224" t="s">
        <v>33</v>
      </c>
      <c r="F141" s="211" t="s">
        <v>457</v>
      </c>
      <c r="G141" s="225">
        <v>30485092</v>
      </c>
      <c r="H141" s="224" t="s">
        <v>863</v>
      </c>
      <c r="I141" s="248">
        <v>80036988</v>
      </c>
      <c r="J141" s="226">
        <v>35163808</v>
      </c>
      <c r="K141" s="325">
        <v>0</v>
      </c>
      <c r="L141" s="238">
        <f>8760000+13981577</f>
        <v>22741577</v>
      </c>
      <c r="M141" s="325">
        <v>0</v>
      </c>
      <c r="N141" s="228">
        <v>22131603</v>
      </c>
      <c r="O141" s="234">
        <v>0</v>
      </c>
      <c r="P141" s="226">
        <f>K141+L141+M141+N141+O141</f>
        <v>44873180</v>
      </c>
      <c r="Q141" s="237">
        <f>I141-(J141+P141)</f>
        <v>0</v>
      </c>
      <c r="R141" s="211" t="s">
        <v>460</v>
      </c>
    </row>
    <row r="142" spans="1:18" s="209" customFormat="1" ht="15" customHeight="1" outlineLevel="2">
      <c r="A142" s="239">
        <v>33125</v>
      </c>
      <c r="B142" s="288" t="s">
        <v>5</v>
      </c>
      <c r="C142" s="211" t="s">
        <v>985</v>
      </c>
      <c r="D142" s="224" t="s">
        <v>30</v>
      </c>
      <c r="E142" s="224" t="s">
        <v>33</v>
      </c>
      <c r="F142" s="211" t="s">
        <v>457</v>
      </c>
      <c r="G142" s="225">
        <v>30482340</v>
      </c>
      <c r="H142" s="224" t="s">
        <v>861</v>
      </c>
      <c r="I142" s="248">
        <v>25207352</v>
      </c>
      <c r="J142" s="226">
        <v>14424042</v>
      </c>
      <c r="K142" s="325">
        <v>0</v>
      </c>
      <c r="L142" s="325">
        <v>0</v>
      </c>
      <c r="M142" s="325">
        <v>0</v>
      </c>
      <c r="N142" s="234">
        <v>0</v>
      </c>
      <c r="O142" s="234">
        <v>0</v>
      </c>
      <c r="P142" s="226">
        <f>K142+L142+M142+N142+O142</f>
        <v>0</v>
      </c>
      <c r="Q142" s="237">
        <f>I142-(J142+P142)</f>
        <v>10783310</v>
      </c>
      <c r="R142" s="211" t="s">
        <v>239</v>
      </c>
    </row>
    <row r="143" spans="1:18" s="209" customFormat="1" ht="15" customHeight="1" outlineLevel="2">
      <c r="A143" s="239">
        <v>33125</v>
      </c>
      <c r="B143" s="288" t="s">
        <v>5</v>
      </c>
      <c r="C143" s="211" t="s">
        <v>311</v>
      </c>
      <c r="D143" s="224" t="s">
        <v>30</v>
      </c>
      <c r="E143" s="224" t="s">
        <v>33</v>
      </c>
      <c r="F143" s="211" t="s">
        <v>457</v>
      </c>
      <c r="G143" s="225">
        <v>30487889</v>
      </c>
      <c r="H143" s="224" t="s">
        <v>864</v>
      </c>
      <c r="I143" s="248">
        <v>24999966</v>
      </c>
      <c r="J143" s="226">
        <v>0</v>
      </c>
      <c r="K143" s="325">
        <v>0</v>
      </c>
      <c r="L143" s="325">
        <v>0</v>
      </c>
      <c r="M143" s="325">
        <v>0</v>
      </c>
      <c r="N143" s="234">
        <v>0</v>
      </c>
      <c r="O143" s="234">
        <v>11872630</v>
      </c>
      <c r="P143" s="226">
        <f>K143+L143+M143+N143+O143</f>
        <v>11872630</v>
      </c>
      <c r="Q143" s="237">
        <f>I143-(J143+P143)</f>
        <v>13127336</v>
      </c>
      <c r="R143" s="211" t="s">
        <v>460</v>
      </c>
    </row>
    <row r="144" spans="1:18" s="209" customFormat="1" ht="15" customHeight="1" outlineLevel="2">
      <c r="A144" s="239">
        <v>33125</v>
      </c>
      <c r="B144" s="288" t="s">
        <v>5</v>
      </c>
      <c r="C144" s="211" t="s">
        <v>311</v>
      </c>
      <c r="D144" s="224" t="s">
        <v>30</v>
      </c>
      <c r="E144" s="224" t="s">
        <v>33</v>
      </c>
      <c r="F144" s="211" t="s">
        <v>457</v>
      </c>
      <c r="G144" s="225">
        <v>30487957</v>
      </c>
      <c r="H144" s="224" t="s">
        <v>865</v>
      </c>
      <c r="I144" s="248">
        <v>39900000</v>
      </c>
      <c r="J144" s="226">
        <v>0</v>
      </c>
      <c r="K144" s="325">
        <v>0</v>
      </c>
      <c r="L144" s="238">
        <v>23451466</v>
      </c>
      <c r="M144" s="325">
        <v>0</v>
      </c>
      <c r="N144" s="234">
        <v>0</v>
      </c>
      <c r="O144" s="234">
        <v>16448533</v>
      </c>
      <c r="P144" s="226">
        <f>K144+L144+M144+N144+O144</f>
        <v>39899999</v>
      </c>
      <c r="Q144" s="237">
        <f>I144-(J144+P144)</f>
        <v>1</v>
      </c>
      <c r="R144" s="211" t="s">
        <v>460</v>
      </c>
    </row>
    <row r="145" spans="1:18" s="209" customFormat="1" ht="15" customHeight="1" outlineLevel="2">
      <c r="A145" s="239">
        <v>33125</v>
      </c>
      <c r="B145" s="288" t="s">
        <v>5</v>
      </c>
      <c r="C145" s="211" t="s">
        <v>867</v>
      </c>
      <c r="D145" s="224" t="s">
        <v>30</v>
      </c>
      <c r="E145" s="224" t="s">
        <v>33</v>
      </c>
      <c r="F145" s="211" t="s">
        <v>457</v>
      </c>
      <c r="G145" s="225">
        <v>30488067</v>
      </c>
      <c r="H145" s="224" t="s">
        <v>866</v>
      </c>
      <c r="I145" s="248">
        <v>24945872</v>
      </c>
      <c r="J145" s="226">
        <v>0</v>
      </c>
      <c r="K145" s="325">
        <v>0</v>
      </c>
      <c r="L145" s="238">
        <v>9055999</v>
      </c>
      <c r="M145" s="325">
        <v>0</v>
      </c>
      <c r="N145" s="234">
        <v>0</v>
      </c>
      <c r="O145" s="234">
        <v>15889873</v>
      </c>
      <c r="P145" s="226">
        <f>K145+L145+M145+N145+O145</f>
        <v>24945872</v>
      </c>
      <c r="Q145" s="237">
        <f>I145-(J145+P145)</f>
        <v>0</v>
      </c>
      <c r="R145" s="211" t="s">
        <v>460</v>
      </c>
    </row>
    <row r="146" spans="1:18" s="209" customFormat="1" ht="15" customHeight="1" outlineLevel="2">
      <c r="A146" s="239">
        <v>33125</v>
      </c>
      <c r="B146" s="288" t="s">
        <v>5</v>
      </c>
      <c r="C146" s="211" t="s">
        <v>251</v>
      </c>
      <c r="D146" s="224" t="s">
        <v>30</v>
      </c>
      <c r="E146" s="224" t="s">
        <v>33</v>
      </c>
      <c r="F146" s="211" t="s">
        <v>457</v>
      </c>
      <c r="G146" s="225">
        <v>30488068</v>
      </c>
      <c r="H146" s="224" t="s">
        <v>868</v>
      </c>
      <c r="I146" s="248">
        <v>49800000</v>
      </c>
      <c r="J146" s="226">
        <v>0</v>
      </c>
      <c r="K146" s="325">
        <v>0</v>
      </c>
      <c r="L146" s="325">
        <v>0</v>
      </c>
      <c r="M146" s="238">
        <v>15681940</v>
      </c>
      <c r="N146" s="228">
        <v>26827271</v>
      </c>
      <c r="O146" s="234">
        <v>0</v>
      </c>
      <c r="P146" s="226">
        <f>K146+L146+M146+N146+O146</f>
        <v>42509211</v>
      </c>
      <c r="Q146" s="237">
        <f>I146-(J146+P146)</f>
        <v>7290789</v>
      </c>
      <c r="R146" s="211" t="s">
        <v>239</v>
      </c>
    </row>
    <row r="147" spans="1:18" s="209" customFormat="1" ht="15" customHeight="1" outlineLevel="1">
      <c r="A147" s="256"/>
      <c r="B147" s="289"/>
      <c r="C147" s="257"/>
      <c r="D147" s="261"/>
      <c r="E147" s="262"/>
      <c r="F147" s="257"/>
      <c r="G147" s="260"/>
      <c r="H147" s="252" t="s">
        <v>164</v>
      </c>
      <c r="I147" s="253">
        <f>SUBTOTAL(9,I138:I146)</f>
        <v>417360241</v>
      </c>
      <c r="J147" s="253">
        <f>SUBTOTAL(9,J138:J146)</f>
        <v>178699850</v>
      </c>
      <c r="K147" s="253">
        <f t="shared" ref="K147:N147" si="18">SUBTOTAL(9,K138:K146)</f>
        <v>0</v>
      </c>
      <c r="L147" s="253">
        <f t="shared" si="18"/>
        <v>76763451</v>
      </c>
      <c r="M147" s="253">
        <f t="shared" si="18"/>
        <v>15681940</v>
      </c>
      <c r="N147" s="253">
        <f t="shared" si="18"/>
        <v>67428144</v>
      </c>
      <c r="O147" s="253">
        <f>SUBTOTAL(9,O138:O146)</f>
        <v>44211036</v>
      </c>
      <c r="P147" s="253">
        <f>SUBTOTAL(9,P138:P146)</f>
        <v>204084571</v>
      </c>
      <c r="Q147" s="253">
        <f>SUBTOTAL(9,Q138:Q146)</f>
        <v>34575820</v>
      </c>
      <c r="R147" s="254"/>
    </row>
    <row r="148" spans="1:18" s="257" customFormat="1" ht="15" customHeight="1" outlineLevel="1">
      <c r="A148" s="256"/>
      <c r="B148" s="289"/>
      <c r="D148" s="261"/>
      <c r="E148" s="262"/>
      <c r="G148" s="260"/>
      <c r="H148" s="271"/>
      <c r="I148" s="272"/>
      <c r="J148" s="272"/>
      <c r="K148" s="321"/>
      <c r="L148" s="321"/>
      <c r="M148" s="321"/>
      <c r="N148" s="323"/>
      <c r="O148" s="323"/>
      <c r="P148" s="272"/>
      <c r="Q148" s="272"/>
      <c r="R148" s="254"/>
    </row>
    <row r="149" spans="1:18" s="209" customFormat="1" ht="15.75" outlineLevel="1">
      <c r="A149" s="256"/>
      <c r="B149" s="289"/>
      <c r="C149" s="257"/>
      <c r="D149" s="261"/>
      <c r="E149" s="262"/>
      <c r="F149" s="257"/>
      <c r="G149" s="260"/>
      <c r="H149" s="276" t="s">
        <v>197</v>
      </c>
      <c r="I149" s="272"/>
      <c r="J149" s="272"/>
      <c r="K149" s="321"/>
      <c r="L149" s="321"/>
      <c r="M149" s="321"/>
      <c r="N149" s="322"/>
      <c r="O149" s="322"/>
      <c r="P149" s="272"/>
      <c r="Q149" s="272"/>
      <c r="R149" s="254"/>
    </row>
    <row r="150" spans="1:18" s="209" customFormat="1" ht="15" customHeight="1" outlineLevel="2">
      <c r="A150" s="239">
        <v>33125</v>
      </c>
      <c r="B150" s="288" t="s">
        <v>5</v>
      </c>
      <c r="C150" s="211" t="s">
        <v>311</v>
      </c>
      <c r="D150" s="224" t="s">
        <v>30</v>
      </c>
      <c r="E150" s="224" t="s">
        <v>31</v>
      </c>
      <c r="F150" s="211" t="s">
        <v>457</v>
      </c>
      <c r="G150" s="225">
        <v>30471283</v>
      </c>
      <c r="H150" s="229" t="s">
        <v>869</v>
      </c>
      <c r="I150" s="248">
        <v>32158011</v>
      </c>
      <c r="J150" s="226">
        <v>32158011</v>
      </c>
      <c r="K150" s="325">
        <v>0</v>
      </c>
      <c r="L150" s="325">
        <v>0</v>
      </c>
      <c r="M150" s="325">
        <v>0</v>
      </c>
      <c r="N150" s="234">
        <v>0</v>
      </c>
      <c r="O150" s="234">
        <v>0</v>
      </c>
      <c r="P150" s="226">
        <f>K150+L150+M150+N150+O150</f>
        <v>0</v>
      </c>
      <c r="Q150" s="237">
        <f>I150-(J150+P150)</f>
        <v>0</v>
      </c>
      <c r="R150" s="211" t="s">
        <v>460</v>
      </c>
    </row>
    <row r="151" spans="1:18" s="209" customFormat="1" ht="15" customHeight="1" outlineLevel="2">
      <c r="A151" s="239">
        <v>33125</v>
      </c>
      <c r="B151" s="288" t="s">
        <v>5</v>
      </c>
      <c r="C151" s="211" t="s">
        <v>251</v>
      </c>
      <c r="D151" s="224" t="s">
        <v>30</v>
      </c>
      <c r="E151" s="224" t="s">
        <v>31</v>
      </c>
      <c r="F151" s="211" t="s">
        <v>457</v>
      </c>
      <c r="G151" s="225">
        <v>30482061</v>
      </c>
      <c r="H151" s="224" t="s">
        <v>870</v>
      </c>
      <c r="I151" s="248">
        <v>74962503</v>
      </c>
      <c r="J151" s="226">
        <v>71137819</v>
      </c>
      <c r="K151" s="325">
        <v>0</v>
      </c>
      <c r="L151" s="325">
        <v>0</v>
      </c>
      <c r="M151" s="238">
        <v>3824684</v>
      </c>
      <c r="N151" s="234">
        <v>0</v>
      </c>
      <c r="O151" s="234">
        <v>0</v>
      </c>
      <c r="P151" s="226">
        <f>K151+L151+M151+N151+O151</f>
        <v>3824684</v>
      </c>
      <c r="Q151" s="237">
        <f>I151-(J151+P151)</f>
        <v>0</v>
      </c>
      <c r="R151" s="211" t="s">
        <v>460</v>
      </c>
    </row>
    <row r="152" spans="1:18" s="209" customFormat="1" ht="15" customHeight="1" outlineLevel="2">
      <c r="A152" s="239">
        <v>33125</v>
      </c>
      <c r="B152" s="288" t="s">
        <v>5</v>
      </c>
      <c r="C152" s="211" t="s">
        <v>251</v>
      </c>
      <c r="D152" s="224" t="s">
        <v>30</v>
      </c>
      <c r="E152" s="224" t="s">
        <v>31</v>
      </c>
      <c r="F152" s="211" t="s">
        <v>457</v>
      </c>
      <c r="G152" s="225">
        <v>30482335</v>
      </c>
      <c r="H152" s="224" t="s">
        <v>871</v>
      </c>
      <c r="I152" s="248">
        <v>64499901</v>
      </c>
      <c r="J152" s="226">
        <v>46390577</v>
      </c>
      <c r="K152" s="325">
        <v>0</v>
      </c>
      <c r="L152" s="325">
        <v>0</v>
      </c>
      <c r="M152" s="325">
        <v>0</v>
      </c>
      <c r="N152" s="234">
        <v>0</v>
      </c>
      <c r="O152" s="234">
        <v>0</v>
      </c>
      <c r="P152" s="226">
        <f>K152+L152+M152+N152+O152</f>
        <v>0</v>
      </c>
      <c r="Q152" s="237">
        <f>I152-(J152+P152)</f>
        <v>18109324</v>
      </c>
      <c r="R152" s="211" t="s">
        <v>460</v>
      </c>
    </row>
    <row r="153" spans="1:18" s="209" customFormat="1" ht="15" customHeight="1" outlineLevel="2">
      <c r="A153" s="239">
        <v>33125</v>
      </c>
      <c r="B153" s="288" t="s">
        <v>5</v>
      </c>
      <c r="C153" s="211" t="s">
        <v>867</v>
      </c>
      <c r="D153" s="224" t="s">
        <v>30</v>
      </c>
      <c r="E153" s="224" t="s">
        <v>31</v>
      </c>
      <c r="F153" s="211" t="s">
        <v>457</v>
      </c>
      <c r="G153" s="230">
        <v>30486683</v>
      </c>
      <c r="H153" s="231" t="s">
        <v>872</v>
      </c>
      <c r="I153" s="248">
        <v>84936279</v>
      </c>
      <c r="J153" s="226">
        <v>0</v>
      </c>
      <c r="K153" s="325">
        <v>0</v>
      </c>
      <c r="L153" s="325">
        <v>0</v>
      </c>
      <c r="M153" s="325">
        <v>0</v>
      </c>
      <c r="N153" s="234">
        <v>0</v>
      </c>
      <c r="O153" s="234">
        <v>0</v>
      </c>
      <c r="P153" s="226">
        <f>K153+L153+M153+N153+O153</f>
        <v>0</v>
      </c>
      <c r="Q153" s="237">
        <f>I153-(J153+P153)</f>
        <v>84936279</v>
      </c>
      <c r="R153" s="211" t="s">
        <v>239</v>
      </c>
    </row>
    <row r="154" spans="1:18" s="209" customFormat="1" ht="15" customHeight="1" outlineLevel="2">
      <c r="A154" s="239">
        <v>33125</v>
      </c>
      <c r="B154" s="288" t="s">
        <v>5</v>
      </c>
      <c r="C154" s="211" t="s">
        <v>985</v>
      </c>
      <c r="D154" s="224" t="s">
        <v>30</v>
      </c>
      <c r="E154" s="224" t="s">
        <v>31</v>
      </c>
      <c r="F154" s="211" t="s">
        <v>457</v>
      </c>
      <c r="G154" s="230">
        <v>30487535</v>
      </c>
      <c r="H154" s="231" t="s">
        <v>873</v>
      </c>
      <c r="I154" s="248">
        <v>49500002</v>
      </c>
      <c r="J154" s="226">
        <v>0</v>
      </c>
      <c r="K154" s="325">
        <v>0</v>
      </c>
      <c r="L154" s="325">
        <v>0</v>
      </c>
      <c r="M154" s="325">
        <v>0</v>
      </c>
      <c r="N154" s="234">
        <v>0</v>
      </c>
      <c r="O154" s="234">
        <v>0</v>
      </c>
      <c r="P154" s="226">
        <f>K154+L154+M154+N154+O154</f>
        <v>0</v>
      </c>
      <c r="Q154" s="237">
        <f>I154-(J154+P154)</f>
        <v>49500002</v>
      </c>
      <c r="R154" s="211" t="s">
        <v>239</v>
      </c>
    </row>
    <row r="155" spans="1:18" s="209" customFormat="1" ht="15" customHeight="1" outlineLevel="1">
      <c r="A155" s="256"/>
      <c r="B155" s="289"/>
      <c r="C155" s="257"/>
      <c r="D155" s="261"/>
      <c r="E155" s="262"/>
      <c r="F155" s="257"/>
      <c r="G155" s="263"/>
      <c r="H155" s="252" t="s">
        <v>163</v>
      </c>
      <c r="I155" s="253">
        <f>SUBTOTAL(9,I150:I154)</f>
        <v>306056696</v>
      </c>
      <c r="J155" s="253">
        <f>SUBTOTAL(9,J150:J154)</f>
        <v>149686407</v>
      </c>
      <c r="K155" s="253">
        <f t="shared" ref="K155:N155" si="19">SUBTOTAL(9,K150:K154)</f>
        <v>0</v>
      </c>
      <c r="L155" s="253">
        <f t="shared" si="19"/>
        <v>0</v>
      </c>
      <c r="M155" s="253">
        <f t="shared" si="19"/>
        <v>3824684</v>
      </c>
      <c r="N155" s="253">
        <f t="shared" si="19"/>
        <v>0</v>
      </c>
      <c r="O155" s="253">
        <f>SUBTOTAL(9,O150:O154)</f>
        <v>0</v>
      </c>
      <c r="P155" s="253">
        <f>SUBTOTAL(9,P150:P154)</f>
        <v>3824684</v>
      </c>
      <c r="Q155" s="253">
        <f>SUBTOTAL(9,Q150:Q154)</f>
        <v>152545605</v>
      </c>
      <c r="R155" s="254"/>
    </row>
    <row r="156" spans="1:18" s="209" customFormat="1" ht="15" customHeight="1" outlineLevel="1">
      <c r="A156" s="256"/>
      <c r="B156" s="289"/>
      <c r="C156" s="257"/>
      <c r="D156" s="261"/>
      <c r="E156" s="262"/>
      <c r="F156" s="257"/>
      <c r="G156" s="263"/>
      <c r="H156" s="271"/>
      <c r="I156" s="272"/>
      <c r="J156" s="272"/>
      <c r="K156" s="321"/>
      <c r="L156" s="321"/>
      <c r="M156" s="321"/>
      <c r="N156" s="324"/>
      <c r="O156" s="324"/>
      <c r="P156" s="272"/>
      <c r="Q156" s="272"/>
      <c r="R156" s="254"/>
    </row>
    <row r="157" spans="1:18" s="209" customFormat="1" ht="15.75" outlineLevel="1">
      <c r="A157" s="256"/>
      <c r="B157" s="289"/>
      <c r="C157" s="257"/>
      <c r="D157" s="261"/>
      <c r="E157" s="262"/>
      <c r="F157" s="257"/>
      <c r="G157" s="260"/>
      <c r="H157" s="276" t="s">
        <v>199</v>
      </c>
      <c r="I157" s="272"/>
      <c r="J157" s="272"/>
      <c r="K157" s="321"/>
      <c r="L157" s="321"/>
      <c r="M157" s="321"/>
      <c r="N157" s="322"/>
      <c r="O157" s="322"/>
      <c r="P157" s="272"/>
      <c r="Q157" s="272"/>
      <c r="R157" s="254"/>
    </row>
    <row r="158" spans="1:18" s="209" customFormat="1" ht="15" customHeight="1" outlineLevel="2">
      <c r="A158" s="239">
        <v>33125</v>
      </c>
      <c r="B158" s="288" t="s">
        <v>5</v>
      </c>
      <c r="C158" s="211" t="s">
        <v>984</v>
      </c>
      <c r="D158" s="224" t="s">
        <v>30</v>
      </c>
      <c r="E158" s="224" t="s">
        <v>35</v>
      </c>
      <c r="F158" s="211" t="s">
        <v>457</v>
      </c>
      <c r="G158" s="225">
        <v>40000987</v>
      </c>
      <c r="H158" s="224" t="s">
        <v>606</v>
      </c>
      <c r="I158" s="248">
        <v>34808036</v>
      </c>
      <c r="J158" s="228">
        <v>0</v>
      </c>
      <c r="K158" s="325">
        <v>0</v>
      </c>
      <c r="L158" s="325">
        <v>0</v>
      </c>
      <c r="M158" s="325">
        <v>0</v>
      </c>
      <c r="N158" s="226">
        <v>34808036</v>
      </c>
      <c r="O158" s="234">
        <v>0</v>
      </c>
      <c r="P158" s="226">
        <f>K158+L158+M158+N158+O158</f>
        <v>34808036</v>
      </c>
      <c r="Q158" s="237">
        <f>I158-(J158+P158)</f>
        <v>0</v>
      </c>
      <c r="R158" s="211" t="s">
        <v>460</v>
      </c>
    </row>
    <row r="159" spans="1:18" s="209" customFormat="1" ht="15" customHeight="1" outlineLevel="2">
      <c r="A159" s="239">
        <v>33125</v>
      </c>
      <c r="B159" s="288" t="s">
        <v>5</v>
      </c>
      <c r="C159" s="211" t="s">
        <v>253</v>
      </c>
      <c r="D159" s="224" t="s">
        <v>30</v>
      </c>
      <c r="E159" s="224" t="s">
        <v>35</v>
      </c>
      <c r="F159" s="211" t="s">
        <v>457</v>
      </c>
      <c r="G159" s="225">
        <v>30482689</v>
      </c>
      <c r="H159" s="224" t="s">
        <v>875</v>
      </c>
      <c r="I159" s="248">
        <v>79438244</v>
      </c>
      <c r="J159" s="228">
        <v>61566482</v>
      </c>
      <c r="K159" s="325">
        <v>0</v>
      </c>
      <c r="L159" s="325">
        <v>0</v>
      </c>
      <c r="M159" s="325">
        <v>0</v>
      </c>
      <c r="N159" s="226">
        <v>17871762</v>
      </c>
      <c r="O159" s="234">
        <v>0</v>
      </c>
      <c r="P159" s="226">
        <f>K159+L159+M159+N159+O159</f>
        <v>17871762</v>
      </c>
      <c r="Q159" s="237">
        <f>I159-(J159+P159)</f>
        <v>0</v>
      </c>
      <c r="R159" s="211" t="s">
        <v>460</v>
      </c>
    </row>
    <row r="160" spans="1:18" s="209" customFormat="1" ht="15" customHeight="1" outlineLevel="2">
      <c r="A160" s="239">
        <v>33125</v>
      </c>
      <c r="B160" s="288" t="s">
        <v>5</v>
      </c>
      <c r="C160" s="211" t="s">
        <v>253</v>
      </c>
      <c r="D160" s="224" t="s">
        <v>30</v>
      </c>
      <c r="E160" s="224" t="s">
        <v>35</v>
      </c>
      <c r="F160" s="211" t="s">
        <v>457</v>
      </c>
      <c r="G160" s="225">
        <v>30482692</v>
      </c>
      <c r="H160" s="224" t="s">
        <v>876</v>
      </c>
      <c r="I160" s="248">
        <v>59994201</v>
      </c>
      <c r="J160" s="228">
        <v>56984096</v>
      </c>
      <c r="K160" s="325">
        <v>0</v>
      </c>
      <c r="L160" s="325">
        <v>0</v>
      </c>
      <c r="M160" s="325">
        <v>0</v>
      </c>
      <c r="N160" s="226">
        <v>3010105</v>
      </c>
      <c r="O160" s="234">
        <v>0</v>
      </c>
      <c r="P160" s="226">
        <f>K160+L160+M160+N160+O160</f>
        <v>3010105</v>
      </c>
      <c r="Q160" s="237">
        <f>I160-(J160+P160)</f>
        <v>0</v>
      </c>
      <c r="R160" s="211" t="s">
        <v>460</v>
      </c>
    </row>
    <row r="161" spans="1:18" s="209" customFormat="1" ht="15" customHeight="1" outlineLevel="2">
      <c r="A161" s="239">
        <v>33125</v>
      </c>
      <c r="B161" s="288" t="s">
        <v>5</v>
      </c>
      <c r="C161" s="211" t="s">
        <v>867</v>
      </c>
      <c r="D161" s="224" t="s">
        <v>30</v>
      </c>
      <c r="E161" s="224" t="s">
        <v>35</v>
      </c>
      <c r="F161" s="211" t="s">
        <v>457</v>
      </c>
      <c r="G161" s="230">
        <v>30488462</v>
      </c>
      <c r="H161" s="231" t="s">
        <v>604</v>
      </c>
      <c r="I161" s="248">
        <v>24999785</v>
      </c>
      <c r="J161" s="240">
        <v>0</v>
      </c>
      <c r="K161" s="325">
        <v>0</v>
      </c>
      <c r="L161" s="325">
        <v>0</v>
      </c>
      <c r="M161" s="238">
        <v>7446454</v>
      </c>
      <c r="N161" s="234">
        <v>0</v>
      </c>
      <c r="O161" s="234">
        <v>12582736</v>
      </c>
      <c r="P161" s="226">
        <f>K161+L161+M161+N161+O161</f>
        <v>20029190</v>
      </c>
      <c r="Q161" s="237">
        <f>I161-(J161+P161)</f>
        <v>4970595</v>
      </c>
      <c r="R161" s="211" t="s">
        <v>239</v>
      </c>
    </row>
    <row r="162" spans="1:18" s="209" customFormat="1" ht="15" customHeight="1" outlineLevel="2">
      <c r="A162" s="239">
        <v>33125</v>
      </c>
      <c r="B162" s="288" t="s">
        <v>5</v>
      </c>
      <c r="C162" s="211" t="s">
        <v>253</v>
      </c>
      <c r="D162" s="224" t="s">
        <v>30</v>
      </c>
      <c r="E162" s="224" t="s">
        <v>35</v>
      </c>
      <c r="F162" s="211" t="s">
        <v>457</v>
      </c>
      <c r="G162" s="230">
        <v>30488468</v>
      </c>
      <c r="H162" s="231" t="s">
        <v>623</v>
      </c>
      <c r="I162" s="248">
        <v>64999981</v>
      </c>
      <c r="J162" s="240">
        <v>0</v>
      </c>
      <c r="K162" s="325">
        <v>0</v>
      </c>
      <c r="L162" s="238">
        <v>6542427</v>
      </c>
      <c r="M162" s="238">
        <v>20141161</v>
      </c>
      <c r="N162" s="234">
        <v>0</v>
      </c>
      <c r="O162" s="234">
        <v>38316393</v>
      </c>
      <c r="P162" s="226">
        <f>K162+L162+M162+N162+O162</f>
        <v>64999981</v>
      </c>
      <c r="Q162" s="237">
        <f>I162-(J162+P162)</f>
        <v>0</v>
      </c>
      <c r="R162" s="211" t="s">
        <v>460</v>
      </c>
    </row>
    <row r="163" spans="1:18" s="209" customFormat="1" ht="15" customHeight="1" outlineLevel="2">
      <c r="A163" s="239">
        <v>33125</v>
      </c>
      <c r="B163" s="288" t="s">
        <v>5</v>
      </c>
      <c r="C163" s="211" t="s">
        <v>867</v>
      </c>
      <c r="D163" s="224" t="s">
        <v>30</v>
      </c>
      <c r="E163" s="224" t="s">
        <v>35</v>
      </c>
      <c r="F163" s="211" t="s">
        <v>457</v>
      </c>
      <c r="G163" s="225">
        <v>30484893</v>
      </c>
      <c r="H163" s="224" t="s">
        <v>578</v>
      </c>
      <c r="I163" s="248">
        <v>78999672</v>
      </c>
      <c r="J163" s="240">
        <v>0</v>
      </c>
      <c r="K163" s="325">
        <v>0</v>
      </c>
      <c r="L163" s="325">
        <v>0</v>
      </c>
      <c r="M163" s="325">
        <v>0</v>
      </c>
      <c r="N163" s="226">
        <v>23260038</v>
      </c>
      <c r="O163" s="234">
        <v>11246318</v>
      </c>
      <c r="P163" s="226">
        <f>K163+L163+M163+N163+O163</f>
        <v>34506356</v>
      </c>
      <c r="Q163" s="237">
        <f>I163-(J163+P163)</f>
        <v>44493316</v>
      </c>
      <c r="R163" s="211" t="s">
        <v>239</v>
      </c>
    </row>
    <row r="164" spans="1:18" s="209" customFormat="1" ht="15" customHeight="1" outlineLevel="2">
      <c r="A164" s="239">
        <v>33125</v>
      </c>
      <c r="B164" s="288" t="s">
        <v>5</v>
      </c>
      <c r="C164" s="211" t="s">
        <v>663</v>
      </c>
      <c r="D164" s="224" t="s">
        <v>30</v>
      </c>
      <c r="E164" s="224" t="s">
        <v>35</v>
      </c>
      <c r="F164" s="211" t="s">
        <v>457</v>
      </c>
      <c r="G164" s="230">
        <v>30488523</v>
      </c>
      <c r="H164" s="231" t="s">
        <v>874</v>
      </c>
      <c r="I164" s="248">
        <v>49999999</v>
      </c>
      <c r="J164" s="240">
        <v>0</v>
      </c>
      <c r="K164" s="325">
        <v>0</v>
      </c>
      <c r="L164" s="238">
        <v>13341815</v>
      </c>
      <c r="M164" s="238">
        <v>11170322</v>
      </c>
      <c r="N164" s="234">
        <v>0</v>
      </c>
      <c r="O164" s="234">
        <v>20502936</v>
      </c>
      <c r="P164" s="226">
        <f>K164+L164+M164+N164+O164</f>
        <v>45015073</v>
      </c>
      <c r="Q164" s="237">
        <f>I164-(J164+P164)</f>
        <v>4984926</v>
      </c>
      <c r="R164" s="211" t="s">
        <v>239</v>
      </c>
    </row>
    <row r="165" spans="1:18" s="209" customFormat="1" ht="15" customHeight="1" outlineLevel="1">
      <c r="A165" s="256"/>
      <c r="B165" s="289"/>
      <c r="C165" s="257"/>
      <c r="D165" s="261"/>
      <c r="E165" s="262"/>
      <c r="F165" s="257"/>
      <c r="G165" s="260"/>
      <c r="H165" s="252" t="s">
        <v>165</v>
      </c>
      <c r="I165" s="253">
        <f>SUBTOTAL(9,I158:I164)</f>
        <v>393239918</v>
      </c>
      <c r="J165" s="253">
        <f>SUBTOTAL(9,J158:J164)</f>
        <v>118550578</v>
      </c>
      <c r="K165" s="253">
        <f t="shared" ref="K165:N165" si="20">SUBTOTAL(9,K158:K164)</f>
        <v>0</v>
      </c>
      <c r="L165" s="253">
        <f t="shared" si="20"/>
        <v>19884242</v>
      </c>
      <c r="M165" s="253">
        <f t="shared" si="20"/>
        <v>38757937</v>
      </c>
      <c r="N165" s="253">
        <f t="shared" si="20"/>
        <v>78949941</v>
      </c>
      <c r="O165" s="253">
        <f>SUBTOTAL(9,O158:O164)</f>
        <v>82648383</v>
      </c>
      <c r="P165" s="253">
        <f>SUBTOTAL(9,P158:P164)</f>
        <v>220240503</v>
      </c>
      <c r="Q165" s="253">
        <f>SUBTOTAL(9,Q158:Q164)</f>
        <v>54448837</v>
      </c>
      <c r="R165" s="254"/>
    </row>
    <row r="166" spans="1:18" s="209" customFormat="1" ht="15" customHeight="1" outlineLevel="1">
      <c r="A166" s="256"/>
      <c r="B166" s="289"/>
      <c r="C166" s="257"/>
      <c r="D166" s="261"/>
      <c r="E166" s="262"/>
      <c r="F166" s="257"/>
      <c r="G166" s="260"/>
      <c r="H166" s="271"/>
      <c r="I166" s="272"/>
      <c r="J166" s="272"/>
      <c r="K166" s="321"/>
      <c r="L166" s="321"/>
      <c r="M166" s="321"/>
      <c r="N166" s="322"/>
      <c r="O166" s="322"/>
      <c r="P166" s="272"/>
      <c r="Q166" s="272"/>
      <c r="R166" s="254"/>
    </row>
    <row r="167" spans="1:18" s="209" customFormat="1" ht="15.75" outlineLevel="1">
      <c r="A167" s="256"/>
      <c r="B167" s="289"/>
      <c r="C167" s="257"/>
      <c r="D167" s="261"/>
      <c r="E167" s="262"/>
      <c r="F167" s="257"/>
      <c r="G167" s="260"/>
      <c r="H167" s="276" t="s">
        <v>465</v>
      </c>
      <c r="I167" s="272"/>
      <c r="J167" s="272"/>
      <c r="K167" s="321"/>
      <c r="L167" s="321"/>
      <c r="M167" s="321"/>
      <c r="N167" s="322"/>
      <c r="O167" s="322"/>
      <c r="P167" s="272"/>
      <c r="Q167" s="272"/>
      <c r="R167" s="254"/>
    </row>
    <row r="168" spans="1:18" s="209" customFormat="1" ht="15" customHeight="1" outlineLevel="2">
      <c r="A168" s="239">
        <v>33125</v>
      </c>
      <c r="B168" s="288" t="s">
        <v>5</v>
      </c>
      <c r="C168" s="211" t="s">
        <v>253</v>
      </c>
      <c r="D168" s="224" t="s">
        <v>30</v>
      </c>
      <c r="E168" s="224" t="s">
        <v>879</v>
      </c>
      <c r="F168" s="211" t="s">
        <v>457</v>
      </c>
      <c r="G168" s="225">
        <v>30483429</v>
      </c>
      <c r="H168" s="224" t="s">
        <v>613</v>
      </c>
      <c r="I168" s="248">
        <v>26482141</v>
      </c>
      <c r="J168" s="226">
        <v>16652563</v>
      </c>
      <c r="K168" s="325">
        <v>0</v>
      </c>
      <c r="L168" s="238">
        <v>9829578</v>
      </c>
      <c r="M168" s="325">
        <v>0</v>
      </c>
      <c r="N168" s="234">
        <v>0</v>
      </c>
      <c r="O168" s="234">
        <v>0</v>
      </c>
      <c r="P168" s="226">
        <f>K168+L168+M168+N168+O168</f>
        <v>9829578</v>
      </c>
      <c r="Q168" s="237">
        <f>I168-(J168+P168)</f>
        <v>0</v>
      </c>
      <c r="R168" s="211" t="s">
        <v>460</v>
      </c>
    </row>
    <row r="169" spans="1:18" s="209" customFormat="1" ht="15" customHeight="1" outlineLevel="2">
      <c r="A169" s="239">
        <v>33125</v>
      </c>
      <c r="B169" s="288" t="s">
        <v>5</v>
      </c>
      <c r="C169" s="211" t="s">
        <v>867</v>
      </c>
      <c r="D169" s="224" t="s">
        <v>30</v>
      </c>
      <c r="E169" s="224" t="s">
        <v>282</v>
      </c>
      <c r="F169" s="211" t="s">
        <v>457</v>
      </c>
      <c r="G169" s="225">
        <v>30488220</v>
      </c>
      <c r="H169" s="224" t="s">
        <v>877</v>
      </c>
      <c r="I169" s="248">
        <v>47999999</v>
      </c>
      <c r="J169" s="226">
        <v>0</v>
      </c>
      <c r="K169" s="325">
        <v>0</v>
      </c>
      <c r="L169" s="238">
        <v>24462462</v>
      </c>
      <c r="M169" s="325">
        <v>0</v>
      </c>
      <c r="N169" s="226">
        <v>20962564</v>
      </c>
      <c r="O169" s="234">
        <v>0</v>
      </c>
      <c r="P169" s="226">
        <f>K169+L169+M169+N169+O169</f>
        <v>45425026</v>
      </c>
      <c r="Q169" s="237">
        <f>I169-(J169+P169)</f>
        <v>2574973</v>
      </c>
      <c r="R169" s="211" t="s">
        <v>239</v>
      </c>
    </row>
    <row r="170" spans="1:18" s="209" customFormat="1" ht="15" customHeight="1" outlineLevel="2">
      <c r="A170" s="239">
        <v>33125</v>
      </c>
      <c r="B170" s="288" t="s">
        <v>5</v>
      </c>
      <c r="C170" s="211" t="s">
        <v>984</v>
      </c>
      <c r="D170" s="224" t="s">
        <v>30</v>
      </c>
      <c r="E170" s="224" t="s">
        <v>282</v>
      </c>
      <c r="F170" s="211" t="s">
        <v>457</v>
      </c>
      <c r="G170" s="225">
        <v>30488318</v>
      </c>
      <c r="H170" s="224" t="s">
        <v>878</v>
      </c>
      <c r="I170" s="248">
        <v>89702126</v>
      </c>
      <c r="J170" s="226">
        <v>0</v>
      </c>
      <c r="K170" s="325">
        <v>0</v>
      </c>
      <c r="L170" s="238">
        <v>13042406</v>
      </c>
      <c r="M170" s="325">
        <v>0</v>
      </c>
      <c r="N170" s="226">
        <v>25699991</v>
      </c>
      <c r="O170" s="234">
        <v>0</v>
      </c>
      <c r="P170" s="226">
        <f>K170+L170+M170+N170+O170</f>
        <v>38742397</v>
      </c>
      <c r="Q170" s="237">
        <f>I170-(J170+P170)</f>
        <v>50959729</v>
      </c>
      <c r="R170" s="211" t="s">
        <v>239</v>
      </c>
    </row>
    <row r="171" spans="1:18" s="209" customFormat="1" ht="15" customHeight="1" outlineLevel="1">
      <c r="A171" s="256"/>
      <c r="B171" s="289"/>
      <c r="C171" s="257"/>
      <c r="D171" s="261"/>
      <c r="E171" s="262"/>
      <c r="F171" s="257"/>
      <c r="G171" s="260"/>
      <c r="H171" s="252" t="s">
        <v>992</v>
      </c>
      <c r="I171" s="253">
        <f>SUBTOTAL(9,I168:I170)</f>
        <v>164184266</v>
      </c>
      <c r="J171" s="253">
        <f t="shared" ref="J171:Q171" si="21">SUBTOTAL(9,J168:J170)</f>
        <v>16652563</v>
      </c>
      <c r="K171" s="253">
        <f t="shared" si="21"/>
        <v>0</v>
      </c>
      <c r="L171" s="253">
        <f t="shared" si="21"/>
        <v>47334446</v>
      </c>
      <c r="M171" s="253">
        <f t="shared" si="21"/>
        <v>0</v>
      </c>
      <c r="N171" s="253">
        <f t="shared" si="21"/>
        <v>46662555</v>
      </c>
      <c r="O171" s="253">
        <f t="shared" si="21"/>
        <v>0</v>
      </c>
      <c r="P171" s="253">
        <f t="shared" si="21"/>
        <v>93997001</v>
      </c>
      <c r="Q171" s="253">
        <f t="shared" si="21"/>
        <v>53534702</v>
      </c>
      <c r="R171" s="254"/>
    </row>
    <row r="172" spans="1:18" s="257" customFormat="1" ht="15" customHeight="1" outlineLevel="1">
      <c r="A172" s="256"/>
      <c r="B172" s="289"/>
      <c r="D172" s="261"/>
      <c r="E172" s="262"/>
      <c r="G172" s="260"/>
      <c r="H172" s="271"/>
      <c r="I172" s="272"/>
      <c r="J172" s="272"/>
      <c r="K172" s="321"/>
      <c r="L172" s="321"/>
      <c r="M172" s="321"/>
      <c r="N172" s="324"/>
      <c r="O172" s="324"/>
      <c r="P172" s="272"/>
      <c r="Q172" s="272"/>
      <c r="R172" s="254"/>
    </row>
    <row r="173" spans="1:18" s="209" customFormat="1" ht="15.75" outlineLevel="1">
      <c r="A173" s="256"/>
      <c r="B173" s="289"/>
      <c r="C173" s="257"/>
      <c r="D173" s="261"/>
      <c r="E173" s="262"/>
      <c r="F173" s="257"/>
      <c r="G173" s="260"/>
      <c r="H173" s="274" t="s">
        <v>200</v>
      </c>
      <c r="I173" s="272"/>
      <c r="J173" s="272"/>
      <c r="K173" s="321"/>
      <c r="L173" s="321"/>
      <c r="M173" s="321"/>
      <c r="N173" s="322"/>
      <c r="O173" s="322"/>
      <c r="P173" s="272"/>
      <c r="Q173" s="272"/>
      <c r="R173" s="254"/>
    </row>
    <row r="174" spans="1:18" s="209" customFormat="1" ht="15" customHeight="1" outlineLevel="2">
      <c r="A174" s="239">
        <v>33125</v>
      </c>
      <c r="B174" s="288" t="s">
        <v>5</v>
      </c>
      <c r="C174" s="211" t="s">
        <v>867</v>
      </c>
      <c r="D174" s="224" t="s">
        <v>30</v>
      </c>
      <c r="E174" s="224" t="s">
        <v>36</v>
      </c>
      <c r="F174" s="211" t="s">
        <v>457</v>
      </c>
      <c r="G174" s="225">
        <v>30482581</v>
      </c>
      <c r="H174" s="232" t="s">
        <v>577</v>
      </c>
      <c r="I174" s="248">
        <v>58017409</v>
      </c>
      <c r="J174" s="228">
        <v>33562474</v>
      </c>
      <c r="K174" s="325">
        <v>0</v>
      </c>
      <c r="L174" s="238">
        <v>10125847</v>
      </c>
      <c r="M174" s="325">
        <v>0</v>
      </c>
      <c r="N174" s="226">
        <v>14329088</v>
      </c>
      <c r="O174" s="234">
        <v>0</v>
      </c>
      <c r="P174" s="226">
        <f>K174+L174+M174+N174+O174</f>
        <v>24454935</v>
      </c>
      <c r="Q174" s="237">
        <f>I174-(J174+P174)</f>
        <v>0</v>
      </c>
      <c r="R174" s="211" t="s">
        <v>460</v>
      </c>
    </row>
    <row r="175" spans="1:18" s="209" customFormat="1" ht="15" customHeight="1" outlineLevel="2">
      <c r="A175" s="239">
        <v>33125</v>
      </c>
      <c r="B175" s="288" t="s">
        <v>5</v>
      </c>
      <c r="C175" s="211" t="s">
        <v>985</v>
      </c>
      <c r="D175" s="224" t="s">
        <v>30</v>
      </c>
      <c r="E175" s="224" t="s">
        <v>36</v>
      </c>
      <c r="F175" s="211" t="s">
        <v>457</v>
      </c>
      <c r="G175" s="225">
        <v>40000089</v>
      </c>
      <c r="H175" s="224" t="s">
        <v>603</v>
      </c>
      <c r="I175" s="248">
        <v>48552250</v>
      </c>
      <c r="J175" s="228">
        <v>0</v>
      </c>
      <c r="K175" s="325">
        <v>0</v>
      </c>
      <c r="L175" s="325">
        <v>0</v>
      </c>
      <c r="M175" s="325">
        <v>0</v>
      </c>
      <c r="N175" s="226">
        <v>48552250</v>
      </c>
      <c r="O175" s="234">
        <v>0</v>
      </c>
      <c r="P175" s="226">
        <f>K175+L175+M175+N175+O175</f>
        <v>48552250</v>
      </c>
      <c r="Q175" s="237">
        <f>I175-(J175+P175)</f>
        <v>0</v>
      </c>
      <c r="R175" s="211" t="s">
        <v>460</v>
      </c>
    </row>
    <row r="176" spans="1:18" s="209" customFormat="1" ht="15" customHeight="1" outlineLevel="2">
      <c r="A176" s="239">
        <v>33125</v>
      </c>
      <c r="B176" s="288" t="s">
        <v>5</v>
      </c>
      <c r="C176" s="211" t="s">
        <v>241</v>
      </c>
      <c r="D176" s="224" t="s">
        <v>30</v>
      </c>
      <c r="E176" s="224" t="s">
        <v>36</v>
      </c>
      <c r="F176" s="211" t="s">
        <v>457</v>
      </c>
      <c r="G176" s="225">
        <v>40000090</v>
      </c>
      <c r="H176" s="224" t="s">
        <v>883</v>
      </c>
      <c r="I176" s="248">
        <v>28673794</v>
      </c>
      <c r="J176" s="228">
        <v>0</v>
      </c>
      <c r="K176" s="325">
        <v>0</v>
      </c>
      <c r="L176" s="325">
        <v>0</v>
      </c>
      <c r="M176" s="226">
        <v>28673794</v>
      </c>
      <c r="N176" s="234">
        <v>0</v>
      </c>
      <c r="O176" s="234">
        <v>0</v>
      </c>
      <c r="P176" s="226">
        <f>K176+L176+M176+N176+O176</f>
        <v>28673794</v>
      </c>
      <c r="Q176" s="237">
        <f>I176-(J176+P176)</f>
        <v>0</v>
      </c>
      <c r="R176" s="211" t="s">
        <v>460</v>
      </c>
    </row>
    <row r="177" spans="1:18" s="209" customFormat="1" ht="15" customHeight="1" outlineLevel="2">
      <c r="A177" s="239">
        <v>33125</v>
      </c>
      <c r="B177" s="288" t="s">
        <v>5</v>
      </c>
      <c r="C177" s="211" t="s">
        <v>241</v>
      </c>
      <c r="D177" s="224" t="s">
        <v>30</v>
      </c>
      <c r="E177" s="224" t="s">
        <v>36</v>
      </c>
      <c r="F177" s="211" t="s">
        <v>457</v>
      </c>
      <c r="G177" s="225">
        <v>30482583</v>
      </c>
      <c r="H177" s="231" t="s">
        <v>624</v>
      </c>
      <c r="I177" s="248">
        <v>40000000</v>
      </c>
      <c r="J177" s="240">
        <v>0</v>
      </c>
      <c r="K177" s="325">
        <v>0</v>
      </c>
      <c r="L177" s="238">
        <v>14542276</v>
      </c>
      <c r="M177" s="325">
        <v>0</v>
      </c>
      <c r="N177" s="234">
        <v>0</v>
      </c>
      <c r="O177" s="234">
        <v>15332799</v>
      </c>
      <c r="P177" s="226">
        <f>K177+L177+M177+N177+O177</f>
        <v>29875075</v>
      </c>
      <c r="Q177" s="237">
        <f>I177-(J177+P177)</f>
        <v>10124925</v>
      </c>
      <c r="R177" s="211" t="s">
        <v>239</v>
      </c>
    </row>
    <row r="178" spans="1:18" s="209" customFormat="1" ht="15" customHeight="1" outlineLevel="2">
      <c r="A178" s="239">
        <v>33125</v>
      </c>
      <c r="B178" s="288" t="s">
        <v>5</v>
      </c>
      <c r="C178" s="211" t="s">
        <v>253</v>
      </c>
      <c r="D178" s="224" t="s">
        <v>30</v>
      </c>
      <c r="E178" s="224" t="s">
        <v>36</v>
      </c>
      <c r="F178" s="211" t="s">
        <v>457</v>
      </c>
      <c r="G178" s="225">
        <v>30482586</v>
      </c>
      <c r="H178" s="232" t="s">
        <v>586</v>
      </c>
      <c r="I178" s="248">
        <v>38990273</v>
      </c>
      <c r="J178" s="227">
        <v>36083103</v>
      </c>
      <c r="K178" s="325">
        <v>0</v>
      </c>
      <c r="L178" s="325">
        <v>0</v>
      </c>
      <c r="M178" s="325">
        <v>0</v>
      </c>
      <c r="N178" s="234">
        <v>0</v>
      </c>
      <c r="O178" s="234">
        <v>0</v>
      </c>
      <c r="P178" s="226">
        <f>K178+L178+M178+N178+O178</f>
        <v>0</v>
      </c>
      <c r="Q178" s="237">
        <f>I178-(J178+P178)</f>
        <v>2907170</v>
      </c>
      <c r="R178" s="211" t="s">
        <v>239</v>
      </c>
    </row>
    <row r="179" spans="1:18" s="209" customFormat="1" ht="15" customHeight="1" outlineLevel="2">
      <c r="A179" s="239">
        <v>33125</v>
      </c>
      <c r="B179" s="288" t="s">
        <v>5</v>
      </c>
      <c r="C179" s="211" t="s">
        <v>241</v>
      </c>
      <c r="D179" s="224" t="s">
        <v>30</v>
      </c>
      <c r="E179" s="224" t="s">
        <v>36</v>
      </c>
      <c r="F179" s="211" t="s">
        <v>457</v>
      </c>
      <c r="G179" s="225">
        <v>30487285</v>
      </c>
      <c r="H179" s="224" t="s">
        <v>880</v>
      </c>
      <c r="I179" s="248">
        <v>43995038</v>
      </c>
      <c r="J179" s="240">
        <v>0</v>
      </c>
      <c r="K179" s="325">
        <v>0</v>
      </c>
      <c r="L179" s="325">
        <v>0</v>
      </c>
      <c r="M179" s="325">
        <v>0</v>
      </c>
      <c r="N179" s="234">
        <v>0</v>
      </c>
      <c r="O179" s="234">
        <v>0</v>
      </c>
      <c r="P179" s="226">
        <f>K179+L179+M179+N179+O179</f>
        <v>0</v>
      </c>
      <c r="Q179" s="237">
        <f>I179-(J179+P179)</f>
        <v>43995038</v>
      </c>
      <c r="R179" s="211" t="s">
        <v>239</v>
      </c>
    </row>
    <row r="180" spans="1:18" s="209" customFormat="1" ht="15" customHeight="1" outlineLevel="2">
      <c r="A180" s="239">
        <v>33125</v>
      </c>
      <c r="B180" s="288" t="s">
        <v>5</v>
      </c>
      <c r="C180" s="211" t="s">
        <v>984</v>
      </c>
      <c r="D180" s="224" t="s">
        <v>30</v>
      </c>
      <c r="E180" s="224" t="s">
        <v>36</v>
      </c>
      <c r="F180" s="211" t="s">
        <v>457</v>
      </c>
      <c r="G180" s="225">
        <v>30487508</v>
      </c>
      <c r="H180" s="224" t="s">
        <v>881</v>
      </c>
      <c r="I180" s="248">
        <v>71826466</v>
      </c>
      <c r="J180" s="240">
        <v>0</v>
      </c>
      <c r="K180" s="325">
        <v>0</v>
      </c>
      <c r="L180" s="325">
        <v>0</v>
      </c>
      <c r="M180" s="238">
        <v>48477506</v>
      </c>
      <c r="N180" s="234">
        <v>0</v>
      </c>
      <c r="O180" s="234">
        <v>0</v>
      </c>
      <c r="P180" s="226">
        <f>K180+L180+M180+N180+O180</f>
        <v>48477506</v>
      </c>
      <c r="Q180" s="237">
        <f>I180-(J180+P180)</f>
        <v>23348960</v>
      </c>
      <c r="R180" s="211" t="s">
        <v>239</v>
      </c>
    </row>
    <row r="181" spans="1:18" s="209" customFormat="1" ht="15" customHeight="1" outlineLevel="2">
      <c r="A181" s="239">
        <v>33125</v>
      </c>
      <c r="B181" s="288" t="s">
        <v>5</v>
      </c>
      <c r="C181" s="211" t="s">
        <v>985</v>
      </c>
      <c r="D181" s="224" t="s">
        <v>30</v>
      </c>
      <c r="E181" s="224" t="s">
        <v>36</v>
      </c>
      <c r="F181" s="211" t="s">
        <v>457</v>
      </c>
      <c r="G181" s="225">
        <v>30488439</v>
      </c>
      <c r="H181" s="224" t="s">
        <v>882</v>
      </c>
      <c r="I181" s="248">
        <v>46320750</v>
      </c>
      <c r="J181" s="240">
        <v>0</v>
      </c>
      <c r="K181" s="325">
        <v>0</v>
      </c>
      <c r="L181" s="238">
        <v>8746500</v>
      </c>
      <c r="M181" s="325">
        <v>0</v>
      </c>
      <c r="N181" s="226">
        <v>35090125</v>
      </c>
      <c r="O181" s="234">
        <v>2484125</v>
      </c>
      <c r="P181" s="226">
        <f>K181+L181+M181+N181+O181</f>
        <v>46320750</v>
      </c>
      <c r="Q181" s="237">
        <f>I181-(J181+P181)</f>
        <v>0</v>
      </c>
      <c r="R181" s="211" t="s">
        <v>460</v>
      </c>
    </row>
    <row r="182" spans="1:18" s="209" customFormat="1" ht="15" customHeight="1" outlineLevel="1">
      <c r="A182" s="256"/>
      <c r="B182" s="289"/>
      <c r="C182" s="257"/>
      <c r="D182" s="261"/>
      <c r="E182" s="262"/>
      <c r="F182" s="257"/>
      <c r="G182" s="260"/>
      <c r="H182" s="252" t="s">
        <v>167</v>
      </c>
      <c r="I182" s="253">
        <f>SUBTOTAL(9,I174:I181)</f>
        <v>376375980</v>
      </c>
      <c r="J182" s="253">
        <f>SUBTOTAL(9,J174:J181)</f>
        <v>69645577</v>
      </c>
      <c r="K182" s="253">
        <f t="shared" ref="K182:N182" si="22">SUBTOTAL(9,K174:K181)</f>
        <v>0</v>
      </c>
      <c r="L182" s="253">
        <f t="shared" si="22"/>
        <v>33414623</v>
      </c>
      <c r="M182" s="253">
        <f t="shared" si="22"/>
        <v>77151300</v>
      </c>
      <c r="N182" s="253">
        <f t="shared" si="22"/>
        <v>97971463</v>
      </c>
      <c r="O182" s="253">
        <f>SUBTOTAL(9,O174:O181)</f>
        <v>17816924</v>
      </c>
      <c r="P182" s="253">
        <f>SUBTOTAL(9,P174:P181)</f>
        <v>226354310</v>
      </c>
      <c r="Q182" s="253">
        <f>SUBTOTAL(9,Q174:Q181)</f>
        <v>80376093</v>
      </c>
      <c r="R182" s="254"/>
    </row>
    <row r="183" spans="1:18" s="257" customFormat="1" ht="15" customHeight="1" outlineLevel="1">
      <c r="A183" s="256"/>
      <c r="B183" s="289"/>
      <c r="D183" s="261"/>
      <c r="E183" s="262"/>
      <c r="G183" s="260"/>
      <c r="H183" s="271"/>
      <c r="I183" s="272"/>
      <c r="J183" s="272"/>
      <c r="K183" s="321"/>
      <c r="L183" s="321"/>
      <c r="M183" s="322"/>
      <c r="N183" s="322"/>
      <c r="O183" s="322"/>
      <c r="P183" s="272"/>
      <c r="Q183" s="272"/>
      <c r="R183" s="254"/>
    </row>
    <row r="184" spans="1:18" s="209" customFormat="1" ht="15.75" outlineLevel="1">
      <c r="A184" s="256"/>
      <c r="B184" s="289"/>
      <c r="C184" s="257"/>
      <c r="D184" s="261"/>
      <c r="E184" s="262"/>
      <c r="F184" s="257"/>
      <c r="G184" s="260"/>
      <c r="H184" s="274" t="s">
        <v>201</v>
      </c>
      <c r="I184" s="272"/>
      <c r="J184" s="272"/>
      <c r="K184" s="321"/>
      <c r="L184" s="321"/>
      <c r="M184" s="321"/>
      <c r="N184" s="322"/>
      <c r="O184" s="322"/>
      <c r="P184" s="272"/>
      <c r="Q184" s="272"/>
      <c r="R184" s="254"/>
    </row>
    <row r="185" spans="1:18" s="209" customFormat="1" ht="15" customHeight="1" outlineLevel="2">
      <c r="A185" s="239">
        <v>33125</v>
      </c>
      <c r="B185" s="288" t="s">
        <v>5</v>
      </c>
      <c r="C185" s="211" t="s">
        <v>251</v>
      </c>
      <c r="D185" s="224" t="s">
        <v>30</v>
      </c>
      <c r="E185" s="224" t="s">
        <v>661</v>
      </c>
      <c r="F185" s="211" t="s">
        <v>457</v>
      </c>
      <c r="G185" s="225">
        <v>30464988</v>
      </c>
      <c r="H185" s="231" t="s">
        <v>588</v>
      </c>
      <c r="I185" s="248">
        <v>59994260</v>
      </c>
      <c r="J185" s="228">
        <v>21443272</v>
      </c>
      <c r="K185" s="325">
        <v>0</v>
      </c>
      <c r="L185" s="325">
        <v>0</v>
      </c>
      <c r="M185" s="325">
        <v>0</v>
      </c>
      <c r="N185" s="228">
        <v>38550988</v>
      </c>
      <c r="O185" s="234">
        <v>0</v>
      </c>
      <c r="P185" s="226">
        <f>K185+L185+M185+N185+O185</f>
        <v>38550988</v>
      </c>
      <c r="Q185" s="237">
        <f>I185-(J185+P185)</f>
        <v>0</v>
      </c>
      <c r="R185" s="211" t="s">
        <v>460</v>
      </c>
    </row>
    <row r="186" spans="1:18" s="209" customFormat="1" ht="15" customHeight="1" outlineLevel="2">
      <c r="A186" s="239">
        <v>33125</v>
      </c>
      <c r="B186" s="288" t="s">
        <v>5</v>
      </c>
      <c r="C186" s="211" t="s">
        <v>251</v>
      </c>
      <c r="D186" s="224" t="s">
        <v>30</v>
      </c>
      <c r="E186" s="224" t="s">
        <v>661</v>
      </c>
      <c r="F186" s="211" t="s">
        <v>457</v>
      </c>
      <c r="G186" s="225">
        <v>30395673</v>
      </c>
      <c r="H186" s="231" t="s">
        <v>597</v>
      </c>
      <c r="I186" s="248">
        <v>79999982</v>
      </c>
      <c r="J186" s="227">
        <v>27149821</v>
      </c>
      <c r="K186" s="325">
        <v>0</v>
      </c>
      <c r="L186" s="325">
        <v>0</v>
      </c>
      <c r="M186" s="325">
        <v>0</v>
      </c>
      <c r="N186" s="234">
        <v>0</v>
      </c>
      <c r="O186" s="234">
        <v>0</v>
      </c>
      <c r="P186" s="226">
        <f>K186+L186+M186+N186+O186</f>
        <v>0</v>
      </c>
      <c r="Q186" s="237">
        <f>I186-(J186+P186)</f>
        <v>52850161</v>
      </c>
      <c r="R186" s="211" t="s">
        <v>239</v>
      </c>
    </row>
    <row r="187" spans="1:18" s="209" customFormat="1" ht="15" customHeight="1" outlineLevel="2">
      <c r="A187" s="239">
        <v>33125</v>
      </c>
      <c r="B187" s="288" t="s">
        <v>5</v>
      </c>
      <c r="C187" s="211" t="s">
        <v>867</v>
      </c>
      <c r="D187" s="224" t="s">
        <v>30</v>
      </c>
      <c r="E187" s="224" t="s">
        <v>661</v>
      </c>
      <c r="F187" s="211" t="s">
        <v>457</v>
      </c>
      <c r="G187" s="225">
        <v>30487891</v>
      </c>
      <c r="H187" s="224" t="s">
        <v>884</v>
      </c>
      <c r="I187" s="248">
        <v>49999585</v>
      </c>
      <c r="J187" s="240">
        <v>0</v>
      </c>
      <c r="K187" s="325">
        <v>0</v>
      </c>
      <c r="L187" s="325">
        <v>0</v>
      </c>
      <c r="M187" s="325">
        <v>0</v>
      </c>
      <c r="N187" s="226">
        <v>12257313</v>
      </c>
      <c r="O187" s="234">
        <v>16035125</v>
      </c>
      <c r="P187" s="226">
        <f>K187+L187+M187+N187+O187</f>
        <v>28292438</v>
      </c>
      <c r="Q187" s="237">
        <f>I187-(J187+P187)</f>
        <v>21707147</v>
      </c>
      <c r="R187" s="211" t="s">
        <v>239</v>
      </c>
    </row>
    <row r="188" spans="1:18" s="209" customFormat="1" ht="15" customHeight="1" outlineLevel="2">
      <c r="A188" s="239">
        <v>33125</v>
      </c>
      <c r="B188" s="288" t="s">
        <v>5</v>
      </c>
      <c r="C188" s="211" t="s">
        <v>253</v>
      </c>
      <c r="D188" s="224" t="s">
        <v>30</v>
      </c>
      <c r="E188" s="224" t="s">
        <v>661</v>
      </c>
      <c r="F188" s="211" t="s">
        <v>457</v>
      </c>
      <c r="G188" s="225">
        <v>40000156</v>
      </c>
      <c r="H188" s="224" t="s">
        <v>885</v>
      </c>
      <c r="I188" s="248">
        <v>89999900</v>
      </c>
      <c r="J188" s="240">
        <v>0</v>
      </c>
      <c r="K188" s="325">
        <v>0</v>
      </c>
      <c r="L188" s="325">
        <v>0</v>
      </c>
      <c r="M188" s="238">
        <v>20743524</v>
      </c>
      <c r="N188" s="226">
        <v>7179949</v>
      </c>
      <c r="O188" s="234">
        <v>0</v>
      </c>
      <c r="P188" s="226">
        <f>K188+L188+M188+N188+O188</f>
        <v>27923473</v>
      </c>
      <c r="Q188" s="237">
        <f>I188-(J188+P188)</f>
        <v>62076427</v>
      </c>
      <c r="R188" s="211" t="s">
        <v>239</v>
      </c>
    </row>
    <row r="189" spans="1:18" s="209" customFormat="1" ht="15" customHeight="1" outlineLevel="1">
      <c r="A189" s="256"/>
      <c r="B189" s="289"/>
      <c r="C189" s="257"/>
      <c r="D189" s="261"/>
      <c r="E189" s="262"/>
      <c r="F189" s="257"/>
      <c r="G189" s="260"/>
      <c r="H189" s="252" t="s">
        <v>993</v>
      </c>
      <c r="I189" s="253">
        <f>SUBTOTAL(9,I185:I188)</f>
        <v>279993727</v>
      </c>
      <c r="J189" s="253">
        <f>SUBTOTAL(9,J185:J188)</f>
        <v>48593093</v>
      </c>
      <c r="K189" s="253">
        <f t="shared" ref="K189:N189" si="23">SUBTOTAL(9,K185:K188)</f>
        <v>0</v>
      </c>
      <c r="L189" s="253">
        <f t="shared" si="23"/>
        <v>0</v>
      </c>
      <c r="M189" s="253">
        <f t="shared" si="23"/>
        <v>20743524</v>
      </c>
      <c r="N189" s="253">
        <f t="shared" si="23"/>
        <v>57988250</v>
      </c>
      <c r="O189" s="253">
        <f>SUBTOTAL(9,O185:O188)</f>
        <v>16035125</v>
      </c>
      <c r="P189" s="253">
        <f>SUBTOTAL(9,P185:P188)</f>
        <v>94766899</v>
      </c>
      <c r="Q189" s="253">
        <f>SUBTOTAL(9,Q185:Q188)</f>
        <v>136633735</v>
      </c>
      <c r="R189" s="254"/>
    </row>
    <row r="190" spans="1:18" s="257" customFormat="1" ht="15" customHeight="1" outlineLevel="1">
      <c r="A190" s="256"/>
      <c r="B190" s="289"/>
      <c r="D190" s="261"/>
      <c r="E190" s="262"/>
      <c r="G190" s="260"/>
      <c r="H190" s="271"/>
      <c r="I190" s="272"/>
      <c r="J190" s="272"/>
      <c r="K190" s="321"/>
      <c r="L190" s="321"/>
      <c r="M190" s="321"/>
      <c r="N190" s="322"/>
      <c r="O190" s="322"/>
      <c r="P190" s="272"/>
      <c r="Q190" s="272"/>
      <c r="R190" s="254"/>
    </row>
    <row r="191" spans="1:18" s="209" customFormat="1" ht="15.75" outlineLevel="1">
      <c r="A191" s="256"/>
      <c r="B191" s="289"/>
      <c r="C191" s="257"/>
      <c r="D191" s="261"/>
      <c r="E191" s="262"/>
      <c r="F191" s="257"/>
      <c r="G191" s="260"/>
      <c r="H191" s="274" t="s">
        <v>203</v>
      </c>
      <c r="I191" s="272"/>
      <c r="J191" s="272"/>
      <c r="K191" s="321"/>
      <c r="L191" s="321"/>
      <c r="M191" s="321"/>
      <c r="N191" s="322"/>
      <c r="O191" s="322"/>
      <c r="P191" s="272"/>
      <c r="Q191" s="272"/>
      <c r="R191" s="254"/>
    </row>
    <row r="192" spans="1:18" s="209" customFormat="1" ht="15" customHeight="1" outlineLevel="2">
      <c r="A192" s="239">
        <v>33125</v>
      </c>
      <c r="B192" s="288" t="s">
        <v>5</v>
      </c>
      <c r="C192" s="211" t="s">
        <v>251</v>
      </c>
      <c r="D192" s="224" t="s">
        <v>30</v>
      </c>
      <c r="E192" s="224" t="s">
        <v>38</v>
      </c>
      <c r="F192" s="211" t="s">
        <v>457</v>
      </c>
      <c r="G192" s="225">
        <v>30482456</v>
      </c>
      <c r="H192" s="231" t="s">
        <v>886</v>
      </c>
      <c r="I192" s="248">
        <v>44981603</v>
      </c>
      <c r="J192" s="226">
        <v>39415416</v>
      </c>
      <c r="K192" s="325">
        <v>0</v>
      </c>
      <c r="L192" s="325">
        <v>0</v>
      </c>
      <c r="M192" s="238">
        <v>5566187</v>
      </c>
      <c r="N192" s="234">
        <v>0</v>
      </c>
      <c r="O192" s="234">
        <v>0</v>
      </c>
      <c r="P192" s="226">
        <f>K192+L192+M192+N192+O192</f>
        <v>5566187</v>
      </c>
      <c r="Q192" s="237">
        <f>I192-(J192+P192)</f>
        <v>0</v>
      </c>
      <c r="R192" s="211" t="s">
        <v>460</v>
      </c>
    </row>
    <row r="193" spans="1:18" s="209" customFormat="1" ht="15" customHeight="1" outlineLevel="2">
      <c r="A193" s="239">
        <v>33125</v>
      </c>
      <c r="B193" s="288" t="s">
        <v>5</v>
      </c>
      <c r="C193" s="211" t="s">
        <v>867</v>
      </c>
      <c r="D193" s="224" t="s">
        <v>30</v>
      </c>
      <c r="E193" s="224" t="s">
        <v>38</v>
      </c>
      <c r="F193" s="211" t="s">
        <v>457</v>
      </c>
      <c r="G193" s="225">
        <v>30482458</v>
      </c>
      <c r="H193" s="231" t="s">
        <v>888</v>
      </c>
      <c r="I193" s="248">
        <v>45703393</v>
      </c>
      <c r="J193" s="226">
        <v>26678313</v>
      </c>
      <c r="K193" s="325">
        <v>0</v>
      </c>
      <c r="L193" s="325">
        <v>0</v>
      </c>
      <c r="M193" s="238">
        <v>19025080</v>
      </c>
      <c r="N193" s="234">
        <v>0</v>
      </c>
      <c r="O193" s="234">
        <v>0</v>
      </c>
      <c r="P193" s="226">
        <f>K193+L193+M193+N193+O193</f>
        <v>19025080</v>
      </c>
      <c r="Q193" s="237">
        <f>I193-(J193+P193)</f>
        <v>0</v>
      </c>
      <c r="R193" s="211" t="s">
        <v>460</v>
      </c>
    </row>
    <row r="194" spans="1:18" s="209" customFormat="1" ht="15" customHeight="1" outlineLevel="2">
      <c r="A194" s="239">
        <v>33125</v>
      </c>
      <c r="B194" s="288" t="s">
        <v>5</v>
      </c>
      <c r="C194" s="211" t="s">
        <v>253</v>
      </c>
      <c r="D194" s="224" t="s">
        <v>30</v>
      </c>
      <c r="E194" s="224" t="s">
        <v>38</v>
      </c>
      <c r="F194" s="211" t="s">
        <v>457</v>
      </c>
      <c r="G194" s="225">
        <v>30458477</v>
      </c>
      <c r="H194" s="224" t="s">
        <v>887</v>
      </c>
      <c r="I194" s="248">
        <v>43987253</v>
      </c>
      <c r="J194" s="226">
        <v>33351570</v>
      </c>
      <c r="K194" s="325">
        <v>0</v>
      </c>
      <c r="L194" s="325">
        <v>0</v>
      </c>
      <c r="M194" s="325">
        <v>0</v>
      </c>
      <c r="N194" s="234">
        <v>0</v>
      </c>
      <c r="O194" s="234">
        <v>0</v>
      </c>
      <c r="P194" s="226">
        <f>K194+L194+M194+N194+O194</f>
        <v>0</v>
      </c>
      <c r="Q194" s="237">
        <f>I194-(J194+P194)</f>
        <v>10635683</v>
      </c>
      <c r="R194" s="211" t="s">
        <v>239</v>
      </c>
    </row>
    <row r="195" spans="1:18" s="209" customFormat="1" ht="15" customHeight="1" outlineLevel="2">
      <c r="A195" s="239">
        <v>33125</v>
      </c>
      <c r="B195" s="288" t="s">
        <v>5</v>
      </c>
      <c r="C195" s="211" t="s">
        <v>253</v>
      </c>
      <c r="D195" s="224" t="s">
        <v>30</v>
      </c>
      <c r="E195" s="224" t="s">
        <v>38</v>
      </c>
      <c r="F195" s="211" t="s">
        <v>457</v>
      </c>
      <c r="G195" s="225">
        <v>30487364</v>
      </c>
      <c r="H195" s="224" t="s">
        <v>619</v>
      </c>
      <c r="I195" s="248">
        <v>64999988</v>
      </c>
      <c r="J195" s="226">
        <v>0</v>
      </c>
      <c r="K195" s="325">
        <v>0</v>
      </c>
      <c r="L195" s="325">
        <v>0</v>
      </c>
      <c r="M195" s="325">
        <v>0</v>
      </c>
      <c r="N195" s="228">
        <v>11056588</v>
      </c>
      <c r="O195" s="234">
        <v>20772686</v>
      </c>
      <c r="P195" s="226">
        <f>K195+L195+M195+N195+O195</f>
        <v>31829274</v>
      </c>
      <c r="Q195" s="237">
        <f>I195-(J195+P195)</f>
        <v>33170714</v>
      </c>
      <c r="R195" s="211" t="s">
        <v>239</v>
      </c>
    </row>
    <row r="196" spans="1:18" s="209" customFormat="1" ht="15" customHeight="1" outlineLevel="2">
      <c r="A196" s="239">
        <v>33125</v>
      </c>
      <c r="B196" s="288" t="s">
        <v>5</v>
      </c>
      <c r="C196" s="211" t="s">
        <v>867</v>
      </c>
      <c r="D196" s="224" t="s">
        <v>30</v>
      </c>
      <c r="E196" s="224" t="s">
        <v>38</v>
      </c>
      <c r="F196" s="211" t="s">
        <v>457</v>
      </c>
      <c r="G196" s="225">
        <v>30487536</v>
      </c>
      <c r="H196" s="224" t="s">
        <v>582</v>
      </c>
      <c r="I196" s="248">
        <v>74982359</v>
      </c>
      <c r="J196" s="226">
        <v>0</v>
      </c>
      <c r="K196" s="325">
        <v>0</v>
      </c>
      <c r="L196" s="238">
        <v>10454948</v>
      </c>
      <c r="M196" s="238">
        <v>18751682</v>
      </c>
      <c r="N196" s="228">
        <v>18040571</v>
      </c>
      <c r="O196" s="234">
        <v>0</v>
      </c>
      <c r="P196" s="226">
        <f>K196+L196+M196+N196+O196</f>
        <v>47247201</v>
      </c>
      <c r="Q196" s="237">
        <f>I196-(J196+P196)</f>
        <v>27735158</v>
      </c>
      <c r="R196" s="211" t="s">
        <v>239</v>
      </c>
    </row>
    <row r="197" spans="1:18" s="209" customFormat="1" ht="15" customHeight="1" outlineLevel="1">
      <c r="A197" s="256"/>
      <c r="B197" s="289"/>
      <c r="C197" s="257"/>
      <c r="D197" s="261"/>
      <c r="E197" s="262"/>
      <c r="F197" s="257"/>
      <c r="G197" s="260"/>
      <c r="H197" s="252" t="s">
        <v>170</v>
      </c>
      <c r="I197" s="253">
        <f>SUBTOTAL(9,I192:I196)</f>
        <v>274654596</v>
      </c>
      <c r="J197" s="253">
        <f>SUBTOTAL(9,J192:J196)</f>
        <v>99445299</v>
      </c>
      <c r="K197" s="253">
        <f t="shared" ref="K197:N197" si="24">SUBTOTAL(9,K192:K196)</f>
        <v>0</v>
      </c>
      <c r="L197" s="253">
        <f t="shared" si="24"/>
        <v>10454948</v>
      </c>
      <c r="M197" s="253">
        <f t="shared" si="24"/>
        <v>43342949</v>
      </c>
      <c r="N197" s="253">
        <f t="shared" si="24"/>
        <v>29097159</v>
      </c>
      <c r="O197" s="253">
        <f>SUBTOTAL(9,O192:O196)</f>
        <v>20772686</v>
      </c>
      <c r="P197" s="253">
        <f>SUBTOTAL(9,P192:P196)</f>
        <v>103667742</v>
      </c>
      <c r="Q197" s="253">
        <f>SUBTOTAL(9,Q192:Q196)</f>
        <v>71541555</v>
      </c>
      <c r="R197" s="254"/>
    </row>
    <row r="198" spans="1:18" s="257" customFormat="1" ht="15" customHeight="1" outlineLevel="1">
      <c r="A198" s="256"/>
      <c r="B198" s="289"/>
      <c r="D198" s="261"/>
      <c r="E198" s="262"/>
      <c r="G198" s="260"/>
      <c r="H198" s="271"/>
      <c r="I198" s="272"/>
      <c r="J198" s="272"/>
      <c r="K198" s="321"/>
      <c r="L198" s="321"/>
      <c r="M198" s="321"/>
      <c r="N198" s="323"/>
      <c r="O198" s="323"/>
      <c r="P198" s="272"/>
      <c r="Q198" s="272"/>
      <c r="R198" s="254"/>
    </row>
    <row r="199" spans="1:18" s="209" customFormat="1" ht="15.75" outlineLevel="1">
      <c r="A199" s="256"/>
      <c r="B199" s="289"/>
      <c r="C199" s="257"/>
      <c r="D199" s="261"/>
      <c r="E199" s="262"/>
      <c r="F199" s="257"/>
      <c r="G199" s="260"/>
      <c r="H199" s="274" t="s">
        <v>202</v>
      </c>
      <c r="I199" s="272"/>
      <c r="J199" s="272"/>
      <c r="K199" s="321"/>
      <c r="L199" s="321"/>
      <c r="M199" s="321"/>
      <c r="N199" s="323"/>
      <c r="O199" s="323"/>
      <c r="P199" s="272"/>
      <c r="Q199" s="272"/>
      <c r="R199" s="254"/>
    </row>
    <row r="200" spans="1:18" s="209" customFormat="1" ht="15" customHeight="1" outlineLevel="2">
      <c r="A200" s="239">
        <v>33125</v>
      </c>
      <c r="B200" s="288" t="s">
        <v>5</v>
      </c>
      <c r="C200" s="211" t="s">
        <v>984</v>
      </c>
      <c r="D200" s="224" t="s">
        <v>30</v>
      </c>
      <c r="E200" s="224" t="s">
        <v>889</v>
      </c>
      <c r="F200" s="211" t="s">
        <v>457</v>
      </c>
      <c r="G200" s="225">
        <v>30128663</v>
      </c>
      <c r="H200" s="224" t="s">
        <v>890</v>
      </c>
      <c r="I200" s="248">
        <v>54990566</v>
      </c>
      <c r="J200" s="226">
        <v>21231504</v>
      </c>
      <c r="K200" s="325">
        <v>0</v>
      </c>
      <c r="L200" s="325">
        <v>0</v>
      </c>
      <c r="M200" s="325">
        <v>0</v>
      </c>
      <c r="N200" s="234">
        <v>0</v>
      </c>
      <c r="O200" s="234">
        <v>0</v>
      </c>
      <c r="P200" s="226">
        <f>K200+L200+M200+N200+O200</f>
        <v>0</v>
      </c>
      <c r="Q200" s="237">
        <f>I200-(J200+P200)</f>
        <v>33759062</v>
      </c>
      <c r="R200" s="211" t="s">
        <v>239</v>
      </c>
    </row>
    <row r="201" spans="1:18" s="209" customFormat="1" ht="15" customHeight="1" outlineLevel="2">
      <c r="A201" s="239">
        <v>33125</v>
      </c>
      <c r="B201" s="288" t="s">
        <v>5</v>
      </c>
      <c r="C201" s="211" t="s">
        <v>985</v>
      </c>
      <c r="D201" s="224" t="s">
        <v>30</v>
      </c>
      <c r="E201" s="224" t="s">
        <v>889</v>
      </c>
      <c r="F201" s="211" t="s">
        <v>457</v>
      </c>
      <c r="G201" s="225">
        <v>30434422</v>
      </c>
      <c r="H201" s="224" t="s">
        <v>891</v>
      </c>
      <c r="I201" s="248">
        <v>77056451</v>
      </c>
      <c r="J201" s="226">
        <v>285600</v>
      </c>
      <c r="K201" s="325">
        <v>0</v>
      </c>
      <c r="L201" s="325">
        <v>0</v>
      </c>
      <c r="M201" s="325">
        <v>0</v>
      </c>
      <c r="N201" s="234">
        <v>0</v>
      </c>
      <c r="O201" s="234">
        <v>0</v>
      </c>
      <c r="P201" s="226">
        <f>K201+L201+M201+N201+O201</f>
        <v>0</v>
      </c>
      <c r="Q201" s="237">
        <f>I201-(J201+P201)</f>
        <v>76770851</v>
      </c>
      <c r="R201" s="211" t="s">
        <v>239</v>
      </c>
    </row>
    <row r="202" spans="1:18" s="209" customFormat="1" ht="15" customHeight="1" outlineLevel="2">
      <c r="A202" s="239">
        <v>33125</v>
      </c>
      <c r="B202" s="288" t="s">
        <v>5</v>
      </c>
      <c r="C202" s="211" t="s">
        <v>251</v>
      </c>
      <c r="D202" s="224" t="s">
        <v>30</v>
      </c>
      <c r="E202" s="224" t="s">
        <v>889</v>
      </c>
      <c r="F202" s="211" t="s">
        <v>457</v>
      </c>
      <c r="G202" s="225">
        <v>30470983</v>
      </c>
      <c r="H202" s="224" t="s">
        <v>892</v>
      </c>
      <c r="I202" s="248">
        <v>50000000</v>
      </c>
      <c r="J202" s="226">
        <v>33280084</v>
      </c>
      <c r="K202" s="325">
        <v>0</v>
      </c>
      <c r="L202" s="325">
        <v>0</v>
      </c>
      <c r="M202" s="325">
        <v>0</v>
      </c>
      <c r="N202" s="226">
        <v>10310832</v>
      </c>
      <c r="O202" s="234">
        <v>0</v>
      </c>
      <c r="P202" s="226">
        <f>K202+L202+M202+N202+O202</f>
        <v>10310832</v>
      </c>
      <c r="Q202" s="237">
        <f>I202-(J202+P202)</f>
        <v>6409084</v>
      </c>
      <c r="R202" s="211" t="s">
        <v>239</v>
      </c>
    </row>
    <row r="203" spans="1:18" s="209" customFormat="1" ht="15" customHeight="1" outlineLevel="2">
      <c r="A203" s="239">
        <v>33125</v>
      </c>
      <c r="B203" s="288" t="s">
        <v>5</v>
      </c>
      <c r="C203" s="211" t="s">
        <v>867</v>
      </c>
      <c r="D203" s="224" t="s">
        <v>30</v>
      </c>
      <c r="E203" s="224" t="s">
        <v>889</v>
      </c>
      <c r="F203" s="211" t="s">
        <v>457</v>
      </c>
      <c r="G203" s="225">
        <v>30483038</v>
      </c>
      <c r="H203" s="232" t="s">
        <v>893</v>
      </c>
      <c r="I203" s="248">
        <v>70000000</v>
      </c>
      <c r="J203" s="226">
        <v>0</v>
      </c>
      <c r="K203" s="325">
        <v>0</v>
      </c>
      <c r="L203" s="325">
        <v>0</v>
      </c>
      <c r="M203" s="325">
        <v>0</v>
      </c>
      <c r="N203" s="234">
        <v>0</v>
      </c>
      <c r="O203" s="234">
        <v>0</v>
      </c>
      <c r="P203" s="226">
        <f>K203+L203+M203+N203+O203</f>
        <v>0</v>
      </c>
      <c r="Q203" s="237">
        <f>I203-(J203+P203)</f>
        <v>70000000</v>
      </c>
      <c r="R203" s="211" t="s">
        <v>239</v>
      </c>
    </row>
    <row r="204" spans="1:18" s="209" customFormat="1" ht="15" customHeight="1" outlineLevel="2">
      <c r="A204" s="239">
        <v>33125</v>
      </c>
      <c r="B204" s="288" t="s">
        <v>5</v>
      </c>
      <c r="C204" s="211" t="s">
        <v>253</v>
      </c>
      <c r="D204" s="224" t="s">
        <v>30</v>
      </c>
      <c r="E204" s="224" t="s">
        <v>889</v>
      </c>
      <c r="F204" s="211" t="s">
        <v>457</v>
      </c>
      <c r="G204" s="225">
        <v>30483043</v>
      </c>
      <c r="H204" s="231" t="s">
        <v>894</v>
      </c>
      <c r="I204" s="248">
        <v>70000000</v>
      </c>
      <c r="J204" s="226">
        <v>0</v>
      </c>
      <c r="K204" s="325">
        <v>0</v>
      </c>
      <c r="L204" s="325">
        <v>0</v>
      </c>
      <c r="M204" s="238">
        <f>6132927+21179977</f>
        <v>27312904</v>
      </c>
      <c r="N204" s="226">
        <v>9580695</v>
      </c>
      <c r="O204" s="234">
        <v>14434129</v>
      </c>
      <c r="P204" s="226">
        <f>K204+L204+M204+N204+O204</f>
        <v>51327728</v>
      </c>
      <c r="Q204" s="237">
        <f>I204-(J204+P204)</f>
        <v>18672272</v>
      </c>
      <c r="R204" s="211" t="s">
        <v>239</v>
      </c>
    </row>
    <row r="205" spans="1:18" s="209" customFormat="1" ht="15" customHeight="1" outlineLevel="2">
      <c r="A205" s="239">
        <v>33125</v>
      </c>
      <c r="B205" s="288" t="s">
        <v>5</v>
      </c>
      <c r="C205" s="211" t="s">
        <v>253</v>
      </c>
      <c r="D205" s="224" t="s">
        <v>30</v>
      </c>
      <c r="E205" s="224" t="s">
        <v>889</v>
      </c>
      <c r="F205" s="211" t="s">
        <v>457</v>
      </c>
      <c r="G205" s="225">
        <v>30487874</v>
      </c>
      <c r="H205" s="224" t="s">
        <v>895</v>
      </c>
      <c r="I205" s="248">
        <v>35000000</v>
      </c>
      <c r="J205" s="226">
        <v>0</v>
      </c>
      <c r="K205" s="325">
        <v>0</v>
      </c>
      <c r="L205" s="325">
        <v>0</v>
      </c>
      <c r="M205" s="238">
        <v>6530986</v>
      </c>
      <c r="N205" s="226">
        <v>5465002</v>
      </c>
      <c r="O205" s="234">
        <v>3794338</v>
      </c>
      <c r="P205" s="226">
        <f>K205+L205+M205+N205+O205</f>
        <v>15790326</v>
      </c>
      <c r="Q205" s="237">
        <f>I205-(J205+P205)</f>
        <v>19209674</v>
      </c>
      <c r="R205" s="211" t="s">
        <v>239</v>
      </c>
    </row>
    <row r="206" spans="1:18" s="209" customFormat="1" ht="15" customHeight="1" outlineLevel="2">
      <c r="A206" s="239">
        <v>33125</v>
      </c>
      <c r="B206" s="288" t="s">
        <v>5</v>
      </c>
      <c r="C206" s="211" t="s">
        <v>867</v>
      </c>
      <c r="D206" s="224" t="s">
        <v>30</v>
      </c>
      <c r="E206" s="224" t="s">
        <v>889</v>
      </c>
      <c r="F206" s="211" t="s">
        <v>457</v>
      </c>
      <c r="G206" s="225">
        <v>30487880</v>
      </c>
      <c r="H206" s="224" t="s">
        <v>896</v>
      </c>
      <c r="I206" s="248">
        <v>45000000</v>
      </c>
      <c r="J206" s="226">
        <v>0</v>
      </c>
      <c r="K206" s="325">
        <v>0</v>
      </c>
      <c r="L206" s="325">
        <v>0</v>
      </c>
      <c r="M206" s="238">
        <f>4050689+13285650</f>
        <v>17336339</v>
      </c>
      <c r="N206" s="226">
        <v>4197172</v>
      </c>
      <c r="O206" s="234">
        <v>14257048</v>
      </c>
      <c r="P206" s="226">
        <f>K206+L206+M206+N206+O206</f>
        <v>35790559</v>
      </c>
      <c r="Q206" s="237">
        <f>I206-(J206+P206)</f>
        <v>9209441</v>
      </c>
      <c r="R206" s="211" t="s">
        <v>239</v>
      </c>
    </row>
    <row r="207" spans="1:18" s="209" customFormat="1" ht="15" customHeight="1" outlineLevel="2">
      <c r="A207" s="239">
        <v>33125</v>
      </c>
      <c r="B207" s="288" t="s">
        <v>5</v>
      </c>
      <c r="C207" s="211" t="s">
        <v>253</v>
      </c>
      <c r="D207" s="224" t="s">
        <v>30</v>
      </c>
      <c r="E207" s="224" t="s">
        <v>889</v>
      </c>
      <c r="F207" s="211" t="s">
        <v>457</v>
      </c>
      <c r="G207" s="225">
        <v>30487914</v>
      </c>
      <c r="H207" s="224" t="s">
        <v>674</v>
      </c>
      <c r="I207" s="248">
        <v>60000000</v>
      </c>
      <c r="J207" s="226">
        <v>0</v>
      </c>
      <c r="K207" s="325">
        <v>0</v>
      </c>
      <c r="L207" s="325">
        <v>0</v>
      </c>
      <c r="M207" s="325">
        <v>0</v>
      </c>
      <c r="N207" s="228">
        <v>27302096</v>
      </c>
      <c r="O207" s="234">
        <v>0</v>
      </c>
      <c r="P207" s="226">
        <f>K207+L207+M207+N207+O207</f>
        <v>27302096</v>
      </c>
      <c r="Q207" s="237">
        <f>I207-(J207+P207)</f>
        <v>32697904</v>
      </c>
      <c r="R207" s="211" t="s">
        <v>239</v>
      </c>
    </row>
    <row r="208" spans="1:18" s="209" customFormat="1" ht="15" customHeight="1" outlineLevel="2">
      <c r="A208" s="239">
        <v>33125</v>
      </c>
      <c r="B208" s="288" t="s">
        <v>5</v>
      </c>
      <c r="C208" s="211" t="s">
        <v>240</v>
      </c>
      <c r="D208" s="224" t="s">
        <v>30</v>
      </c>
      <c r="E208" s="224" t="s">
        <v>889</v>
      </c>
      <c r="F208" s="211" t="s">
        <v>457</v>
      </c>
      <c r="G208" s="225">
        <v>30488357</v>
      </c>
      <c r="H208" s="224" t="s">
        <v>897</v>
      </c>
      <c r="I208" s="248">
        <v>89999075</v>
      </c>
      <c r="J208" s="226">
        <v>0</v>
      </c>
      <c r="K208" s="325">
        <v>0</v>
      </c>
      <c r="L208" s="325">
        <v>0</v>
      </c>
      <c r="M208" s="325">
        <v>0</v>
      </c>
      <c r="N208" s="234">
        <v>0</v>
      </c>
      <c r="O208" s="234">
        <v>0</v>
      </c>
      <c r="P208" s="226">
        <f>K208+L208+M208+N208+O208</f>
        <v>0</v>
      </c>
      <c r="Q208" s="237">
        <f>I208-(J208+P208)</f>
        <v>89999075</v>
      </c>
      <c r="R208" s="211" t="s">
        <v>239</v>
      </c>
    </row>
    <row r="209" spans="1:18" s="209" customFormat="1" ht="15" customHeight="1" outlineLevel="1">
      <c r="A209" s="256"/>
      <c r="B209" s="289"/>
      <c r="C209" s="257"/>
      <c r="D209" s="261"/>
      <c r="E209" s="262"/>
      <c r="F209" s="257"/>
      <c r="G209" s="260"/>
      <c r="H209" s="252" t="s">
        <v>994</v>
      </c>
      <c r="I209" s="253">
        <f>SUBTOTAL(9,I200:I208)</f>
        <v>552046092</v>
      </c>
      <c r="J209" s="253">
        <f>SUBTOTAL(9,J200:J208)</f>
        <v>54797188</v>
      </c>
      <c r="K209" s="253">
        <f t="shared" ref="K209:N209" si="25">SUBTOTAL(9,K200:K208)</f>
        <v>0</v>
      </c>
      <c r="L209" s="253">
        <f t="shared" si="25"/>
        <v>0</v>
      </c>
      <c r="M209" s="253">
        <f t="shared" si="25"/>
        <v>51180229</v>
      </c>
      <c r="N209" s="253">
        <f t="shared" si="25"/>
        <v>56855797</v>
      </c>
      <c r="O209" s="253">
        <f>SUBTOTAL(9,O200:O208)</f>
        <v>32485515</v>
      </c>
      <c r="P209" s="253">
        <f>SUBTOTAL(9,P200:P208)</f>
        <v>140521541</v>
      </c>
      <c r="Q209" s="253">
        <f>SUBTOTAL(9,Q200:Q208)</f>
        <v>356727363</v>
      </c>
      <c r="R209" s="254"/>
    </row>
    <row r="210" spans="1:18" s="257" customFormat="1" ht="15" customHeight="1" outlineLevel="1">
      <c r="A210" s="256"/>
      <c r="B210" s="289"/>
      <c r="D210" s="261"/>
      <c r="E210" s="262"/>
      <c r="G210" s="260"/>
      <c r="H210" s="271"/>
      <c r="I210" s="272"/>
      <c r="J210" s="272"/>
      <c r="K210" s="321"/>
      <c r="L210" s="321"/>
      <c r="M210" s="321"/>
      <c r="N210" s="322"/>
      <c r="O210" s="322"/>
      <c r="P210" s="272"/>
      <c r="Q210" s="272"/>
      <c r="R210" s="254"/>
    </row>
    <row r="211" spans="1:18" s="209" customFormat="1" ht="15.75" outlineLevel="1">
      <c r="A211" s="256"/>
      <c r="B211" s="289"/>
      <c r="C211" s="257"/>
      <c r="D211" s="261"/>
      <c r="E211" s="262"/>
      <c r="F211" s="257"/>
      <c r="G211" s="260"/>
      <c r="H211" s="274" t="s">
        <v>204</v>
      </c>
      <c r="I211" s="272"/>
      <c r="J211" s="272"/>
      <c r="K211" s="321"/>
      <c r="L211" s="321"/>
      <c r="M211" s="321"/>
      <c r="N211" s="322"/>
      <c r="O211" s="322"/>
      <c r="P211" s="272"/>
      <c r="Q211" s="272"/>
      <c r="R211" s="254"/>
    </row>
    <row r="212" spans="1:18" s="209" customFormat="1" ht="15" customHeight="1" outlineLevel="2">
      <c r="A212" s="239">
        <v>33125</v>
      </c>
      <c r="B212" s="288" t="s">
        <v>5</v>
      </c>
      <c r="C212" s="211" t="s">
        <v>253</v>
      </c>
      <c r="D212" s="224" t="s">
        <v>30</v>
      </c>
      <c r="E212" s="224" t="s">
        <v>40</v>
      </c>
      <c r="F212" s="211" t="s">
        <v>457</v>
      </c>
      <c r="G212" s="225">
        <v>30482874</v>
      </c>
      <c r="H212" s="231" t="s">
        <v>899</v>
      </c>
      <c r="I212" s="248">
        <v>61981327</v>
      </c>
      <c r="J212" s="226">
        <v>26110322</v>
      </c>
      <c r="K212" s="325">
        <v>0</v>
      </c>
      <c r="L212" s="325">
        <v>0</v>
      </c>
      <c r="M212" s="238">
        <v>35871005</v>
      </c>
      <c r="N212" s="234">
        <v>0</v>
      </c>
      <c r="O212" s="234">
        <v>0</v>
      </c>
      <c r="P212" s="226">
        <f>K212+L212+M212+N212+O212</f>
        <v>35871005</v>
      </c>
      <c r="Q212" s="237">
        <f>I212-(J212+P212)</f>
        <v>0</v>
      </c>
      <c r="R212" s="211" t="s">
        <v>460</v>
      </c>
    </row>
    <row r="213" spans="1:18" s="209" customFormat="1" ht="15" customHeight="1" outlineLevel="2">
      <c r="A213" s="239">
        <v>33125</v>
      </c>
      <c r="B213" s="288" t="s">
        <v>5</v>
      </c>
      <c r="C213" s="211" t="s">
        <v>311</v>
      </c>
      <c r="D213" s="224" t="s">
        <v>30</v>
      </c>
      <c r="E213" s="224" t="s">
        <v>40</v>
      </c>
      <c r="F213" s="211" t="s">
        <v>457</v>
      </c>
      <c r="G213" s="225">
        <v>30488215</v>
      </c>
      <c r="H213" s="211" t="s">
        <v>898</v>
      </c>
      <c r="I213" s="248">
        <v>71773000</v>
      </c>
      <c r="J213" s="226">
        <v>0</v>
      </c>
      <c r="K213" s="325">
        <v>0</v>
      </c>
      <c r="L213" s="238">
        <v>7820383</v>
      </c>
      <c r="M213" s="238">
        <v>17550752</v>
      </c>
      <c r="N213" s="234">
        <v>0</v>
      </c>
      <c r="O213" s="234">
        <v>46401865</v>
      </c>
      <c r="P213" s="226">
        <f>K213+L213+M213+N213+O213</f>
        <v>71773000</v>
      </c>
      <c r="Q213" s="237">
        <f>I213-(J213+P213)</f>
        <v>0</v>
      </c>
      <c r="R213" s="211" t="s">
        <v>460</v>
      </c>
    </row>
    <row r="214" spans="1:18" s="209" customFormat="1" ht="15" customHeight="1" outlineLevel="2">
      <c r="A214" s="239">
        <v>33125</v>
      </c>
      <c r="B214" s="288" t="s">
        <v>5</v>
      </c>
      <c r="C214" s="211" t="s">
        <v>867</v>
      </c>
      <c r="D214" s="224" t="s">
        <v>30</v>
      </c>
      <c r="E214" s="224" t="s">
        <v>40</v>
      </c>
      <c r="F214" s="211" t="s">
        <v>457</v>
      </c>
      <c r="G214" s="225">
        <v>30488216</v>
      </c>
      <c r="H214" s="211" t="s">
        <v>589</v>
      </c>
      <c r="I214" s="248">
        <v>68226950</v>
      </c>
      <c r="J214" s="226">
        <v>0</v>
      </c>
      <c r="K214" s="325">
        <v>0</v>
      </c>
      <c r="L214" s="325">
        <v>0</v>
      </c>
      <c r="M214" s="325">
        <v>0</v>
      </c>
      <c r="N214" s="234">
        <v>0</v>
      </c>
      <c r="O214" s="234">
        <v>0</v>
      </c>
      <c r="P214" s="226">
        <f>K214+L214+M214+N214+O214</f>
        <v>0</v>
      </c>
      <c r="Q214" s="237">
        <f>I214-(J214+P214)</f>
        <v>68226950</v>
      </c>
      <c r="R214" s="211" t="s">
        <v>239</v>
      </c>
    </row>
    <row r="215" spans="1:18" s="209" customFormat="1" ht="15" customHeight="1" outlineLevel="2">
      <c r="A215" s="239">
        <v>33125</v>
      </c>
      <c r="B215" s="288" t="s">
        <v>5</v>
      </c>
      <c r="C215" s="211" t="s">
        <v>867</v>
      </c>
      <c r="D215" s="224" t="s">
        <v>30</v>
      </c>
      <c r="E215" s="224" t="s">
        <v>40</v>
      </c>
      <c r="F215" s="211" t="s">
        <v>457</v>
      </c>
      <c r="G215" s="225">
        <v>30482980</v>
      </c>
      <c r="H215" s="231" t="s">
        <v>900</v>
      </c>
      <c r="I215" s="248">
        <v>72811310</v>
      </c>
      <c r="J215" s="226">
        <v>10625659</v>
      </c>
      <c r="K215" s="325">
        <v>0</v>
      </c>
      <c r="L215" s="325">
        <v>0</v>
      </c>
      <c r="M215" s="325">
        <v>0</v>
      </c>
      <c r="N215" s="234">
        <v>0</v>
      </c>
      <c r="O215" s="234">
        <v>0</v>
      </c>
      <c r="P215" s="226">
        <f>K215+L215+M215+N215+O215</f>
        <v>0</v>
      </c>
      <c r="Q215" s="237">
        <f>I215-(J215+P215)</f>
        <v>62185651</v>
      </c>
      <c r="R215" s="211" t="s">
        <v>239</v>
      </c>
    </row>
    <row r="216" spans="1:18" s="209" customFormat="1" ht="15" customHeight="1" outlineLevel="1">
      <c r="A216" s="256"/>
      <c r="B216" s="289"/>
      <c r="C216" s="257"/>
      <c r="D216" s="261"/>
      <c r="E216" s="262"/>
      <c r="F216" s="257"/>
      <c r="G216" s="260"/>
      <c r="H216" s="252" t="s">
        <v>171</v>
      </c>
      <c r="I216" s="253">
        <f>SUBTOTAL(9,I212:I215)</f>
        <v>274792587</v>
      </c>
      <c r="J216" s="253">
        <f>SUBTOTAL(9,J212:J215)</f>
        <v>36735981</v>
      </c>
      <c r="K216" s="253">
        <f t="shared" ref="K216:N216" si="26">SUBTOTAL(9,K212:K215)</f>
        <v>0</v>
      </c>
      <c r="L216" s="253">
        <f t="shared" si="26"/>
        <v>7820383</v>
      </c>
      <c r="M216" s="253">
        <f t="shared" si="26"/>
        <v>53421757</v>
      </c>
      <c r="N216" s="253">
        <f t="shared" si="26"/>
        <v>0</v>
      </c>
      <c r="O216" s="253">
        <f>SUBTOTAL(9,O212:O215)</f>
        <v>46401865</v>
      </c>
      <c r="P216" s="253">
        <f>SUBTOTAL(9,P212:P215)</f>
        <v>107644005</v>
      </c>
      <c r="Q216" s="253">
        <f>SUBTOTAL(9,Q212:Q215)</f>
        <v>130412601</v>
      </c>
      <c r="R216" s="254"/>
    </row>
    <row r="217" spans="1:18" s="257" customFormat="1" ht="15" customHeight="1" outlineLevel="1">
      <c r="A217" s="256"/>
      <c r="B217" s="289"/>
      <c r="D217" s="261"/>
      <c r="E217" s="262"/>
      <c r="G217" s="260"/>
      <c r="H217" s="271"/>
      <c r="I217" s="272"/>
      <c r="J217" s="272"/>
      <c r="K217" s="321"/>
      <c r="L217" s="321"/>
      <c r="M217" s="321"/>
      <c r="N217" s="324"/>
      <c r="O217" s="324"/>
      <c r="P217" s="272"/>
      <c r="Q217" s="272"/>
      <c r="R217" s="254"/>
    </row>
    <row r="218" spans="1:18" s="209" customFormat="1" ht="15.75" outlineLevel="1">
      <c r="A218" s="256"/>
      <c r="B218" s="289"/>
      <c r="C218" s="257"/>
      <c r="D218" s="261"/>
      <c r="E218" s="262"/>
      <c r="F218" s="257"/>
      <c r="G218" s="260"/>
      <c r="H218" s="274" t="s">
        <v>205</v>
      </c>
      <c r="I218" s="272"/>
      <c r="J218" s="272"/>
      <c r="K218" s="321"/>
      <c r="L218" s="321"/>
      <c r="M218" s="321"/>
      <c r="N218" s="324"/>
      <c r="O218" s="324"/>
      <c r="P218" s="272"/>
      <c r="Q218" s="272"/>
      <c r="R218" s="254"/>
    </row>
    <row r="219" spans="1:18" s="209" customFormat="1" ht="15" customHeight="1" outlineLevel="2">
      <c r="A219" s="239">
        <v>33125</v>
      </c>
      <c r="B219" s="288" t="s">
        <v>5</v>
      </c>
      <c r="C219" s="211" t="s">
        <v>241</v>
      </c>
      <c r="D219" s="224" t="s">
        <v>30</v>
      </c>
      <c r="E219" s="224" t="s">
        <v>41</v>
      </c>
      <c r="F219" s="211" t="s">
        <v>457</v>
      </c>
      <c r="G219" s="225">
        <v>30487282</v>
      </c>
      <c r="H219" s="224" t="s">
        <v>901</v>
      </c>
      <c r="I219" s="248">
        <v>78980646</v>
      </c>
      <c r="J219" s="226">
        <v>0</v>
      </c>
      <c r="K219" s="325">
        <v>0</v>
      </c>
      <c r="L219" s="325">
        <v>0</v>
      </c>
      <c r="M219" s="238">
        <v>42433459</v>
      </c>
      <c r="N219" s="226">
        <v>32463145</v>
      </c>
      <c r="O219" s="234">
        <v>0</v>
      </c>
      <c r="P219" s="226">
        <f>K219+L219+M219+N219+O219</f>
        <v>74896604</v>
      </c>
      <c r="Q219" s="237">
        <f>I219-(J219+P219)</f>
        <v>4084042</v>
      </c>
      <c r="R219" s="211" t="s">
        <v>239</v>
      </c>
    </row>
    <row r="220" spans="1:18" s="209" customFormat="1" ht="15" customHeight="1" outlineLevel="2">
      <c r="A220" s="239">
        <v>33125</v>
      </c>
      <c r="B220" s="288" t="s">
        <v>5</v>
      </c>
      <c r="C220" s="211" t="s">
        <v>867</v>
      </c>
      <c r="D220" s="224" t="s">
        <v>30</v>
      </c>
      <c r="E220" s="224" t="s">
        <v>41</v>
      </c>
      <c r="F220" s="211" t="s">
        <v>457</v>
      </c>
      <c r="G220" s="225">
        <v>30487284</v>
      </c>
      <c r="H220" s="224" t="s">
        <v>902</v>
      </c>
      <c r="I220" s="248">
        <v>24999993</v>
      </c>
      <c r="J220" s="226">
        <v>0</v>
      </c>
      <c r="K220" s="325">
        <v>0</v>
      </c>
      <c r="L220" s="325">
        <v>0</v>
      </c>
      <c r="M220" s="238">
        <v>9036414</v>
      </c>
      <c r="N220" s="226">
        <v>10451116</v>
      </c>
      <c r="O220" s="234">
        <v>0</v>
      </c>
      <c r="P220" s="226">
        <f>K220+L220+M220+N220+O220</f>
        <v>19487530</v>
      </c>
      <c r="Q220" s="237">
        <f>I220-(J220+P220)</f>
        <v>5512463</v>
      </c>
      <c r="R220" s="211" t="s">
        <v>239</v>
      </c>
    </row>
    <row r="221" spans="1:18" s="209" customFormat="1" ht="15" customHeight="1" outlineLevel="2">
      <c r="A221" s="239">
        <v>33125</v>
      </c>
      <c r="B221" s="288" t="s">
        <v>5</v>
      </c>
      <c r="C221" s="211" t="s">
        <v>251</v>
      </c>
      <c r="D221" s="224" t="s">
        <v>30</v>
      </c>
      <c r="E221" s="224" t="s">
        <v>41</v>
      </c>
      <c r="F221" s="211" t="s">
        <v>457</v>
      </c>
      <c r="G221" s="225">
        <v>30487287</v>
      </c>
      <c r="H221" s="224" t="s">
        <v>610</v>
      </c>
      <c r="I221" s="248">
        <v>30000000</v>
      </c>
      <c r="J221" s="226">
        <v>0</v>
      </c>
      <c r="K221" s="325">
        <v>0</v>
      </c>
      <c r="L221" s="325">
        <v>0</v>
      </c>
      <c r="M221" s="238">
        <v>20173526</v>
      </c>
      <c r="N221" s="234">
        <v>0</v>
      </c>
      <c r="O221" s="234">
        <v>0</v>
      </c>
      <c r="P221" s="226">
        <f>K221+L221+M221+N221+O221</f>
        <v>20173526</v>
      </c>
      <c r="Q221" s="237">
        <f>I221-(J221+P221)</f>
        <v>9826474</v>
      </c>
      <c r="R221" s="211" t="s">
        <v>239</v>
      </c>
    </row>
    <row r="222" spans="1:18" s="209" customFormat="1" ht="15" customHeight="1" outlineLevel="1">
      <c r="A222" s="256"/>
      <c r="B222" s="289"/>
      <c r="C222" s="257"/>
      <c r="D222" s="261"/>
      <c r="E222" s="262"/>
      <c r="F222" s="257"/>
      <c r="G222" s="260"/>
      <c r="H222" s="252" t="s">
        <v>172</v>
      </c>
      <c r="I222" s="253">
        <f>SUBTOTAL(9,I219:I221)</f>
        <v>133980639</v>
      </c>
      <c r="J222" s="253">
        <f>SUBTOTAL(9,J219:J221)</f>
        <v>0</v>
      </c>
      <c r="K222" s="253">
        <f t="shared" ref="K222:N222" si="27">SUBTOTAL(9,K219:K221)</f>
        <v>0</v>
      </c>
      <c r="L222" s="253">
        <f t="shared" si="27"/>
        <v>0</v>
      </c>
      <c r="M222" s="253">
        <f t="shared" si="27"/>
        <v>71643399</v>
      </c>
      <c r="N222" s="253">
        <f t="shared" si="27"/>
        <v>42914261</v>
      </c>
      <c r="O222" s="253">
        <f>SUBTOTAL(9,O219:O221)</f>
        <v>0</v>
      </c>
      <c r="P222" s="253">
        <f>SUBTOTAL(9,P219:P221)</f>
        <v>114557660</v>
      </c>
      <c r="Q222" s="253">
        <f>SUBTOTAL(9,Q219:Q221)</f>
        <v>19422979</v>
      </c>
      <c r="R222" s="254"/>
    </row>
    <row r="223" spans="1:18" s="257" customFormat="1" ht="15" customHeight="1" outlineLevel="1">
      <c r="A223" s="256"/>
      <c r="B223" s="289"/>
      <c r="D223" s="261"/>
      <c r="E223" s="262"/>
      <c r="G223" s="260"/>
      <c r="H223" s="271"/>
      <c r="I223" s="272"/>
      <c r="J223" s="272"/>
      <c r="K223" s="321"/>
      <c r="L223" s="321"/>
      <c r="M223" s="321"/>
      <c r="N223" s="322"/>
      <c r="O223" s="322"/>
      <c r="P223" s="272"/>
      <c r="Q223" s="272"/>
      <c r="R223" s="254"/>
    </row>
    <row r="224" spans="1:18" s="209" customFormat="1" ht="15" customHeight="1" outlineLevel="1">
      <c r="A224" s="256"/>
      <c r="B224" s="289"/>
      <c r="C224" s="257"/>
      <c r="D224" s="261"/>
      <c r="E224" s="262"/>
      <c r="F224" s="257"/>
      <c r="G224" s="260"/>
      <c r="H224" s="269" t="s">
        <v>207</v>
      </c>
      <c r="I224" s="270">
        <f t="shared" ref="I224:Q224" si="28">I222+I216+I209+I197+I189+I182+I171+I165+I155+I147</f>
        <v>3172684742</v>
      </c>
      <c r="J224" s="270">
        <f t="shared" si="28"/>
        <v>772806536</v>
      </c>
      <c r="K224" s="270">
        <f t="shared" si="28"/>
        <v>0</v>
      </c>
      <c r="L224" s="270">
        <f t="shared" si="28"/>
        <v>195672093</v>
      </c>
      <c r="M224" s="270">
        <f t="shared" si="28"/>
        <v>375747719</v>
      </c>
      <c r="N224" s="270">
        <f t="shared" si="28"/>
        <v>477867570</v>
      </c>
      <c r="O224" s="270">
        <f t="shared" si="28"/>
        <v>260371534</v>
      </c>
      <c r="P224" s="270">
        <f t="shared" si="28"/>
        <v>1309658916</v>
      </c>
      <c r="Q224" s="270">
        <f t="shared" si="28"/>
        <v>1090219290</v>
      </c>
      <c r="R224" s="254"/>
    </row>
    <row r="225" spans="1:18" s="257" customFormat="1" ht="15" customHeight="1" outlineLevel="1">
      <c r="A225" s="256"/>
      <c r="B225" s="289"/>
      <c r="D225" s="261"/>
      <c r="E225" s="262"/>
      <c r="G225" s="260"/>
      <c r="H225" s="271"/>
      <c r="I225" s="272"/>
      <c r="J225" s="272"/>
      <c r="K225" s="321"/>
      <c r="L225" s="321"/>
      <c r="M225" s="321"/>
      <c r="N225" s="322"/>
      <c r="O225" s="322"/>
      <c r="P225" s="272"/>
      <c r="Q225" s="272"/>
      <c r="R225" s="254"/>
    </row>
    <row r="226" spans="1:18" s="209" customFormat="1" ht="15.75" outlineLevel="1">
      <c r="A226" s="256"/>
      <c r="B226" s="289"/>
      <c r="C226" s="257"/>
      <c r="D226" s="261"/>
      <c r="E226" s="262"/>
      <c r="F226" s="257"/>
      <c r="G226" s="260"/>
      <c r="H226" s="274" t="s">
        <v>208</v>
      </c>
      <c r="I226" s="272"/>
      <c r="J226" s="272"/>
      <c r="K226" s="321"/>
      <c r="L226" s="321"/>
      <c r="M226" s="321"/>
      <c r="N226" s="322"/>
      <c r="O226" s="322"/>
      <c r="P226" s="272"/>
      <c r="Q226" s="272"/>
      <c r="R226" s="254"/>
    </row>
    <row r="227" spans="1:18" s="209" customFormat="1" ht="15" customHeight="1" outlineLevel="2">
      <c r="A227" s="239">
        <v>33125</v>
      </c>
      <c r="B227" s="288" t="s">
        <v>5</v>
      </c>
      <c r="C227" s="211" t="s">
        <v>251</v>
      </c>
      <c r="D227" s="224" t="s">
        <v>43</v>
      </c>
      <c r="E227" s="224" t="s">
        <v>652</v>
      </c>
      <c r="F227" s="211" t="s">
        <v>457</v>
      </c>
      <c r="G227" s="230">
        <v>40000650</v>
      </c>
      <c r="H227" s="231" t="s">
        <v>968</v>
      </c>
      <c r="I227" s="248">
        <v>61890915</v>
      </c>
      <c r="J227" s="228">
        <v>0</v>
      </c>
      <c r="K227" s="325">
        <v>0</v>
      </c>
      <c r="L227" s="325">
        <v>0</v>
      </c>
      <c r="M227" s="325">
        <v>0</v>
      </c>
      <c r="N227" s="228">
        <f>36366671+15524244</f>
        <v>51890915</v>
      </c>
      <c r="O227" s="234">
        <v>0</v>
      </c>
      <c r="P227" s="226">
        <f>K227+L227+M227+N227+O227</f>
        <v>51890915</v>
      </c>
      <c r="Q227" s="237">
        <f>I227-(J227+P227)</f>
        <v>10000000</v>
      </c>
      <c r="R227" s="211" t="s">
        <v>460</v>
      </c>
    </row>
    <row r="228" spans="1:18" s="209" customFormat="1" ht="15" customHeight="1" outlineLevel="2">
      <c r="A228" s="239">
        <v>33125</v>
      </c>
      <c r="B228" s="288" t="s">
        <v>5</v>
      </c>
      <c r="C228" s="211" t="s">
        <v>867</v>
      </c>
      <c r="D228" s="224" t="s">
        <v>43</v>
      </c>
      <c r="E228" s="224" t="s">
        <v>652</v>
      </c>
      <c r="F228" s="211" t="s">
        <v>457</v>
      </c>
      <c r="G228" s="230">
        <v>30483771</v>
      </c>
      <c r="H228" s="231" t="s">
        <v>591</v>
      </c>
      <c r="I228" s="248">
        <v>37000646</v>
      </c>
      <c r="J228" s="228">
        <v>26345844</v>
      </c>
      <c r="K228" s="325">
        <v>0</v>
      </c>
      <c r="L228" s="325">
        <v>0</v>
      </c>
      <c r="M228" s="325">
        <v>0</v>
      </c>
      <c r="N228" s="228">
        <v>10654802</v>
      </c>
      <c r="O228" s="234">
        <v>0</v>
      </c>
      <c r="P228" s="226">
        <f>K228+L228+M228+N228+O228</f>
        <v>10654802</v>
      </c>
      <c r="Q228" s="237">
        <f>I228-(J228+P228)</f>
        <v>0</v>
      </c>
      <c r="R228" s="211" t="s">
        <v>460</v>
      </c>
    </row>
    <row r="229" spans="1:18" s="209" customFormat="1" ht="15" customHeight="1" outlineLevel="2">
      <c r="A229" s="239">
        <v>33125</v>
      </c>
      <c r="B229" s="288" t="s">
        <v>5</v>
      </c>
      <c r="C229" s="211" t="s">
        <v>984</v>
      </c>
      <c r="D229" s="224" t="s">
        <v>43</v>
      </c>
      <c r="E229" s="224" t="s">
        <v>652</v>
      </c>
      <c r="F229" s="211" t="s">
        <v>457</v>
      </c>
      <c r="G229" s="230">
        <v>30483223</v>
      </c>
      <c r="H229" s="232" t="s">
        <v>966</v>
      </c>
      <c r="I229" s="248">
        <v>46428762</v>
      </c>
      <c r="J229" s="240">
        <v>0</v>
      </c>
      <c r="K229" s="325">
        <v>0</v>
      </c>
      <c r="L229" s="325">
        <v>0</v>
      </c>
      <c r="M229" s="325">
        <v>0</v>
      </c>
      <c r="N229" s="234">
        <v>0</v>
      </c>
      <c r="O229" s="234">
        <v>46428762</v>
      </c>
      <c r="P229" s="226">
        <f>K229+L229+M229+N229+O229</f>
        <v>46428762</v>
      </c>
      <c r="Q229" s="237">
        <f>I229-(J229+P229)</f>
        <v>0</v>
      </c>
      <c r="R229" s="211" t="s">
        <v>460</v>
      </c>
    </row>
    <row r="230" spans="1:18" s="209" customFormat="1" ht="15" customHeight="1" outlineLevel="2">
      <c r="A230" s="239">
        <v>33125</v>
      </c>
      <c r="B230" s="288" t="s">
        <v>5</v>
      </c>
      <c r="C230" s="211" t="s">
        <v>576</v>
      </c>
      <c r="D230" s="224" t="s">
        <v>43</v>
      </c>
      <c r="E230" s="224" t="s">
        <v>652</v>
      </c>
      <c r="F230" s="211" t="s">
        <v>457</v>
      </c>
      <c r="G230" s="230">
        <v>40000065</v>
      </c>
      <c r="H230" s="231" t="s">
        <v>967</v>
      </c>
      <c r="I230" s="248">
        <v>50000000</v>
      </c>
      <c r="J230" s="240">
        <v>0</v>
      </c>
      <c r="K230" s="325">
        <v>0</v>
      </c>
      <c r="L230" s="325">
        <v>0</v>
      </c>
      <c r="M230" s="325">
        <v>0</v>
      </c>
      <c r="N230" s="234">
        <v>0</v>
      </c>
      <c r="O230" s="234">
        <v>0</v>
      </c>
      <c r="P230" s="226">
        <f>K230+L230+M230+N230+O230</f>
        <v>0</v>
      </c>
      <c r="Q230" s="237">
        <f>I230-(J230+P230)</f>
        <v>50000000</v>
      </c>
      <c r="R230" s="211" t="s">
        <v>460</v>
      </c>
    </row>
    <row r="231" spans="1:18" s="209" customFormat="1" ht="15" customHeight="1" outlineLevel="2">
      <c r="A231" s="239">
        <v>33125</v>
      </c>
      <c r="B231" s="288" t="s">
        <v>5</v>
      </c>
      <c r="C231" s="211" t="s">
        <v>867</v>
      </c>
      <c r="D231" s="224" t="s">
        <v>43</v>
      </c>
      <c r="E231" s="224" t="s">
        <v>652</v>
      </c>
      <c r="F231" s="211" t="s">
        <v>457</v>
      </c>
      <c r="G231" s="230">
        <v>30488959</v>
      </c>
      <c r="H231" s="231" t="s">
        <v>969</v>
      </c>
      <c r="I231" s="248">
        <v>57856286</v>
      </c>
      <c r="J231" s="240">
        <v>0</v>
      </c>
      <c r="K231" s="325">
        <v>0</v>
      </c>
      <c r="L231" s="325">
        <v>0</v>
      </c>
      <c r="M231" s="325">
        <v>0</v>
      </c>
      <c r="N231" s="234">
        <v>0</v>
      </c>
      <c r="O231" s="234">
        <v>5080681</v>
      </c>
      <c r="P231" s="226">
        <f>K231+L231+M231+N231+O231</f>
        <v>5080681</v>
      </c>
      <c r="Q231" s="237">
        <f>I231-(J231+P231)</f>
        <v>52775605</v>
      </c>
      <c r="R231" s="211" t="s">
        <v>239</v>
      </c>
    </row>
    <row r="232" spans="1:18" s="209" customFormat="1" ht="15" customHeight="1" outlineLevel="1">
      <c r="A232" s="256"/>
      <c r="B232" s="289"/>
      <c r="C232" s="257"/>
      <c r="D232" s="261"/>
      <c r="E232" s="262"/>
      <c r="F232" s="257"/>
      <c r="G232" s="263"/>
      <c r="H232" s="252" t="s">
        <v>995</v>
      </c>
      <c r="I232" s="253">
        <f>SUBTOTAL(9,I227:I231)</f>
        <v>253176609</v>
      </c>
      <c r="J232" s="253">
        <f>SUBTOTAL(9,J227:J231)</f>
        <v>26345844</v>
      </c>
      <c r="K232" s="253">
        <f t="shared" ref="K232:N232" si="29">SUBTOTAL(9,K227:K231)</f>
        <v>0</v>
      </c>
      <c r="L232" s="253">
        <f t="shared" si="29"/>
        <v>0</v>
      </c>
      <c r="M232" s="253">
        <f t="shared" si="29"/>
        <v>0</v>
      </c>
      <c r="N232" s="253">
        <f t="shared" si="29"/>
        <v>62545717</v>
      </c>
      <c r="O232" s="253">
        <f>SUBTOTAL(9,O227:O231)</f>
        <v>51509443</v>
      </c>
      <c r="P232" s="253">
        <f>SUBTOTAL(9,P227:P231)</f>
        <v>114055160</v>
      </c>
      <c r="Q232" s="253">
        <f>SUBTOTAL(9,Q227:Q231)</f>
        <v>112775605</v>
      </c>
      <c r="R232" s="254"/>
    </row>
    <row r="233" spans="1:18" s="257" customFormat="1" ht="15" customHeight="1" outlineLevel="1">
      <c r="A233" s="256"/>
      <c r="B233" s="289"/>
      <c r="D233" s="261"/>
      <c r="E233" s="262"/>
      <c r="G233" s="263"/>
      <c r="H233" s="271"/>
      <c r="I233" s="272"/>
      <c r="J233" s="272"/>
      <c r="K233" s="321"/>
      <c r="L233" s="321"/>
      <c r="M233" s="321"/>
      <c r="N233" s="323"/>
      <c r="O233" s="323"/>
      <c r="P233" s="272"/>
      <c r="Q233" s="272"/>
      <c r="R233" s="254"/>
    </row>
    <row r="234" spans="1:18" s="209" customFormat="1" ht="15.75" outlineLevel="1">
      <c r="A234" s="256"/>
      <c r="B234" s="289"/>
      <c r="C234" s="257"/>
      <c r="D234" s="261"/>
      <c r="E234" s="262"/>
      <c r="F234" s="257"/>
      <c r="G234" s="260"/>
      <c r="H234" s="274" t="s">
        <v>208</v>
      </c>
      <c r="I234" s="272"/>
      <c r="J234" s="272"/>
      <c r="K234" s="321"/>
      <c r="L234" s="321"/>
      <c r="M234" s="321"/>
      <c r="N234" s="322"/>
      <c r="O234" s="322"/>
      <c r="P234" s="272"/>
      <c r="Q234" s="272"/>
      <c r="R234" s="254"/>
    </row>
    <row r="235" spans="1:18" s="209" customFormat="1" ht="15" customHeight="1" outlineLevel="2">
      <c r="A235" s="239">
        <v>33125</v>
      </c>
      <c r="B235" s="288" t="s">
        <v>5</v>
      </c>
      <c r="C235" s="211" t="s">
        <v>241</v>
      </c>
      <c r="D235" s="224" t="s">
        <v>43</v>
      </c>
      <c r="E235" s="224" t="s">
        <v>653</v>
      </c>
      <c r="F235" s="211" t="s">
        <v>457</v>
      </c>
      <c r="G235" s="225">
        <v>30483230</v>
      </c>
      <c r="H235" s="231" t="s">
        <v>970</v>
      </c>
      <c r="I235" s="248">
        <v>25000000</v>
      </c>
      <c r="J235" s="226">
        <v>12379202</v>
      </c>
      <c r="K235" s="325">
        <v>0</v>
      </c>
      <c r="L235" s="325">
        <v>0</v>
      </c>
      <c r="M235" s="325">
        <v>0</v>
      </c>
      <c r="N235" s="234">
        <v>0</v>
      </c>
      <c r="O235" s="234">
        <v>0</v>
      </c>
      <c r="P235" s="226">
        <f>K235+L235+M235+N235+O235</f>
        <v>0</v>
      </c>
      <c r="Q235" s="237">
        <f>I235-(J235+P235)</f>
        <v>12620798</v>
      </c>
      <c r="R235" s="211" t="s">
        <v>239</v>
      </c>
    </row>
    <row r="236" spans="1:18" s="209" customFormat="1" ht="15" customHeight="1" outlineLevel="2">
      <c r="A236" s="239">
        <v>33125</v>
      </c>
      <c r="B236" s="288" t="s">
        <v>5</v>
      </c>
      <c r="C236" s="211" t="s">
        <v>311</v>
      </c>
      <c r="D236" s="224" t="s">
        <v>43</v>
      </c>
      <c r="E236" s="224" t="s">
        <v>653</v>
      </c>
      <c r="F236" s="211" t="s">
        <v>457</v>
      </c>
      <c r="G236" s="225">
        <v>30483347</v>
      </c>
      <c r="H236" s="231" t="s">
        <v>971</v>
      </c>
      <c r="I236" s="248">
        <v>25000000</v>
      </c>
      <c r="J236" s="226">
        <v>16035837</v>
      </c>
      <c r="K236" s="325">
        <v>0</v>
      </c>
      <c r="L236" s="325">
        <v>0</v>
      </c>
      <c r="M236" s="325">
        <v>0</v>
      </c>
      <c r="N236" s="234">
        <v>0</v>
      </c>
      <c r="O236" s="234">
        <v>0</v>
      </c>
      <c r="P236" s="226">
        <f>K236+L236+M236+N236+O236</f>
        <v>0</v>
      </c>
      <c r="Q236" s="237">
        <f>I236-(J236+P236)</f>
        <v>8964163</v>
      </c>
      <c r="R236" s="211" t="s">
        <v>239</v>
      </c>
    </row>
    <row r="237" spans="1:18" s="209" customFormat="1" ht="15" customHeight="1" outlineLevel="2">
      <c r="A237" s="239">
        <v>33125</v>
      </c>
      <c r="B237" s="288" t="s">
        <v>5</v>
      </c>
      <c r="C237" s="211" t="s">
        <v>867</v>
      </c>
      <c r="D237" s="224" t="s">
        <v>43</v>
      </c>
      <c r="E237" s="224" t="s">
        <v>653</v>
      </c>
      <c r="F237" s="211" t="s">
        <v>457</v>
      </c>
      <c r="G237" s="225">
        <v>30488718</v>
      </c>
      <c r="H237" s="231" t="s">
        <v>972</v>
      </c>
      <c r="I237" s="248">
        <v>87965514</v>
      </c>
      <c r="J237" s="226">
        <v>0</v>
      </c>
      <c r="K237" s="325">
        <v>0</v>
      </c>
      <c r="L237" s="238">
        <v>6110650</v>
      </c>
      <c r="M237" s="325">
        <v>0</v>
      </c>
      <c r="N237" s="226">
        <v>24602869</v>
      </c>
      <c r="O237" s="234">
        <v>25036029</v>
      </c>
      <c r="P237" s="226">
        <f>K237+L237+M237+N237+O237</f>
        <v>55749548</v>
      </c>
      <c r="Q237" s="237">
        <f>I237-(J237+P237)</f>
        <v>32215966</v>
      </c>
      <c r="R237" s="211" t="s">
        <v>239</v>
      </c>
    </row>
    <row r="238" spans="1:18" s="209" customFormat="1" ht="15" customHeight="1" outlineLevel="2">
      <c r="A238" s="239">
        <v>33125</v>
      </c>
      <c r="B238" s="288" t="s">
        <v>5</v>
      </c>
      <c r="C238" s="211" t="s">
        <v>663</v>
      </c>
      <c r="D238" s="224" t="s">
        <v>43</v>
      </c>
      <c r="E238" s="224" t="s">
        <v>653</v>
      </c>
      <c r="F238" s="211" t="s">
        <v>457</v>
      </c>
      <c r="G238" s="225">
        <v>40000639</v>
      </c>
      <c r="H238" s="224" t="s">
        <v>973</v>
      </c>
      <c r="I238" s="248">
        <v>90000000</v>
      </c>
      <c r="J238" s="226">
        <v>0</v>
      </c>
      <c r="K238" s="325">
        <v>0</v>
      </c>
      <c r="L238" s="238">
        <v>32597953</v>
      </c>
      <c r="M238" s="325">
        <v>0</v>
      </c>
      <c r="N238" s="226">
        <v>45656798</v>
      </c>
      <c r="O238" s="234">
        <v>0</v>
      </c>
      <c r="P238" s="226">
        <f>K238+L238+M238+N238+O238</f>
        <v>78254751</v>
      </c>
      <c r="Q238" s="237">
        <f>I238-(J238+P238)</f>
        <v>11745249</v>
      </c>
      <c r="R238" s="211" t="s">
        <v>460</v>
      </c>
    </row>
    <row r="239" spans="1:18" s="209" customFormat="1" ht="15" customHeight="1" outlineLevel="1">
      <c r="A239" s="256"/>
      <c r="B239" s="289"/>
      <c r="C239" s="257"/>
      <c r="D239" s="261"/>
      <c r="E239" s="262"/>
      <c r="F239" s="257"/>
      <c r="G239" s="260"/>
      <c r="H239" s="252" t="s">
        <v>996</v>
      </c>
      <c r="I239" s="253">
        <f>SUBTOTAL(9,I235:I238)</f>
        <v>227965514</v>
      </c>
      <c r="J239" s="253">
        <f>SUBTOTAL(9,J235:J238)</f>
        <v>28415039</v>
      </c>
      <c r="K239" s="253">
        <f t="shared" ref="K239:N239" si="30">SUBTOTAL(9,K235:K238)</f>
        <v>0</v>
      </c>
      <c r="L239" s="253">
        <f t="shared" si="30"/>
        <v>38708603</v>
      </c>
      <c r="M239" s="253">
        <f t="shared" si="30"/>
        <v>0</v>
      </c>
      <c r="N239" s="253">
        <f t="shared" si="30"/>
        <v>70259667</v>
      </c>
      <c r="O239" s="253">
        <f>SUBTOTAL(9,O235:O238)</f>
        <v>25036029</v>
      </c>
      <c r="P239" s="253">
        <f>SUBTOTAL(9,P235:P238)</f>
        <v>134004299</v>
      </c>
      <c r="Q239" s="253">
        <f>SUBTOTAL(9,Q235:Q238)</f>
        <v>65546176</v>
      </c>
      <c r="R239" s="254"/>
    </row>
    <row r="240" spans="1:18" s="257" customFormat="1" ht="15" customHeight="1" outlineLevel="1">
      <c r="A240" s="256"/>
      <c r="B240" s="289"/>
      <c r="D240" s="261"/>
      <c r="E240" s="262"/>
      <c r="G240" s="260"/>
      <c r="H240" s="271"/>
      <c r="I240" s="272"/>
      <c r="J240" s="272"/>
      <c r="K240" s="321"/>
      <c r="L240" s="321"/>
      <c r="M240" s="321"/>
      <c r="N240" s="322"/>
      <c r="O240" s="322"/>
      <c r="P240" s="272"/>
      <c r="Q240" s="272"/>
      <c r="R240" s="254"/>
    </row>
    <row r="241" spans="1:18" s="209" customFormat="1" ht="15.75" outlineLevel="1">
      <c r="A241" s="256"/>
      <c r="B241" s="289"/>
      <c r="C241" s="257"/>
      <c r="D241" s="261"/>
      <c r="E241" s="262"/>
      <c r="F241" s="257"/>
      <c r="G241" s="260"/>
      <c r="H241" s="274" t="s">
        <v>210</v>
      </c>
      <c r="I241" s="272"/>
      <c r="J241" s="272"/>
      <c r="K241" s="321"/>
      <c r="L241" s="321"/>
      <c r="M241" s="321"/>
      <c r="N241" s="322"/>
      <c r="O241" s="322"/>
      <c r="P241" s="272"/>
      <c r="Q241" s="272"/>
      <c r="R241" s="254"/>
    </row>
    <row r="242" spans="1:18" s="209" customFormat="1" ht="15" customHeight="1" outlineLevel="2">
      <c r="A242" s="239">
        <v>33125</v>
      </c>
      <c r="B242" s="288" t="s">
        <v>5</v>
      </c>
      <c r="C242" s="211" t="s">
        <v>985</v>
      </c>
      <c r="D242" s="224" t="s">
        <v>43</v>
      </c>
      <c r="E242" s="224" t="s">
        <v>654</v>
      </c>
      <c r="F242" s="211" t="s">
        <v>457</v>
      </c>
      <c r="G242" s="225">
        <v>30460674</v>
      </c>
      <c r="H242" s="232" t="s">
        <v>975</v>
      </c>
      <c r="I242" s="248">
        <v>30607432</v>
      </c>
      <c r="J242" s="228">
        <v>27205802</v>
      </c>
      <c r="K242" s="325">
        <v>0</v>
      </c>
      <c r="L242" s="238">
        <v>3401630</v>
      </c>
      <c r="M242" s="325">
        <v>0</v>
      </c>
      <c r="N242" s="234">
        <v>0</v>
      </c>
      <c r="O242" s="234">
        <v>0</v>
      </c>
      <c r="P242" s="226">
        <f>K242+L242+M242+N242+O242</f>
        <v>3401630</v>
      </c>
      <c r="Q242" s="237">
        <f>I242-(J242+P242)</f>
        <v>0</v>
      </c>
      <c r="R242" s="211" t="s">
        <v>460</v>
      </c>
    </row>
    <row r="243" spans="1:18" s="209" customFormat="1" ht="15" customHeight="1" outlineLevel="2">
      <c r="A243" s="239">
        <v>33125</v>
      </c>
      <c r="B243" s="288" t="s">
        <v>5</v>
      </c>
      <c r="C243" s="211" t="s">
        <v>241</v>
      </c>
      <c r="D243" s="224" t="s">
        <v>43</v>
      </c>
      <c r="E243" s="224" t="s">
        <v>654</v>
      </c>
      <c r="F243" s="211" t="s">
        <v>457</v>
      </c>
      <c r="G243" s="225">
        <v>30482998</v>
      </c>
      <c r="H243" s="231" t="s">
        <v>978</v>
      </c>
      <c r="I243" s="248">
        <v>63378014</v>
      </c>
      <c r="J243" s="228">
        <v>33619735</v>
      </c>
      <c r="K243" s="325">
        <v>0</v>
      </c>
      <c r="L243" s="325">
        <v>0</v>
      </c>
      <c r="M243" s="238">
        <v>29758279</v>
      </c>
      <c r="N243" s="234">
        <v>0</v>
      </c>
      <c r="O243" s="234">
        <v>0</v>
      </c>
      <c r="P243" s="226">
        <f>K243+L243+M243+N243+O243</f>
        <v>29758279</v>
      </c>
      <c r="Q243" s="237">
        <f>I243-(J243+P243)</f>
        <v>0</v>
      </c>
      <c r="R243" s="211" t="s">
        <v>460</v>
      </c>
    </row>
    <row r="244" spans="1:18" s="209" customFormat="1" ht="15" customHeight="1" outlineLevel="2">
      <c r="A244" s="239">
        <v>33125</v>
      </c>
      <c r="B244" s="288" t="s">
        <v>5</v>
      </c>
      <c r="C244" s="211" t="s">
        <v>867</v>
      </c>
      <c r="D244" s="224" t="s">
        <v>43</v>
      </c>
      <c r="E244" s="224" t="s">
        <v>654</v>
      </c>
      <c r="F244" s="211" t="s">
        <v>457</v>
      </c>
      <c r="G244" s="225">
        <v>30457931</v>
      </c>
      <c r="H244" s="224" t="s">
        <v>974</v>
      </c>
      <c r="I244" s="248">
        <v>31558503</v>
      </c>
      <c r="J244" s="227">
        <v>28825221</v>
      </c>
      <c r="K244" s="325">
        <v>0</v>
      </c>
      <c r="L244" s="325">
        <v>0</v>
      </c>
      <c r="M244" s="325">
        <v>0</v>
      </c>
      <c r="N244" s="234">
        <v>0</v>
      </c>
      <c r="O244" s="234">
        <v>0</v>
      </c>
      <c r="P244" s="226">
        <f>K244+L244+M244+N244+O244</f>
        <v>0</v>
      </c>
      <c r="Q244" s="237">
        <f>I244-(J244+P244)</f>
        <v>2733282</v>
      </c>
      <c r="R244" s="211" t="s">
        <v>239</v>
      </c>
    </row>
    <row r="245" spans="1:18" s="209" customFormat="1" ht="15" customHeight="1" outlineLevel="2">
      <c r="A245" s="239">
        <v>33125</v>
      </c>
      <c r="B245" s="288" t="s">
        <v>5</v>
      </c>
      <c r="C245" s="211" t="s">
        <v>867</v>
      </c>
      <c r="D245" s="224" t="s">
        <v>43</v>
      </c>
      <c r="E245" s="224" t="s">
        <v>654</v>
      </c>
      <c r="F245" s="211" t="s">
        <v>457</v>
      </c>
      <c r="G245" s="225">
        <v>30488460</v>
      </c>
      <c r="H245" s="224" t="s">
        <v>976</v>
      </c>
      <c r="I245" s="248">
        <v>33080414</v>
      </c>
      <c r="J245" s="240">
        <v>0</v>
      </c>
      <c r="K245" s="325">
        <v>0</v>
      </c>
      <c r="L245" s="238">
        <v>19737638</v>
      </c>
      <c r="M245" s="325">
        <v>0</v>
      </c>
      <c r="N245" s="234">
        <v>0</v>
      </c>
      <c r="O245" s="234">
        <v>13342503</v>
      </c>
      <c r="P245" s="226">
        <f>K245+L245+M245+N245+O245</f>
        <v>33080141</v>
      </c>
      <c r="Q245" s="237">
        <f>I245-(J245+P245)</f>
        <v>273</v>
      </c>
      <c r="R245" s="211" t="s">
        <v>460</v>
      </c>
    </row>
    <row r="246" spans="1:18" s="209" customFormat="1" ht="15" customHeight="1" outlineLevel="2">
      <c r="A246" s="239">
        <v>33125</v>
      </c>
      <c r="B246" s="288" t="s">
        <v>5</v>
      </c>
      <c r="C246" s="213" t="s">
        <v>311</v>
      </c>
      <c r="D246" s="224" t="s">
        <v>43</v>
      </c>
      <c r="E246" s="224" t="s">
        <v>654</v>
      </c>
      <c r="F246" s="211" t="s">
        <v>457</v>
      </c>
      <c r="G246" s="225">
        <v>30488467</v>
      </c>
      <c r="H246" s="224" t="s">
        <v>977</v>
      </c>
      <c r="I246" s="248">
        <v>35552442</v>
      </c>
      <c r="J246" s="240">
        <v>0</v>
      </c>
      <c r="K246" s="325">
        <v>0</v>
      </c>
      <c r="L246" s="325">
        <v>0</v>
      </c>
      <c r="M246" s="325">
        <v>0</v>
      </c>
      <c r="N246" s="234">
        <v>0</v>
      </c>
      <c r="O246" s="234">
        <v>24951718</v>
      </c>
      <c r="P246" s="226">
        <f>K246+L246+M246+N246+O246</f>
        <v>24951718</v>
      </c>
      <c r="Q246" s="237">
        <f>I246-(J246+P246)</f>
        <v>10600724</v>
      </c>
      <c r="R246" s="211" t="s">
        <v>239</v>
      </c>
    </row>
    <row r="247" spans="1:18" s="209" customFormat="1" ht="15" customHeight="1" outlineLevel="2">
      <c r="A247" s="239">
        <v>33125</v>
      </c>
      <c r="B247" s="288" t="s">
        <v>5</v>
      </c>
      <c r="C247" s="211" t="s">
        <v>253</v>
      </c>
      <c r="D247" s="224" t="s">
        <v>43</v>
      </c>
      <c r="E247" s="224" t="s">
        <v>654</v>
      </c>
      <c r="F247" s="211" t="s">
        <v>457</v>
      </c>
      <c r="G247" s="225">
        <v>30488876</v>
      </c>
      <c r="H247" s="224" t="s">
        <v>616</v>
      </c>
      <c r="I247" s="248">
        <v>37495973</v>
      </c>
      <c r="J247" s="240">
        <v>0</v>
      </c>
      <c r="K247" s="325">
        <v>0</v>
      </c>
      <c r="L247" s="325">
        <v>0</v>
      </c>
      <c r="M247" s="325">
        <v>0</v>
      </c>
      <c r="N247" s="234">
        <v>0</v>
      </c>
      <c r="O247" s="234">
        <v>27838309</v>
      </c>
      <c r="P247" s="226">
        <f>K247+L247+M247+N247+O247</f>
        <v>27838309</v>
      </c>
      <c r="Q247" s="237">
        <f>I247-(J247+P247)</f>
        <v>9657664</v>
      </c>
      <c r="R247" s="211" t="s">
        <v>239</v>
      </c>
    </row>
    <row r="248" spans="1:18" s="209" customFormat="1" ht="15" customHeight="1" outlineLevel="2">
      <c r="A248" s="239">
        <v>33125</v>
      </c>
      <c r="B248" s="288" t="s">
        <v>5</v>
      </c>
      <c r="C248" s="211" t="s">
        <v>985</v>
      </c>
      <c r="D248" s="224" t="s">
        <v>43</v>
      </c>
      <c r="E248" s="224" t="s">
        <v>654</v>
      </c>
      <c r="F248" s="211" t="s">
        <v>457</v>
      </c>
      <c r="G248" s="225">
        <v>30488910</v>
      </c>
      <c r="H248" s="224" t="s">
        <v>583</v>
      </c>
      <c r="I248" s="248">
        <v>24889445</v>
      </c>
      <c r="J248" s="240">
        <v>0</v>
      </c>
      <c r="K248" s="325">
        <v>0</v>
      </c>
      <c r="L248" s="325">
        <v>0</v>
      </c>
      <c r="M248" s="325">
        <v>0</v>
      </c>
      <c r="N248" s="234">
        <v>0</v>
      </c>
      <c r="O248" s="234">
        <v>0</v>
      </c>
      <c r="P248" s="226">
        <f>K248+L248+M248+N248+O248</f>
        <v>0</v>
      </c>
      <c r="Q248" s="237">
        <f>I248-(J248+P248)</f>
        <v>24889445</v>
      </c>
      <c r="R248" s="211" t="s">
        <v>460</v>
      </c>
    </row>
    <row r="249" spans="1:18" s="209" customFormat="1" ht="15" customHeight="1" outlineLevel="1">
      <c r="A249" s="256"/>
      <c r="B249" s="289"/>
      <c r="C249" s="257"/>
      <c r="D249" s="261"/>
      <c r="E249" s="262"/>
      <c r="F249" s="257"/>
      <c r="G249" s="260"/>
      <c r="H249" s="252" t="s">
        <v>997</v>
      </c>
      <c r="I249" s="253">
        <f>SUBTOTAL(9,I242:I248)</f>
        <v>256562223</v>
      </c>
      <c r="J249" s="253">
        <f>SUBTOTAL(9,J242:J248)</f>
        <v>89650758</v>
      </c>
      <c r="K249" s="253">
        <f t="shared" ref="K249:N249" si="31">SUBTOTAL(9,K242:K248)</f>
        <v>0</v>
      </c>
      <c r="L249" s="253">
        <f t="shared" si="31"/>
        <v>23139268</v>
      </c>
      <c r="M249" s="253">
        <f t="shared" si="31"/>
        <v>29758279</v>
      </c>
      <c r="N249" s="253">
        <f t="shared" si="31"/>
        <v>0</v>
      </c>
      <c r="O249" s="253">
        <f>SUBTOTAL(9,O242:O248)</f>
        <v>66132530</v>
      </c>
      <c r="P249" s="253">
        <f>SUBTOTAL(9,P242:P248)</f>
        <v>119030077</v>
      </c>
      <c r="Q249" s="253">
        <f>SUBTOTAL(9,Q242:Q248)</f>
        <v>47881388</v>
      </c>
      <c r="R249" s="254"/>
    </row>
    <row r="250" spans="1:18" s="257" customFormat="1" ht="15" customHeight="1" outlineLevel="1">
      <c r="A250" s="256"/>
      <c r="B250" s="289"/>
      <c r="D250" s="261"/>
      <c r="E250" s="262"/>
      <c r="G250" s="260"/>
      <c r="H250" s="271"/>
      <c r="I250" s="272"/>
      <c r="J250" s="272"/>
      <c r="K250" s="321"/>
      <c r="L250" s="321"/>
      <c r="M250" s="321"/>
      <c r="N250" s="322"/>
      <c r="O250" s="322"/>
      <c r="P250" s="272"/>
      <c r="Q250" s="272"/>
      <c r="R250" s="254"/>
    </row>
    <row r="251" spans="1:18" s="209" customFormat="1" ht="15.75" outlineLevel="1">
      <c r="A251" s="256"/>
      <c r="B251" s="289"/>
      <c r="C251" s="257"/>
      <c r="D251" s="261"/>
      <c r="E251" s="262"/>
      <c r="F251" s="257"/>
      <c r="G251" s="260"/>
      <c r="H251" s="274" t="s">
        <v>211</v>
      </c>
      <c r="I251" s="272"/>
      <c r="J251" s="272"/>
      <c r="K251" s="321"/>
      <c r="L251" s="321"/>
      <c r="M251" s="321"/>
      <c r="N251" s="322"/>
      <c r="O251" s="322"/>
      <c r="P251" s="272"/>
      <c r="Q251" s="272"/>
      <c r="R251" s="254"/>
    </row>
    <row r="252" spans="1:18" s="209" customFormat="1" ht="15" customHeight="1" outlineLevel="2">
      <c r="A252" s="239">
        <v>33125</v>
      </c>
      <c r="B252" s="288" t="s">
        <v>5</v>
      </c>
      <c r="C252" s="211" t="s">
        <v>251</v>
      </c>
      <c r="D252" s="224" t="s">
        <v>43</v>
      </c>
      <c r="E252" s="224" t="s">
        <v>43</v>
      </c>
      <c r="F252" s="211" t="s">
        <v>457</v>
      </c>
      <c r="G252" s="225">
        <v>30482049</v>
      </c>
      <c r="H252" s="232" t="s">
        <v>608</v>
      </c>
      <c r="I252" s="248">
        <v>91570407</v>
      </c>
      <c r="J252" s="226">
        <v>77486127</v>
      </c>
      <c r="K252" s="325">
        <v>0</v>
      </c>
      <c r="L252" s="238">
        <v>14084280</v>
      </c>
      <c r="M252" s="325">
        <v>0</v>
      </c>
      <c r="N252" s="234">
        <v>0</v>
      </c>
      <c r="O252" s="234">
        <v>0</v>
      </c>
      <c r="P252" s="226">
        <f>K252+L252+M252+N252+O252</f>
        <v>14084280</v>
      </c>
      <c r="Q252" s="237">
        <f>I252-(J252+P252)</f>
        <v>0</v>
      </c>
      <c r="R252" s="211" t="s">
        <v>460</v>
      </c>
    </row>
    <row r="253" spans="1:18" s="209" customFormat="1" ht="15" customHeight="1" outlineLevel="2">
      <c r="A253" s="239">
        <v>33125</v>
      </c>
      <c r="B253" s="288" t="s">
        <v>5</v>
      </c>
      <c r="C253" s="211" t="s">
        <v>251</v>
      </c>
      <c r="D253" s="224" t="s">
        <v>43</v>
      </c>
      <c r="E253" s="224" t="s">
        <v>43</v>
      </c>
      <c r="F253" s="211" t="s">
        <v>457</v>
      </c>
      <c r="G253" s="225">
        <v>30482877</v>
      </c>
      <c r="H253" s="232" t="s">
        <v>979</v>
      </c>
      <c r="I253" s="248">
        <v>92000000</v>
      </c>
      <c r="J253" s="226">
        <v>84757640</v>
      </c>
      <c r="K253" s="325">
        <v>0</v>
      </c>
      <c r="L253" s="325">
        <v>0</v>
      </c>
      <c r="M253" s="325">
        <v>0</v>
      </c>
      <c r="N253" s="234">
        <v>0</v>
      </c>
      <c r="O253" s="234">
        <v>0</v>
      </c>
      <c r="P253" s="226">
        <f>K253+L253+M253+N253+O253</f>
        <v>0</v>
      </c>
      <c r="Q253" s="237">
        <f>I253-(J253+P253)</f>
        <v>7242360</v>
      </c>
      <c r="R253" s="211" t="s">
        <v>239</v>
      </c>
    </row>
    <row r="254" spans="1:18" s="209" customFormat="1" ht="15" customHeight="1" outlineLevel="2">
      <c r="A254" s="239">
        <v>33125</v>
      </c>
      <c r="B254" s="288" t="s">
        <v>5</v>
      </c>
      <c r="C254" s="211" t="s">
        <v>311</v>
      </c>
      <c r="D254" s="224" t="s">
        <v>43</v>
      </c>
      <c r="E254" s="224" t="s">
        <v>43</v>
      </c>
      <c r="F254" s="211" t="s">
        <v>457</v>
      </c>
      <c r="G254" s="225">
        <v>30483007</v>
      </c>
      <c r="H254" s="232" t="s">
        <v>980</v>
      </c>
      <c r="I254" s="248">
        <v>48781000</v>
      </c>
      <c r="J254" s="226">
        <v>42126700</v>
      </c>
      <c r="K254" s="325">
        <v>0</v>
      </c>
      <c r="L254" s="325">
        <v>0</v>
      </c>
      <c r="M254" s="325">
        <v>0</v>
      </c>
      <c r="N254" s="234">
        <v>0</v>
      </c>
      <c r="O254" s="234">
        <v>0</v>
      </c>
      <c r="P254" s="226">
        <f>K254+L254+M254+N254+O254</f>
        <v>0</v>
      </c>
      <c r="Q254" s="237">
        <f>I254-(J254+P254)</f>
        <v>6654300</v>
      </c>
      <c r="R254" s="211" t="s">
        <v>239</v>
      </c>
    </row>
    <row r="255" spans="1:18" s="209" customFormat="1" ht="15" customHeight="1" outlineLevel="2">
      <c r="A255" s="239">
        <v>33125</v>
      </c>
      <c r="B255" s="288" t="s">
        <v>5</v>
      </c>
      <c r="C255" s="211" t="s">
        <v>241</v>
      </c>
      <c r="D255" s="224" t="s">
        <v>43</v>
      </c>
      <c r="E255" s="224" t="s">
        <v>43</v>
      </c>
      <c r="F255" s="211" t="s">
        <v>457</v>
      </c>
      <c r="G255" s="225">
        <v>30484463</v>
      </c>
      <c r="H255" s="232" t="s">
        <v>981</v>
      </c>
      <c r="I255" s="248">
        <v>92185000</v>
      </c>
      <c r="J255" s="226">
        <v>11119324</v>
      </c>
      <c r="K255" s="325">
        <v>0</v>
      </c>
      <c r="L255" s="238">
        <v>12828777</v>
      </c>
      <c r="M255" s="238">
        <v>4250000</v>
      </c>
      <c r="N255" s="228">
        <v>26312600</v>
      </c>
      <c r="O255" s="234">
        <v>4250000</v>
      </c>
      <c r="P255" s="226">
        <f>K255+L255+M255+N255+O255</f>
        <v>47641377</v>
      </c>
      <c r="Q255" s="237">
        <f>I255-(J255+P255)</f>
        <v>33424299</v>
      </c>
      <c r="R255" s="211" t="s">
        <v>239</v>
      </c>
    </row>
    <row r="256" spans="1:18" s="209" customFormat="1" ht="15" customHeight="1" outlineLevel="2">
      <c r="A256" s="239">
        <v>33125</v>
      </c>
      <c r="B256" s="288" t="s">
        <v>5</v>
      </c>
      <c r="C256" s="211" t="s">
        <v>241</v>
      </c>
      <c r="D256" s="224" t="s">
        <v>43</v>
      </c>
      <c r="E256" s="224" t="s">
        <v>43</v>
      </c>
      <c r="F256" s="211" t="s">
        <v>457</v>
      </c>
      <c r="G256" s="225">
        <v>30488512</v>
      </c>
      <c r="H256" s="232" t="s">
        <v>982</v>
      </c>
      <c r="I256" s="248">
        <v>92000000</v>
      </c>
      <c r="J256" s="226">
        <v>24282868</v>
      </c>
      <c r="K256" s="325">
        <v>0</v>
      </c>
      <c r="L256" s="238">
        <f>7650000+28366795</f>
        <v>36016795</v>
      </c>
      <c r="M256" s="238">
        <v>7745200</v>
      </c>
      <c r="N256" s="234">
        <v>0</v>
      </c>
      <c r="O256" s="234">
        <v>15329302</v>
      </c>
      <c r="P256" s="226">
        <f>K256+L256+M256+N256+O256</f>
        <v>59091297</v>
      </c>
      <c r="Q256" s="237">
        <f>I256-(J256+P256)</f>
        <v>8625835</v>
      </c>
      <c r="R256" s="211" t="s">
        <v>239</v>
      </c>
    </row>
    <row r="257" spans="1:18" s="209" customFormat="1" ht="15" customHeight="1" outlineLevel="2">
      <c r="A257" s="239">
        <v>33125</v>
      </c>
      <c r="B257" s="288" t="s">
        <v>5</v>
      </c>
      <c r="C257" s="211" t="s">
        <v>867</v>
      </c>
      <c r="D257" s="224" t="s">
        <v>43</v>
      </c>
      <c r="E257" s="224" t="s">
        <v>43</v>
      </c>
      <c r="F257" s="211" t="s">
        <v>457</v>
      </c>
      <c r="G257" s="225">
        <v>30488518</v>
      </c>
      <c r="H257" s="232" t="s">
        <v>983</v>
      </c>
      <c r="I257" s="248">
        <v>47777476</v>
      </c>
      <c r="J257" s="226">
        <v>0</v>
      </c>
      <c r="K257" s="325">
        <v>0</v>
      </c>
      <c r="L257" s="238">
        <v>10762097</v>
      </c>
      <c r="M257" s="238">
        <v>12161400</v>
      </c>
      <c r="N257" s="228">
        <v>15759791</v>
      </c>
      <c r="O257" s="234">
        <v>0</v>
      </c>
      <c r="P257" s="226">
        <f>K257+L257+M257+N257+O257</f>
        <v>38683288</v>
      </c>
      <c r="Q257" s="237">
        <f>I257-(J257+P257)</f>
        <v>9094188</v>
      </c>
      <c r="R257" s="211" t="s">
        <v>460</v>
      </c>
    </row>
    <row r="258" spans="1:18" s="209" customFormat="1" ht="15" customHeight="1" outlineLevel="1">
      <c r="A258" s="256"/>
      <c r="B258" s="289"/>
      <c r="C258" s="257"/>
      <c r="D258" s="261"/>
      <c r="E258" s="262"/>
      <c r="F258" s="257"/>
      <c r="G258" s="260"/>
      <c r="H258" s="255" t="s">
        <v>664</v>
      </c>
      <c r="I258" s="253">
        <f t="shared" ref="I258:O258" si="32">SUBTOTAL(9,I252:I257)</f>
        <v>464313883</v>
      </c>
      <c r="J258" s="253">
        <f t="shared" si="32"/>
        <v>239772659</v>
      </c>
      <c r="K258" s="253">
        <f t="shared" si="32"/>
        <v>0</v>
      </c>
      <c r="L258" s="253">
        <f t="shared" si="32"/>
        <v>73691949</v>
      </c>
      <c r="M258" s="253">
        <f t="shared" si="32"/>
        <v>24156600</v>
      </c>
      <c r="N258" s="253">
        <f t="shared" si="32"/>
        <v>42072391</v>
      </c>
      <c r="O258" s="253">
        <f t="shared" si="32"/>
        <v>19579302</v>
      </c>
      <c r="P258" s="253">
        <f>SUBTOTAL(9,P252:P257)</f>
        <v>159500242</v>
      </c>
      <c r="Q258" s="253">
        <f t="shared" ref="Q258" si="33">SUBTOTAL(9,Q252:Q257)</f>
        <v>65040982</v>
      </c>
      <c r="R258" s="254"/>
    </row>
    <row r="259" spans="1:18" s="242" customFormat="1" ht="15" customHeight="1">
      <c r="A259" s="241"/>
      <c r="B259" s="290"/>
      <c r="D259" s="243"/>
      <c r="E259" s="251"/>
      <c r="G259" s="214"/>
      <c r="H259" s="244"/>
      <c r="I259" s="250"/>
      <c r="J259" s="210"/>
      <c r="K259" s="321"/>
      <c r="L259" s="321"/>
      <c r="M259" s="321"/>
      <c r="N259" s="323"/>
      <c r="O259" s="323"/>
      <c r="P259" s="210"/>
      <c r="Q259" s="315"/>
    </row>
    <row r="260" spans="1:18" ht="15">
      <c r="A260" s="217"/>
      <c r="B260" s="291"/>
      <c r="C260" s="217"/>
      <c r="D260" s="217"/>
      <c r="E260" s="218"/>
      <c r="F260" s="217"/>
      <c r="G260" s="219"/>
      <c r="H260" s="275" t="s">
        <v>212</v>
      </c>
      <c r="I260" s="270">
        <f t="shared" ref="I260:Q260" si="34">I258+I249+I239+I232</f>
        <v>1202018229</v>
      </c>
      <c r="J260" s="270">
        <f t="shared" si="34"/>
        <v>384184300</v>
      </c>
      <c r="K260" s="270">
        <f t="shared" si="34"/>
        <v>0</v>
      </c>
      <c r="L260" s="270">
        <f t="shared" si="34"/>
        <v>135539820</v>
      </c>
      <c r="M260" s="270">
        <f t="shared" si="34"/>
        <v>53914879</v>
      </c>
      <c r="N260" s="270">
        <f t="shared" si="34"/>
        <v>174877775</v>
      </c>
      <c r="O260" s="270">
        <f t="shared" si="34"/>
        <v>162257304</v>
      </c>
      <c r="P260" s="270">
        <f t="shared" si="34"/>
        <v>526589778</v>
      </c>
      <c r="Q260" s="270">
        <f t="shared" si="34"/>
        <v>291244151</v>
      </c>
      <c r="R260" s="204"/>
    </row>
    <row r="261" spans="1:18">
      <c r="A261" s="217"/>
      <c r="B261" s="291"/>
      <c r="C261" s="217"/>
      <c r="D261" s="217"/>
      <c r="E261" s="218"/>
      <c r="F261" s="217"/>
      <c r="G261" s="219"/>
      <c r="H261" s="203"/>
      <c r="I261" s="245"/>
      <c r="J261" s="204"/>
      <c r="K261" s="207"/>
      <c r="L261" s="207"/>
      <c r="M261" s="205"/>
      <c r="N261" s="206"/>
      <c r="O261" s="206"/>
      <c r="P261" s="206"/>
      <c r="Q261" s="316"/>
      <c r="R261" s="204"/>
    </row>
    <row r="262" spans="1:18" ht="15">
      <c r="A262" s="217"/>
      <c r="B262" s="291"/>
      <c r="C262" s="217"/>
      <c r="D262" s="217"/>
      <c r="E262" s="218"/>
      <c r="F262" s="217"/>
      <c r="G262" s="219"/>
      <c r="H262" s="275" t="s">
        <v>998</v>
      </c>
      <c r="I262" s="270">
        <f t="shared" ref="I262:Q262" si="35">I260+I224+I135+I60</f>
        <v>9520176658</v>
      </c>
      <c r="J262" s="270">
        <f t="shared" si="35"/>
        <v>2651154328</v>
      </c>
      <c r="K262" s="270">
        <f t="shared" si="35"/>
        <v>82286345</v>
      </c>
      <c r="L262" s="270">
        <f t="shared" si="35"/>
        <v>982422583</v>
      </c>
      <c r="M262" s="270">
        <f t="shared" si="35"/>
        <v>1100312578</v>
      </c>
      <c r="N262" s="270">
        <f t="shared" si="35"/>
        <v>1198503230</v>
      </c>
      <c r="O262" s="270">
        <f t="shared" si="35"/>
        <v>1003847003</v>
      </c>
      <c r="P262" s="270">
        <f t="shared" si="35"/>
        <v>4367371739</v>
      </c>
      <c r="Q262" s="270">
        <f t="shared" si="35"/>
        <v>2501650591</v>
      </c>
      <c r="R262" s="204"/>
    </row>
    <row r="263" spans="1:18">
      <c r="K263" s="204"/>
      <c r="L263" s="204"/>
      <c r="M263" s="204"/>
    </row>
    <row r="264" spans="1:18">
      <c r="K264" s="204"/>
      <c r="L264" s="204"/>
      <c r="M264" s="204"/>
    </row>
    <row r="265" spans="1:18">
      <c r="K265" s="204"/>
      <c r="L265" s="204"/>
      <c r="M265" s="204"/>
    </row>
    <row r="266" spans="1:18">
      <c r="K266" s="204"/>
      <c r="L266" s="204"/>
      <c r="M266" s="204"/>
    </row>
    <row r="267" spans="1:18">
      <c r="K267" s="204"/>
      <c r="L267" s="204"/>
      <c r="M267" s="204"/>
    </row>
    <row r="268" spans="1:18">
      <c r="K268" s="204"/>
      <c r="L268" s="204"/>
      <c r="M268" s="204"/>
    </row>
    <row r="269" spans="1:18">
      <c r="K269" s="204"/>
      <c r="L269" s="204"/>
      <c r="M269" s="204"/>
    </row>
    <row r="270" spans="1:18">
      <c r="K270" s="204"/>
      <c r="L270" s="204"/>
      <c r="M270" s="204"/>
    </row>
    <row r="271" spans="1:18">
      <c r="K271" s="204"/>
      <c r="L271" s="204"/>
      <c r="M271" s="204"/>
    </row>
    <row r="272" spans="1:18">
      <c r="K272" s="204"/>
      <c r="L272" s="204"/>
      <c r="M272" s="204"/>
    </row>
    <row r="273" spans="11:13">
      <c r="K273" s="204"/>
      <c r="L273" s="204"/>
      <c r="M273" s="204"/>
    </row>
    <row r="274" spans="11:13">
      <c r="K274" s="204"/>
      <c r="L274" s="204"/>
      <c r="M274" s="204"/>
    </row>
    <row r="275" spans="11:13">
      <c r="K275" s="204"/>
      <c r="L275" s="204"/>
      <c r="M275" s="204"/>
    </row>
    <row r="276" spans="11:13">
      <c r="K276" s="204"/>
      <c r="L276" s="204"/>
      <c r="M276" s="204"/>
    </row>
    <row r="277" spans="11:13">
      <c r="K277" s="204"/>
      <c r="L277" s="204"/>
      <c r="M277" s="204"/>
    </row>
  </sheetData>
  <autoFilter ref="A1:R277"/>
  <pageMargins left="1.1023622047244095" right="0.23622047244094491" top="0.59055118110236227" bottom="0.59055118110236227" header="0.15748031496062992" footer="0.23622047244094491"/>
  <pageSetup paperSize="5" scale="85" fitToHeight="0" orientation="landscape" r:id="rId1"/>
  <headerFooter>
    <oddHeader xml:space="preserve">&amp;L&amp;G
                      &amp;C&amp;"-,Negrita"&amp;14ESTADO SITUACION ESTIMADO FRIL MES DE JUNIO&amp;R&amp;9DIVISION DE PRESUPUESTO E 
INVERSION REGIONAL
&amp;D                                   
</oddHeader>
    <oddFooter>&amp;R&amp;9&amp;P/&amp;N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1"/>
  <sheetViews>
    <sheetView workbookViewId="0">
      <selection activeCell="J28" sqref="J28"/>
    </sheetView>
  </sheetViews>
  <sheetFormatPr baseColWidth="10" defaultColWidth="11.42578125" defaultRowHeight="12.75"/>
  <cols>
    <col min="1" max="1" width="8" style="59" customWidth="1"/>
    <col min="2" max="2" width="12.85546875" style="59" bestFit="1" customWidth="1"/>
    <col min="3" max="3" width="13.7109375" style="59" bestFit="1" customWidth="1"/>
    <col min="4" max="4" width="12.140625" style="59" customWidth="1"/>
    <col min="5" max="5" width="2.7109375" style="59" bestFit="1" customWidth="1"/>
    <col min="6" max="6" width="24.42578125" style="59" customWidth="1"/>
    <col min="7" max="9" width="2" style="59" bestFit="1" customWidth="1"/>
    <col min="10" max="10" width="18.42578125" style="59" bestFit="1" customWidth="1"/>
    <col min="11" max="11" width="14.7109375" style="59" bestFit="1" customWidth="1"/>
    <col min="12" max="12" width="11.5703125" style="59" customWidth="1"/>
    <col min="13" max="13" width="3.28515625" style="59" customWidth="1"/>
    <col min="14" max="215" width="11.42578125" style="59"/>
    <col min="216" max="216" width="1.85546875" style="59" bestFit="1" customWidth="1"/>
    <col min="217" max="218" width="2" style="59" bestFit="1" customWidth="1"/>
    <col min="219" max="219" width="2.5703125" style="59" customWidth="1"/>
    <col min="220" max="220" width="2.28515625" style="59" bestFit="1" customWidth="1"/>
    <col min="221" max="221" width="11.42578125" style="59"/>
    <col min="222" max="222" width="1.85546875" style="59" bestFit="1" customWidth="1"/>
    <col min="223" max="223" width="2" style="59" bestFit="1" customWidth="1"/>
    <col min="224" max="225" width="0" style="59" hidden="1" customWidth="1"/>
    <col min="226" max="226" width="2.140625" style="59" customWidth="1"/>
    <col min="227" max="227" width="2.28515625" style="59" bestFit="1" customWidth="1"/>
    <col min="228" max="228" width="2" style="59" customWidth="1"/>
    <col min="229" max="229" width="1.7109375" style="59" bestFit="1" customWidth="1"/>
    <col min="230" max="471" width="11.42578125" style="59"/>
    <col min="472" max="472" width="1.85546875" style="59" bestFit="1" customWidth="1"/>
    <col min="473" max="474" width="2" style="59" bestFit="1" customWidth="1"/>
    <col min="475" max="475" width="2.5703125" style="59" customWidth="1"/>
    <col min="476" max="476" width="2.28515625" style="59" bestFit="1" customWidth="1"/>
    <col min="477" max="477" width="11.42578125" style="59"/>
    <col min="478" max="478" width="1.85546875" style="59" bestFit="1" customWidth="1"/>
    <col min="479" max="479" width="2" style="59" bestFit="1" customWidth="1"/>
    <col min="480" max="481" width="0" style="59" hidden="1" customWidth="1"/>
    <col min="482" max="482" width="2.140625" style="59" customWidth="1"/>
    <col min="483" max="483" width="2.28515625" style="59" bestFit="1" customWidth="1"/>
    <col min="484" max="484" width="2" style="59" customWidth="1"/>
    <col min="485" max="485" width="1.7109375" style="59" bestFit="1" customWidth="1"/>
    <col min="486" max="727" width="11.42578125" style="59"/>
    <col min="728" max="728" width="1.85546875" style="59" bestFit="1" customWidth="1"/>
    <col min="729" max="730" width="2" style="59" bestFit="1" customWidth="1"/>
    <col min="731" max="731" width="2.5703125" style="59" customWidth="1"/>
    <col min="732" max="732" width="2.28515625" style="59" bestFit="1" customWidth="1"/>
    <col min="733" max="733" width="11.42578125" style="59"/>
    <col min="734" max="734" width="1.85546875" style="59" bestFit="1" customWidth="1"/>
    <col min="735" max="735" width="2" style="59" bestFit="1" customWidth="1"/>
    <col min="736" max="737" width="0" style="59" hidden="1" customWidth="1"/>
    <col min="738" max="738" width="2.140625" style="59" customWidth="1"/>
    <col min="739" max="739" width="2.28515625" style="59" bestFit="1" customWidth="1"/>
    <col min="740" max="740" width="2" style="59" customWidth="1"/>
    <col min="741" max="741" width="1.7109375" style="59" bestFit="1" customWidth="1"/>
    <col min="742" max="983" width="11.42578125" style="59"/>
    <col min="984" max="984" width="1.85546875" style="59" bestFit="1" customWidth="1"/>
    <col min="985" max="986" width="2" style="59" bestFit="1" customWidth="1"/>
    <col min="987" max="987" width="2.5703125" style="59" customWidth="1"/>
    <col min="988" max="988" width="2.28515625" style="59" bestFit="1" customWidth="1"/>
    <col min="989" max="989" width="11.42578125" style="59"/>
    <col min="990" max="990" width="1.85546875" style="59" bestFit="1" customWidth="1"/>
    <col min="991" max="991" width="2" style="59" bestFit="1" customWidth="1"/>
    <col min="992" max="993" width="0" style="59" hidden="1" customWidth="1"/>
    <col min="994" max="994" width="2.140625" style="59" customWidth="1"/>
    <col min="995" max="995" width="2.28515625" style="59" bestFit="1" customWidth="1"/>
    <col min="996" max="996" width="2" style="59" customWidth="1"/>
    <col min="997" max="997" width="1.7109375" style="59" bestFit="1" customWidth="1"/>
    <col min="998" max="1239" width="11.42578125" style="59"/>
    <col min="1240" max="1240" width="1.85546875" style="59" bestFit="1" customWidth="1"/>
    <col min="1241" max="1242" width="2" style="59" bestFit="1" customWidth="1"/>
    <col min="1243" max="1243" width="2.5703125" style="59" customWidth="1"/>
    <col min="1244" max="1244" width="2.28515625" style="59" bestFit="1" customWidth="1"/>
    <col min="1245" max="1245" width="11.42578125" style="59"/>
    <col min="1246" max="1246" width="1.85546875" style="59" bestFit="1" customWidth="1"/>
    <col min="1247" max="1247" width="2" style="59" bestFit="1" customWidth="1"/>
    <col min="1248" max="1249" width="0" style="59" hidden="1" customWidth="1"/>
    <col min="1250" max="1250" width="2.140625" style="59" customWidth="1"/>
    <col min="1251" max="1251" width="2.28515625" style="59" bestFit="1" customWidth="1"/>
    <col min="1252" max="1252" width="2" style="59" customWidth="1"/>
    <col min="1253" max="1253" width="1.7109375" style="59" bestFit="1" customWidth="1"/>
    <col min="1254" max="1495" width="11.42578125" style="59"/>
    <col min="1496" max="1496" width="1.85546875" style="59" bestFit="1" customWidth="1"/>
    <col min="1497" max="1498" width="2" style="59" bestFit="1" customWidth="1"/>
    <col min="1499" max="1499" width="2.5703125" style="59" customWidth="1"/>
    <col min="1500" max="1500" width="2.28515625" style="59" bestFit="1" customWidth="1"/>
    <col min="1501" max="1501" width="11.42578125" style="59"/>
    <col min="1502" max="1502" width="1.85546875" style="59" bestFit="1" customWidth="1"/>
    <col min="1503" max="1503" width="2" style="59" bestFit="1" customWidth="1"/>
    <col min="1504" max="1505" width="0" style="59" hidden="1" customWidth="1"/>
    <col min="1506" max="1506" width="2.140625" style="59" customWidth="1"/>
    <col min="1507" max="1507" width="2.28515625" style="59" bestFit="1" customWidth="1"/>
    <col min="1508" max="1508" width="2" style="59" customWidth="1"/>
    <col min="1509" max="1509" width="1.7109375" style="59" bestFit="1" customWidth="1"/>
    <col min="1510" max="1751" width="11.42578125" style="59"/>
    <col min="1752" max="1752" width="1.85546875" style="59" bestFit="1" customWidth="1"/>
    <col min="1753" max="1754" width="2" style="59" bestFit="1" customWidth="1"/>
    <col min="1755" max="1755" width="2.5703125" style="59" customWidth="1"/>
    <col min="1756" max="1756" width="2.28515625" style="59" bestFit="1" customWidth="1"/>
    <col min="1757" max="1757" width="11.42578125" style="59"/>
    <col min="1758" max="1758" width="1.85546875" style="59" bestFit="1" customWidth="1"/>
    <col min="1759" max="1759" width="2" style="59" bestFit="1" customWidth="1"/>
    <col min="1760" max="1761" width="0" style="59" hidden="1" customWidth="1"/>
    <col min="1762" max="1762" width="2.140625" style="59" customWidth="1"/>
    <col min="1763" max="1763" width="2.28515625" style="59" bestFit="1" customWidth="1"/>
    <col min="1764" max="1764" width="2" style="59" customWidth="1"/>
    <col min="1765" max="1765" width="1.7109375" style="59" bestFit="1" customWidth="1"/>
    <col min="1766" max="2007" width="11.42578125" style="59"/>
    <col min="2008" max="2008" width="1.85546875" style="59" bestFit="1" customWidth="1"/>
    <col min="2009" max="2010" width="2" style="59" bestFit="1" customWidth="1"/>
    <col min="2011" max="2011" width="2.5703125" style="59" customWidth="1"/>
    <col min="2012" max="2012" width="2.28515625" style="59" bestFit="1" customWidth="1"/>
    <col min="2013" max="2013" width="11.42578125" style="59"/>
    <col min="2014" max="2014" width="1.85546875" style="59" bestFit="1" customWidth="1"/>
    <col min="2015" max="2015" width="2" style="59" bestFit="1" customWidth="1"/>
    <col min="2016" max="2017" width="0" style="59" hidden="1" customWidth="1"/>
    <col min="2018" max="2018" width="2.140625" style="59" customWidth="1"/>
    <col min="2019" max="2019" width="2.28515625" style="59" bestFit="1" customWidth="1"/>
    <col min="2020" max="2020" width="2" style="59" customWidth="1"/>
    <col min="2021" max="2021" width="1.7109375" style="59" bestFit="1" customWidth="1"/>
    <col min="2022" max="2263" width="11.42578125" style="59"/>
    <col min="2264" max="2264" width="1.85546875" style="59" bestFit="1" customWidth="1"/>
    <col min="2265" max="2266" width="2" style="59" bestFit="1" customWidth="1"/>
    <col min="2267" max="2267" width="2.5703125" style="59" customWidth="1"/>
    <col min="2268" max="2268" width="2.28515625" style="59" bestFit="1" customWidth="1"/>
    <col min="2269" max="2269" width="11.42578125" style="59"/>
    <col min="2270" max="2270" width="1.85546875" style="59" bestFit="1" customWidth="1"/>
    <col min="2271" max="2271" width="2" style="59" bestFit="1" customWidth="1"/>
    <col min="2272" max="2273" width="0" style="59" hidden="1" customWidth="1"/>
    <col min="2274" max="2274" width="2.140625" style="59" customWidth="1"/>
    <col min="2275" max="2275" width="2.28515625" style="59" bestFit="1" customWidth="1"/>
    <col min="2276" max="2276" width="2" style="59" customWidth="1"/>
    <col min="2277" max="2277" width="1.7109375" style="59" bestFit="1" customWidth="1"/>
    <col min="2278" max="2519" width="11.42578125" style="59"/>
    <col min="2520" max="2520" width="1.85546875" style="59" bestFit="1" customWidth="1"/>
    <col min="2521" max="2522" width="2" style="59" bestFit="1" customWidth="1"/>
    <col min="2523" max="2523" width="2.5703125" style="59" customWidth="1"/>
    <col min="2524" max="2524" width="2.28515625" style="59" bestFit="1" customWidth="1"/>
    <col min="2525" max="2525" width="11.42578125" style="59"/>
    <col min="2526" max="2526" width="1.85546875" style="59" bestFit="1" customWidth="1"/>
    <col min="2527" max="2527" width="2" style="59" bestFit="1" customWidth="1"/>
    <col min="2528" max="2529" width="0" style="59" hidden="1" customWidth="1"/>
    <col min="2530" max="2530" width="2.140625" style="59" customWidth="1"/>
    <col min="2531" max="2531" width="2.28515625" style="59" bestFit="1" customWidth="1"/>
    <col min="2532" max="2532" width="2" style="59" customWidth="1"/>
    <col min="2533" max="2533" width="1.7109375" style="59" bestFit="1" customWidth="1"/>
    <col min="2534" max="2775" width="11.42578125" style="59"/>
    <col min="2776" max="2776" width="1.85546875" style="59" bestFit="1" customWidth="1"/>
    <col min="2777" max="2778" width="2" style="59" bestFit="1" customWidth="1"/>
    <col min="2779" max="2779" width="2.5703125" style="59" customWidth="1"/>
    <col min="2780" max="2780" width="2.28515625" style="59" bestFit="1" customWidth="1"/>
    <col min="2781" max="2781" width="11.42578125" style="59"/>
    <col min="2782" max="2782" width="1.85546875" style="59" bestFit="1" customWidth="1"/>
    <col min="2783" max="2783" width="2" style="59" bestFit="1" customWidth="1"/>
    <col min="2784" max="2785" width="0" style="59" hidden="1" customWidth="1"/>
    <col min="2786" max="2786" width="2.140625" style="59" customWidth="1"/>
    <col min="2787" max="2787" width="2.28515625" style="59" bestFit="1" customWidth="1"/>
    <col min="2788" max="2788" width="2" style="59" customWidth="1"/>
    <col min="2789" max="2789" width="1.7109375" style="59" bestFit="1" customWidth="1"/>
    <col min="2790" max="3031" width="11.42578125" style="59"/>
    <col min="3032" max="3032" width="1.85546875" style="59" bestFit="1" customWidth="1"/>
    <col min="3033" max="3034" width="2" style="59" bestFit="1" customWidth="1"/>
    <col min="3035" max="3035" width="2.5703125" style="59" customWidth="1"/>
    <col min="3036" max="3036" width="2.28515625" style="59" bestFit="1" customWidth="1"/>
    <col min="3037" max="3037" width="11.42578125" style="59"/>
    <col min="3038" max="3038" width="1.85546875" style="59" bestFit="1" customWidth="1"/>
    <col min="3039" max="3039" width="2" style="59" bestFit="1" customWidth="1"/>
    <col min="3040" max="3041" width="0" style="59" hidden="1" customWidth="1"/>
    <col min="3042" max="3042" width="2.140625" style="59" customWidth="1"/>
    <col min="3043" max="3043" width="2.28515625" style="59" bestFit="1" customWidth="1"/>
    <col min="3044" max="3044" width="2" style="59" customWidth="1"/>
    <col min="3045" max="3045" width="1.7109375" style="59" bestFit="1" customWidth="1"/>
    <col min="3046" max="3287" width="11.42578125" style="59"/>
    <col min="3288" max="3288" width="1.85546875" style="59" bestFit="1" customWidth="1"/>
    <col min="3289" max="3290" width="2" style="59" bestFit="1" customWidth="1"/>
    <col min="3291" max="3291" width="2.5703125" style="59" customWidth="1"/>
    <col min="3292" max="3292" width="2.28515625" style="59" bestFit="1" customWidth="1"/>
    <col min="3293" max="3293" width="11.42578125" style="59"/>
    <col min="3294" max="3294" width="1.85546875" style="59" bestFit="1" customWidth="1"/>
    <col min="3295" max="3295" width="2" style="59" bestFit="1" customWidth="1"/>
    <col min="3296" max="3297" width="0" style="59" hidden="1" customWidth="1"/>
    <col min="3298" max="3298" width="2.140625" style="59" customWidth="1"/>
    <col min="3299" max="3299" width="2.28515625" style="59" bestFit="1" customWidth="1"/>
    <col min="3300" max="3300" width="2" style="59" customWidth="1"/>
    <col min="3301" max="3301" width="1.7109375" style="59" bestFit="1" customWidth="1"/>
    <col min="3302" max="3543" width="11.42578125" style="59"/>
    <col min="3544" max="3544" width="1.85546875" style="59" bestFit="1" customWidth="1"/>
    <col min="3545" max="3546" width="2" style="59" bestFit="1" customWidth="1"/>
    <col min="3547" max="3547" width="2.5703125" style="59" customWidth="1"/>
    <col min="3548" max="3548" width="2.28515625" style="59" bestFit="1" customWidth="1"/>
    <col min="3549" max="3549" width="11.42578125" style="59"/>
    <col min="3550" max="3550" width="1.85546875" style="59" bestFit="1" customWidth="1"/>
    <col min="3551" max="3551" width="2" style="59" bestFit="1" customWidth="1"/>
    <col min="3552" max="3553" width="0" style="59" hidden="1" customWidth="1"/>
    <col min="3554" max="3554" width="2.140625" style="59" customWidth="1"/>
    <col min="3555" max="3555" width="2.28515625" style="59" bestFit="1" customWidth="1"/>
    <col min="3556" max="3556" width="2" style="59" customWidth="1"/>
    <col min="3557" max="3557" width="1.7109375" style="59" bestFit="1" customWidth="1"/>
    <col min="3558" max="3799" width="11.42578125" style="59"/>
    <col min="3800" max="3800" width="1.85546875" style="59" bestFit="1" customWidth="1"/>
    <col min="3801" max="3802" width="2" style="59" bestFit="1" customWidth="1"/>
    <col min="3803" max="3803" width="2.5703125" style="59" customWidth="1"/>
    <col min="3804" max="3804" width="2.28515625" style="59" bestFit="1" customWidth="1"/>
    <col min="3805" max="3805" width="11.42578125" style="59"/>
    <col min="3806" max="3806" width="1.85546875" style="59" bestFit="1" customWidth="1"/>
    <col min="3807" max="3807" width="2" style="59" bestFit="1" customWidth="1"/>
    <col min="3808" max="3809" width="0" style="59" hidden="1" customWidth="1"/>
    <col min="3810" max="3810" width="2.140625" style="59" customWidth="1"/>
    <col min="3811" max="3811" width="2.28515625" style="59" bestFit="1" customWidth="1"/>
    <col min="3812" max="3812" width="2" style="59" customWidth="1"/>
    <col min="3813" max="3813" width="1.7109375" style="59" bestFit="1" customWidth="1"/>
    <col min="3814" max="4055" width="11.42578125" style="59"/>
    <col min="4056" max="4056" width="1.85546875" style="59" bestFit="1" customWidth="1"/>
    <col min="4057" max="4058" width="2" style="59" bestFit="1" customWidth="1"/>
    <col min="4059" max="4059" width="2.5703125" style="59" customWidth="1"/>
    <col min="4060" max="4060" width="2.28515625" style="59" bestFit="1" customWidth="1"/>
    <col min="4061" max="4061" width="11.42578125" style="59"/>
    <col min="4062" max="4062" width="1.85546875" style="59" bestFit="1" customWidth="1"/>
    <col min="4063" max="4063" width="2" style="59" bestFit="1" customWidth="1"/>
    <col min="4064" max="4065" width="0" style="59" hidden="1" customWidth="1"/>
    <col min="4066" max="4066" width="2.140625" style="59" customWidth="1"/>
    <col min="4067" max="4067" width="2.28515625" style="59" bestFit="1" customWidth="1"/>
    <col min="4068" max="4068" width="2" style="59" customWidth="1"/>
    <col min="4069" max="4069" width="1.7109375" style="59" bestFit="1" customWidth="1"/>
    <col min="4070" max="4311" width="11.42578125" style="59"/>
    <col min="4312" max="4312" width="1.85546875" style="59" bestFit="1" customWidth="1"/>
    <col min="4313" max="4314" width="2" style="59" bestFit="1" customWidth="1"/>
    <col min="4315" max="4315" width="2.5703125" style="59" customWidth="1"/>
    <col min="4316" max="4316" width="2.28515625" style="59" bestFit="1" customWidth="1"/>
    <col min="4317" max="4317" width="11.42578125" style="59"/>
    <col min="4318" max="4318" width="1.85546875" style="59" bestFit="1" customWidth="1"/>
    <col min="4319" max="4319" width="2" style="59" bestFit="1" customWidth="1"/>
    <col min="4320" max="4321" width="0" style="59" hidden="1" customWidth="1"/>
    <col min="4322" max="4322" width="2.140625" style="59" customWidth="1"/>
    <col min="4323" max="4323" width="2.28515625" style="59" bestFit="1" customWidth="1"/>
    <col min="4324" max="4324" width="2" style="59" customWidth="1"/>
    <col min="4325" max="4325" width="1.7109375" style="59" bestFit="1" customWidth="1"/>
    <col min="4326" max="4567" width="11.42578125" style="59"/>
    <col min="4568" max="4568" width="1.85546875" style="59" bestFit="1" customWidth="1"/>
    <col min="4569" max="4570" width="2" style="59" bestFit="1" customWidth="1"/>
    <col min="4571" max="4571" width="2.5703125" style="59" customWidth="1"/>
    <col min="4572" max="4572" width="2.28515625" style="59" bestFit="1" customWidth="1"/>
    <col min="4573" max="4573" width="11.42578125" style="59"/>
    <col min="4574" max="4574" width="1.85546875" style="59" bestFit="1" customWidth="1"/>
    <col min="4575" max="4575" width="2" style="59" bestFit="1" customWidth="1"/>
    <col min="4576" max="4577" width="0" style="59" hidden="1" customWidth="1"/>
    <col min="4578" max="4578" width="2.140625" style="59" customWidth="1"/>
    <col min="4579" max="4579" width="2.28515625" style="59" bestFit="1" customWidth="1"/>
    <col min="4580" max="4580" width="2" style="59" customWidth="1"/>
    <col min="4581" max="4581" width="1.7109375" style="59" bestFit="1" customWidth="1"/>
    <col min="4582" max="4823" width="11.42578125" style="59"/>
    <col min="4824" max="4824" width="1.85546875" style="59" bestFit="1" customWidth="1"/>
    <col min="4825" max="4826" width="2" style="59" bestFit="1" customWidth="1"/>
    <col min="4827" max="4827" width="2.5703125" style="59" customWidth="1"/>
    <col min="4828" max="4828" width="2.28515625" style="59" bestFit="1" customWidth="1"/>
    <col min="4829" max="4829" width="11.42578125" style="59"/>
    <col min="4830" max="4830" width="1.85546875" style="59" bestFit="1" customWidth="1"/>
    <col min="4831" max="4831" width="2" style="59" bestFit="1" customWidth="1"/>
    <col min="4832" max="4833" width="0" style="59" hidden="1" customWidth="1"/>
    <col min="4834" max="4834" width="2.140625" style="59" customWidth="1"/>
    <col min="4835" max="4835" width="2.28515625" style="59" bestFit="1" customWidth="1"/>
    <col min="4836" max="4836" width="2" style="59" customWidth="1"/>
    <col min="4837" max="4837" width="1.7109375" style="59" bestFit="1" customWidth="1"/>
    <col min="4838" max="5079" width="11.42578125" style="59"/>
    <col min="5080" max="5080" width="1.85546875" style="59" bestFit="1" customWidth="1"/>
    <col min="5081" max="5082" width="2" style="59" bestFit="1" customWidth="1"/>
    <col min="5083" max="5083" width="2.5703125" style="59" customWidth="1"/>
    <col min="5084" max="5084" width="2.28515625" style="59" bestFit="1" customWidth="1"/>
    <col min="5085" max="5085" width="11.42578125" style="59"/>
    <col min="5086" max="5086" width="1.85546875" style="59" bestFit="1" customWidth="1"/>
    <col min="5087" max="5087" width="2" style="59" bestFit="1" customWidth="1"/>
    <col min="5088" max="5089" width="0" style="59" hidden="1" customWidth="1"/>
    <col min="5090" max="5090" width="2.140625" style="59" customWidth="1"/>
    <col min="5091" max="5091" width="2.28515625" style="59" bestFit="1" customWidth="1"/>
    <col min="5092" max="5092" width="2" style="59" customWidth="1"/>
    <col min="5093" max="5093" width="1.7109375" style="59" bestFit="1" customWidth="1"/>
    <col min="5094" max="5335" width="11.42578125" style="59"/>
    <col min="5336" max="5336" width="1.85546875" style="59" bestFit="1" customWidth="1"/>
    <col min="5337" max="5338" width="2" style="59" bestFit="1" customWidth="1"/>
    <col min="5339" max="5339" width="2.5703125" style="59" customWidth="1"/>
    <col min="5340" max="5340" width="2.28515625" style="59" bestFit="1" customWidth="1"/>
    <col min="5341" max="5341" width="11.42578125" style="59"/>
    <col min="5342" max="5342" width="1.85546875" style="59" bestFit="1" customWidth="1"/>
    <col min="5343" max="5343" width="2" style="59" bestFit="1" customWidth="1"/>
    <col min="5344" max="5345" width="0" style="59" hidden="1" customWidth="1"/>
    <col min="5346" max="5346" width="2.140625" style="59" customWidth="1"/>
    <col min="5347" max="5347" width="2.28515625" style="59" bestFit="1" customWidth="1"/>
    <col min="5348" max="5348" width="2" style="59" customWidth="1"/>
    <col min="5349" max="5349" width="1.7109375" style="59" bestFit="1" customWidth="1"/>
    <col min="5350" max="5591" width="11.42578125" style="59"/>
    <col min="5592" max="5592" width="1.85546875" style="59" bestFit="1" customWidth="1"/>
    <col min="5593" max="5594" width="2" style="59" bestFit="1" customWidth="1"/>
    <col min="5595" max="5595" width="2.5703125" style="59" customWidth="1"/>
    <col min="5596" max="5596" width="2.28515625" style="59" bestFit="1" customWidth="1"/>
    <col min="5597" max="5597" width="11.42578125" style="59"/>
    <col min="5598" max="5598" width="1.85546875" style="59" bestFit="1" customWidth="1"/>
    <col min="5599" max="5599" width="2" style="59" bestFit="1" customWidth="1"/>
    <col min="5600" max="5601" width="0" style="59" hidden="1" customWidth="1"/>
    <col min="5602" max="5602" width="2.140625" style="59" customWidth="1"/>
    <col min="5603" max="5603" width="2.28515625" style="59" bestFit="1" customWidth="1"/>
    <col min="5604" max="5604" width="2" style="59" customWidth="1"/>
    <col min="5605" max="5605" width="1.7109375" style="59" bestFit="1" customWidth="1"/>
    <col min="5606" max="5847" width="11.42578125" style="59"/>
    <col min="5848" max="5848" width="1.85546875" style="59" bestFit="1" customWidth="1"/>
    <col min="5849" max="5850" width="2" style="59" bestFit="1" customWidth="1"/>
    <col min="5851" max="5851" width="2.5703125" style="59" customWidth="1"/>
    <col min="5852" max="5852" width="2.28515625" style="59" bestFit="1" customWidth="1"/>
    <col min="5853" max="5853" width="11.42578125" style="59"/>
    <col min="5854" max="5854" width="1.85546875" style="59" bestFit="1" customWidth="1"/>
    <col min="5855" max="5855" width="2" style="59" bestFit="1" customWidth="1"/>
    <col min="5856" max="5857" width="0" style="59" hidden="1" customWidth="1"/>
    <col min="5858" max="5858" width="2.140625" style="59" customWidth="1"/>
    <col min="5859" max="5859" width="2.28515625" style="59" bestFit="1" customWidth="1"/>
    <col min="5860" max="5860" width="2" style="59" customWidth="1"/>
    <col min="5861" max="5861" width="1.7109375" style="59" bestFit="1" customWidth="1"/>
    <col min="5862" max="6103" width="11.42578125" style="59"/>
    <col min="6104" max="6104" width="1.85546875" style="59" bestFit="1" customWidth="1"/>
    <col min="6105" max="6106" width="2" style="59" bestFit="1" customWidth="1"/>
    <col min="6107" max="6107" width="2.5703125" style="59" customWidth="1"/>
    <col min="6108" max="6108" width="2.28515625" style="59" bestFit="1" customWidth="1"/>
    <col min="6109" max="6109" width="11.42578125" style="59"/>
    <col min="6110" max="6110" width="1.85546875" style="59" bestFit="1" customWidth="1"/>
    <col min="6111" max="6111" width="2" style="59" bestFit="1" customWidth="1"/>
    <col min="6112" max="6113" width="0" style="59" hidden="1" customWidth="1"/>
    <col min="6114" max="6114" width="2.140625" style="59" customWidth="1"/>
    <col min="6115" max="6115" width="2.28515625" style="59" bestFit="1" customWidth="1"/>
    <col min="6116" max="6116" width="2" style="59" customWidth="1"/>
    <col min="6117" max="6117" width="1.7109375" style="59" bestFit="1" customWidth="1"/>
    <col min="6118" max="6359" width="11.42578125" style="59"/>
    <col min="6360" max="6360" width="1.85546875" style="59" bestFit="1" customWidth="1"/>
    <col min="6361" max="6362" width="2" style="59" bestFit="1" customWidth="1"/>
    <col min="6363" max="6363" width="2.5703125" style="59" customWidth="1"/>
    <col min="6364" max="6364" width="2.28515625" style="59" bestFit="1" customWidth="1"/>
    <col min="6365" max="6365" width="11.42578125" style="59"/>
    <col min="6366" max="6366" width="1.85546875" style="59" bestFit="1" customWidth="1"/>
    <col min="6367" max="6367" width="2" style="59" bestFit="1" customWidth="1"/>
    <col min="6368" max="6369" width="0" style="59" hidden="1" customWidth="1"/>
    <col min="6370" max="6370" width="2.140625" style="59" customWidth="1"/>
    <col min="6371" max="6371" width="2.28515625" style="59" bestFit="1" customWidth="1"/>
    <col min="6372" max="6372" width="2" style="59" customWidth="1"/>
    <col min="6373" max="6373" width="1.7109375" style="59" bestFit="1" customWidth="1"/>
    <col min="6374" max="6615" width="11.42578125" style="59"/>
    <col min="6616" max="6616" width="1.85546875" style="59" bestFit="1" customWidth="1"/>
    <col min="6617" max="6618" width="2" style="59" bestFit="1" customWidth="1"/>
    <col min="6619" max="6619" width="2.5703125" style="59" customWidth="1"/>
    <col min="6620" max="6620" width="2.28515625" style="59" bestFit="1" customWidth="1"/>
    <col min="6621" max="6621" width="11.42578125" style="59"/>
    <col min="6622" max="6622" width="1.85546875" style="59" bestFit="1" customWidth="1"/>
    <col min="6623" max="6623" width="2" style="59" bestFit="1" customWidth="1"/>
    <col min="6624" max="6625" width="0" style="59" hidden="1" customWidth="1"/>
    <col min="6626" max="6626" width="2.140625" style="59" customWidth="1"/>
    <col min="6627" max="6627" width="2.28515625" style="59" bestFit="1" customWidth="1"/>
    <col min="6628" max="6628" width="2" style="59" customWidth="1"/>
    <col min="6629" max="6629" width="1.7109375" style="59" bestFit="1" customWidth="1"/>
    <col min="6630" max="6871" width="11.42578125" style="59"/>
    <col min="6872" max="6872" width="1.85546875" style="59" bestFit="1" customWidth="1"/>
    <col min="6873" max="6874" width="2" style="59" bestFit="1" customWidth="1"/>
    <col min="6875" max="6875" width="2.5703125" style="59" customWidth="1"/>
    <col min="6876" max="6876" width="2.28515625" style="59" bestFit="1" customWidth="1"/>
    <col min="6877" max="6877" width="11.42578125" style="59"/>
    <col min="6878" max="6878" width="1.85546875" style="59" bestFit="1" customWidth="1"/>
    <col min="6879" max="6879" width="2" style="59" bestFit="1" customWidth="1"/>
    <col min="6880" max="6881" width="0" style="59" hidden="1" customWidth="1"/>
    <col min="6882" max="6882" width="2.140625" style="59" customWidth="1"/>
    <col min="6883" max="6883" width="2.28515625" style="59" bestFit="1" customWidth="1"/>
    <col min="6884" max="6884" width="2" style="59" customWidth="1"/>
    <col min="6885" max="6885" width="1.7109375" style="59" bestFit="1" customWidth="1"/>
    <col min="6886" max="7127" width="11.42578125" style="59"/>
    <col min="7128" max="7128" width="1.85546875" style="59" bestFit="1" customWidth="1"/>
    <col min="7129" max="7130" width="2" style="59" bestFit="1" customWidth="1"/>
    <col min="7131" max="7131" width="2.5703125" style="59" customWidth="1"/>
    <col min="7132" max="7132" width="2.28515625" style="59" bestFit="1" customWidth="1"/>
    <col min="7133" max="7133" width="11.42578125" style="59"/>
    <col min="7134" max="7134" width="1.85546875" style="59" bestFit="1" customWidth="1"/>
    <col min="7135" max="7135" width="2" style="59" bestFit="1" customWidth="1"/>
    <col min="7136" max="7137" width="0" style="59" hidden="1" customWidth="1"/>
    <col min="7138" max="7138" width="2.140625" style="59" customWidth="1"/>
    <col min="7139" max="7139" width="2.28515625" style="59" bestFit="1" customWidth="1"/>
    <col min="7140" max="7140" width="2" style="59" customWidth="1"/>
    <col min="7141" max="7141" width="1.7109375" style="59" bestFit="1" customWidth="1"/>
    <col min="7142" max="7383" width="11.42578125" style="59"/>
    <col min="7384" max="7384" width="1.85546875" style="59" bestFit="1" customWidth="1"/>
    <col min="7385" max="7386" width="2" style="59" bestFit="1" customWidth="1"/>
    <col min="7387" max="7387" width="2.5703125" style="59" customWidth="1"/>
    <col min="7388" max="7388" width="2.28515625" style="59" bestFit="1" customWidth="1"/>
    <col min="7389" max="7389" width="11.42578125" style="59"/>
    <col min="7390" max="7390" width="1.85546875" style="59" bestFit="1" customWidth="1"/>
    <col min="7391" max="7391" width="2" style="59" bestFit="1" customWidth="1"/>
    <col min="7392" max="7393" width="0" style="59" hidden="1" customWidth="1"/>
    <col min="7394" max="7394" width="2.140625" style="59" customWidth="1"/>
    <col min="7395" max="7395" width="2.28515625" style="59" bestFit="1" customWidth="1"/>
    <col min="7396" max="7396" width="2" style="59" customWidth="1"/>
    <col min="7397" max="7397" width="1.7109375" style="59" bestFit="1" customWidth="1"/>
    <col min="7398" max="7639" width="11.42578125" style="59"/>
    <col min="7640" max="7640" width="1.85546875" style="59" bestFit="1" customWidth="1"/>
    <col min="7641" max="7642" width="2" style="59" bestFit="1" customWidth="1"/>
    <col min="7643" max="7643" width="2.5703125" style="59" customWidth="1"/>
    <col min="7644" max="7644" width="2.28515625" style="59" bestFit="1" customWidth="1"/>
    <col min="7645" max="7645" width="11.42578125" style="59"/>
    <col min="7646" max="7646" width="1.85546875" style="59" bestFit="1" customWidth="1"/>
    <col min="7647" max="7647" width="2" style="59" bestFit="1" customWidth="1"/>
    <col min="7648" max="7649" width="0" style="59" hidden="1" customWidth="1"/>
    <col min="7650" max="7650" width="2.140625" style="59" customWidth="1"/>
    <col min="7651" max="7651" width="2.28515625" style="59" bestFit="1" customWidth="1"/>
    <col min="7652" max="7652" width="2" style="59" customWidth="1"/>
    <col min="7653" max="7653" width="1.7109375" style="59" bestFit="1" customWidth="1"/>
    <col min="7654" max="7895" width="11.42578125" style="59"/>
    <col min="7896" max="7896" width="1.85546875" style="59" bestFit="1" customWidth="1"/>
    <col min="7897" max="7898" width="2" style="59" bestFit="1" customWidth="1"/>
    <col min="7899" max="7899" width="2.5703125" style="59" customWidth="1"/>
    <col min="7900" max="7900" width="2.28515625" style="59" bestFit="1" customWidth="1"/>
    <col min="7901" max="7901" width="11.42578125" style="59"/>
    <col min="7902" max="7902" width="1.85546875" style="59" bestFit="1" customWidth="1"/>
    <col min="7903" max="7903" width="2" style="59" bestFit="1" customWidth="1"/>
    <col min="7904" max="7905" width="0" style="59" hidden="1" customWidth="1"/>
    <col min="7906" max="7906" width="2.140625" style="59" customWidth="1"/>
    <col min="7907" max="7907" width="2.28515625" style="59" bestFit="1" customWidth="1"/>
    <col min="7908" max="7908" width="2" style="59" customWidth="1"/>
    <col min="7909" max="7909" width="1.7109375" style="59" bestFit="1" customWidth="1"/>
    <col min="7910" max="8151" width="11.42578125" style="59"/>
    <col min="8152" max="8152" width="1.85546875" style="59" bestFit="1" customWidth="1"/>
    <col min="8153" max="8154" width="2" style="59" bestFit="1" customWidth="1"/>
    <col min="8155" max="8155" width="2.5703125" style="59" customWidth="1"/>
    <col min="8156" max="8156" width="2.28515625" style="59" bestFit="1" customWidth="1"/>
    <col min="8157" max="8157" width="11.42578125" style="59"/>
    <col min="8158" max="8158" width="1.85546875" style="59" bestFit="1" customWidth="1"/>
    <col min="8159" max="8159" width="2" style="59" bestFit="1" customWidth="1"/>
    <col min="8160" max="8161" width="0" style="59" hidden="1" customWidth="1"/>
    <col min="8162" max="8162" width="2.140625" style="59" customWidth="1"/>
    <col min="8163" max="8163" width="2.28515625" style="59" bestFit="1" customWidth="1"/>
    <col min="8164" max="8164" width="2" style="59" customWidth="1"/>
    <col min="8165" max="8165" width="1.7109375" style="59" bestFit="1" customWidth="1"/>
    <col min="8166" max="8407" width="11.42578125" style="59"/>
    <col min="8408" max="8408" width="1.85546875" style="59" bestFit="1" customWidth="1"/>
    <col min="8409" max="8410" width="2" style="59" bestFit="1" customWidth="1"/>
    <col min="8411" max="8411" width="2.5703125" style="59" customWidth="1"/>
    <col min="8412" max="8412" width="2.28515625" style="59" bestFit="1" customWidth="1"/>
    <col min="8413" max="8413" width="11.42578125" style="59"/>
    <col min="8414" max="8414" width="1.85546875" style="59" bestFit="1" customWidth="1"/>
    <col min="8415" max="8415" width="2" style="59" bestFit="1" customWidth="1"/>
    <col min="8416" max="8417" width="0" style="59" hidden="1" customWidth="1"/>
    <col min="8418" max="8418" width="2.140625" style="59" customWidth="1"/>
    <col min="8419" max="8419" width="2.28515625" style="59" bestFit="1" customWidth="1"/>
    <col min="8420" max="8420" width="2" style="59" customWidth="1"/>
    <col min="8421" max="8421" width="1.7109375" style="59" bestFit="1" customWidth="1"/>
    <col min="8422" max="8663" width="11.42578125" style="59"/>
    <col min="8664" max="8664" width="1.85546875" style="59" bestFit="1" customWidth="1"/>
    <col min="8665" max="8666" width="2" style="59" bestFit="1" customWidth="1"/>
    <col min="8667" max="8667" width="2.5703125" style="59" customWidth="1"/>
    <col min="8668" max="8668" width="2.28515625" style="59" bestFit="1" customWidth="1"/>
    <col min="8669" max="8669" width="11.42578125" style="59"/>
    <col min="8670" max="8670" width="1.85546875" style="59" bestFit="1" customWidth="1"/>
    <col min="8671" max="8671" width="2" style="59" bestFit="1" customWidth="1"/>
    <col min="8672" max="8673" width="0" style="59" hidden="1" customWidth="1"/>
    <col min="8674" max="8674" width="2.140625" style="59" customWidth="1"/>
    <col min="8675" max="8675" width="2.28515625" style="59" bestFit="1" customWidth="1"/>
    <col min="8676" max="8676" width="2" style="59" customWidth="1"/>
    <col min="8677" max="8677" width="1.7109375" style="59" bestFit="1" customWidth="1"/>
    <col min="8678" max="8919" width="11.42578125" style="59"/>
    <col min="8920" max="8920" width="1.85546875" style="59" bestFit="1" customWidth="1"/>
    <col min="8921" max="8922" width="2" style="59" bestFit="1" customWidth="1"/>
    <col min="8923" max="8923" width="2.5703125" style="59" customWidth="1"/>
    <col min="8924" max="8924" width="2.28515625" style="59" bestFit="1" customWidth="1"/>
    <col min="8925" max="8925" width="11.42578125" style="59"/>
    <col min="8926" max="8926" width="1.85546875" style="59" bestFit="1" customWidth="1"/>
    <col min="8927" max="8927" width="2" style="59" bestFit="1" customWidth="1"/>
    <col min="8928" max="8929" width="0" style="59" hidden="1" customWidth="1"/>
    <col min="8930" max="8930" width="2.140625" style="59" customWidth="1"/>
    <col min="8931" max="8931" width="2.28515625" style="59" bestFit="1" customWidth="1"/>
    <col min="8932" max="8932" width="2" style="59" customWidth="1"/>
    <col min="8933" max="8933" width="1.7109375" style="59" bestFit="1" customWidth="1"/>
    <col min="8934" max="9175" width="11.42578125" style="59"/>
    <col min="9176" max="9176" width="1.85546875" style="59" bestFit="1" customWidth="1"/>
    <col min="9177" max="9178" width="2" style="59" bestFit="1" customWidth="1"/>
    <col min="9179" max="9179" width="2.5703125" style="59" customWidth="1"/>
    <col min="9180" max="9180" width="2.28515625" style="59" bestFit="1" customWidth="1"/>
    <col min="9181" max="9181" width="11.42578125" style="59"/>
    <col min="9182" max="9182" width="1.85546875" style="59" bestFit="1" customWidth="1"/>
    <col min="9183" max="9183" width="2" style="59" bestFit="1" customWidth="1"/>
    <col min="9184" max="9185" width="0" style="59" hidden="1" customWidth="1"/>
    <col min="9186" max="9186" width="2.140625" style="59" customWidth="1"/>
    <col min="9187" max="9187" width="2.28515625" style="59" bestFit="1" customWidth="1"/>
    <col min="9188" max="9188" width="2" style="59" customWidth="1"/>
    <col min="9189" max="9189" width="1.7109375" style="59" bestFit="1" customWidth="1"/>
    <col min="9190" max="9431" width="11.42578125" style="59"/>
    <col min="9432" max="9432" width="1.85546875" style="59" bestFit="1" customWidth="1"/>
    <col min="9433" max="9434" width="2" style="59" bestFit="1" customWidth="1"/>
    <col min="9435" max="9435" width="2.5703125" style="59" customWidth="1"/>
    <col min="9436" max="9436" width="2.28515625" style="59" bestFit="1" customWidth="1"/>
    <col min="9437" max="9437" width="11.42578125" style="59"/>
    <col min="9438" max="9438" width="1.85546875" style="59" bestFit="1" customWidth="1"/>
    <col min="9439" max="9439" width="2" style="59" bestFit="1" customWidth="1"/>
    <col min="9440" max="9441" width="0" style="59" hidden="1" customWidth="1"/>
    <col min="9442" max="9442" width="2.140625" style="59" customWidth="1"/>
    <col min="9443" max="9443" width="2.28515625" style="59" bestFit="1" customWidth="1"/>
    <col min="9444" max="9444" width="2" style="59" customWidth="1"/>
    <col min="9445" max="9445" width="1.7109375" style="59" bestFit="1" customWidth="1"/>
    <col min="9446" max="9687" width="11.42578125" style="59"/>
    <col min="9688" max="9688" width="1.85546875" style="59" bestFit="1" customWidth="1"/>
    <col min="9689" max="9690" width="2" style="59" bestFit="1" customWidth="1"/>
    <col min="9691" max="9691" width="2.5703125" style="59" customWidth="1"/>
    <col min="9692" max="9692" width="2.28515625" style="59" bestFit="1" customWidth="1"/>
    <col min="9693" max="9693" width="11.42578125" style="59"/>
    <col min="9694" max="9694" width="1.85546875" style="59" bestFit="1" customWidth="1"/>
    <col min="9695" max="9695" width="2" style="59" bestFit="1" customWidth="1"/>
    <col min="9696" max="9697" width="0" style="59" hidden="1" customWidth="1"/>
    <col min="9698" max="9698" width="2.140625" style="59" customWidth="1"/>
    <col min="9699" max="9699" width="2.28515625" style="59" bestFit="1" customWidth="1"/>
    <col min="9700" max="9700" width="2" style="59" customWidth="1"/>
    <col min="9701" max="9701" width="1.7109375" style="59" bestFit="1" customWidth="1"/>
    <col min="9702" max="9943" width="11.42578125" style="59"/>
    <col min="9944" max="9944" width="1.85546875" style="59" bestFit="1" customWidth="1"/>
    <col min="9945" max="9946" width="2" style="59" bestFit="1" customWidth="1"/>
    <col min="9947" max="9947" width="2.5703125" style="59" customWidth="1"/>
    <col min="9948" max="9948" width="2.28515625" style="59" bestFit="1" customWidth="1"/>
    <col min="9949" max="9949" width="11.42578125" style="59"/>
    <col min="9950" max="9950" width="1.85546875" style="59" bestFit="1" customWidth="1"/>
    <col min="9951" max="9951" width="2" style="59" bestFit="1" customWidth="1"/>
    <col min="9952" max="9953" width="0" style="59" hidden="1" customWidth="1"/>
    <col min="9954" max="9954" width="2.140625" style="59" customWidth="1"/>
    <col min="9955" max="9955" width="2.28515625" style="59" bestFit="1" customWidth="1"/>
    <col min="9956" max="9956" width="2" style="59" customWidth="1"/>
    <col min="9957" max="9957" width="1.7109375" style="59" bestFit="1" customWidth="1"/>
    <col min="9958" max="10199" width="11.42578125" style="59"/>
    <col min="10200" max="10200" width="1.85546875" style="59" bestFit="1" customWidth="1"/>
    <col min="10201" max="10202" width="2" style="59" bestFit="1" customWidth="1"/>
    <col min="10203" max="10203" width="2.5703125" style="59" customWidth="1"/>
    <col min="10204" max="10204" width="2.28515625" style="59" bestFit="1" customWidth="1"/>
    <col min="10205" max="10205" width="11.42578125" style="59"/>
    <col min="10206" max="10206" width="1.85546875" style="59" bestFit="1" customWidth="1"/>
    <col min="10207" max="10207" width="2" style="59" bestFit="1" customWidth="1"/>
    <col min="10208" max="10209" width="0" style="59" hidden="1" customWidth="1"/>
    <col min="10210" max="10210" width="2.140625" style="59" customWidth="1"/>
    <col min="10211" max="10211" width="2.28515625" style="59" bestFit="1" customWidth="1"/>
    <col min="10212" max="10212" width="2" style="59" customWidth="1"/>
    <col min="10213" max="10213" width="1.7109375" style="59" bestFit="1" customWidth="1"/>
    <col min="10214" max="10455" width="11.42578125" style="59"/>
    <col min="10456" max="10456" width="1.85546875" style="59" bestFit="1" customWidth="1"/>
    <col min="10457" max="10458" width="2" style="59" bestFit="1" customWidth="1"/>
    <col min="10459" max="10459" width="2.5703125" style="59" customWidth="1"/>
    <col min="10460" max="10460" width="2.28515625" style="59" bestFit="1" customWidth="1"/>
    <col min="10461" max="10461" width="11.42578125" style="59"/>
    <col min="10462" max="10462" width="1.85546875" style="59" bestFit="1" customWidth="1"/>
    <col min="10463" max="10463" width="2" style="59" bestFit="1" customWidth="1"/>
    <col min="10464" max="10465" width="0" style="59" hidden="1" customWidth="1"/>
    <col min="10466" max="10466" width="2.140625" style="59" customWidth="1"/>
    <col min="10467" max="10467" width="2.28515625" style="59" bestFit="1" customWidth="1"/>
    <col min="10468" max="10468" width="2" style="59" customWidth="1"/>
    <col min="10469" max="10469" width="1.7109375" style="59" bestFit="1" customWidth="1"/>
    <col min="10470" max="10711" width="11.42578125" style="59"/>
    <col min="10712" max="10712" width="1.85546875" style="59" bestFit="1" customWidth="1"/>
    <col min="10713" max="10714" width="2" style="59" bestFit="1" customWidth="1"/>
    <col min="10715" max="10715" width="2.5703125" style="59" customWidth="1"/>
    <col min="10716" max="10716" width="2.28515625" style="59" bestFit="1" customWidth="1"/>
    <col min="10717" max="10717" width="11.42578125" style="59"/>
    <col min="10718" max="10718" width="1.85546875" style="59" bestFit="1" customWidth="1"/>
    <col min="10719" max="10719" width="2" style="59" bestFit="1" customWidth="1"/>
    <col min="10720" max="10721" width="0" style="59" hidden="1" customWidth="1"/>
    <col min="10722" max="10722" width="2.140625" style="59" customWidth="1"/>
    <col min="10723" max="10723" width="2.28515625" style="59" bestFit="1" customWidth="1"/>
    <col min="10724" max="10724" width="2" style="59" customWidth="1"/>
    <col min="10725" max="10725" width="1.7109375" style="59" bestFit="1" customWidth="1"/>
    <col min="10726" max="10967" width="11.42578125" style="59"/>
    <col min="10968" max="10968" width="1.85546875" style="59" bestFit="1" customWidth="1"/>
    <col min="10969" max="10970" width="2" style="59" bestFit="1" customWidth="1"/>
    <col min="10971" max="10971" width="2.5703125" style="59" customWidth="1"/>
    <col min="10972" max="10972" width="2.28515625" style="59" bestFit="1" customWidth="1"/>
    <col min="10973" max="10973" width="11.42578125" style="59"/>
    <col min="10974" max="10974" width="1.85546875" style="59" bestFit="1" customWidth="1"/>
    <col min="10975" max="10975" width="2" style="59" bestFit="1" customWidth="1"/>
    <col min="10976" max="10977" width="0" style="59" hidden="1" customWidth="1"/>
    <col min="10978" max="10978" width="2.140625" style="59" customWidth="1"/>
    <col min="10979" max="10979" width="2.28515625" style="59" bestFit="1" customWidth="1"/>
    <col min="10980" max="10980" width="2" style="59" customWidth="1"/>
    <col min="10981" max="10981" width="1.7109375" style="59" bestFit="1" customWidth="1"/>
    <col min="10982" max="11223" width="11.42578125" style="59"/>
    <col min="11224" max="11224" width="1.85546875" style="59" bestFit="1" customWidth="1"/>
    <col min="11225" max="11226" width="2" style="59" bestFit="1" customWidth="1"/>
    <col min="11227" max="11227" width="2.5703125" style="59" customWidth="1"/>
    <col min="11228" max="11228" width="2.28515625" style="59" bestFit="1" customWidth="1"/>
    <col min="11229" max="11229" width="11.42578125" style="59"/>
    <col min="11230" max="11230" width="1.85546875" style="59" bestFit="1" customWidth="1"/>
    <col min="11231" max="11231" width="2" style="59" bestFit="1" customWidth="1"/>
    <col min="11232" max="11233" width="0" style="59" hidden="1" customWidth="1"/>
    <col min="11234" max="11234" width="2.140625" style="59" customWidth="1"/>
    <col min="11235" max="11235" width="2.28515625" style="59" bestFit="1" customWidth="1"/>
    <col min="11236" max="11236" width="2" style="59" customWidth="1"/>
    <col min="11237" max="11237" width="1.7109375" style="59" bestFit="1" customWidth="1"/>
    <col min="11238" max="11479" width="11.42578125" style="59"/>
    <col min="11480" max="11480" width="1.85546875" style="59" bestFit="1" customWidth="1"/>
    <col min="11481" max="11482" width="2" style="59" bestFit="1" customWidth="1"/>
    <col min="11483" max="11483" width="2.5703125" style="59" customWidth="1"/>
    <col min="11484" max="11484" width="2.28515625" style="59" bestFit="1" customWidth="1"/>
    <col min="11485" max="11485" width="11.42578125" style="59"/>
    <col min="11486" max="11486" width="1.85546875" style="59" bestFit="1" customWidth="1"/>
    <col min="11487" max="11487" width="2" style="59" bestFit="1" customWidth="1"/>
    <col min="11488" max="11489" width="0" style="59" hidden="1" customWidth="1"/>
    <col min="11490" max="11490" width="2.140625" style="59" customWidth="1"/>
    <col min="11491" max="11491" width="2.28515625" style="59" bestFit="1" customWidth="1"/>
    <col min="11492" max="11492" width="2" style="59" customWidth="1"/>
    <col min="11493" max="11493" width="1.7109375" style="59" bestFit="1" customWidth="1"/>
    <col min="11494" max="11735" width="11.42578125" style="59"/>
    <col min="11736" max="11736" width="1.85546875" style="59" bestFit="1" customWidth="1"/>
    <col min="11737" max="11738" width="2" style="59" bestFit="1" customWidth="1"/>
    <col min="11739" max="11739" width="2.5703125" style="59" customWidth="1"/>
    <col min="11740" max="11740" width="2.28515625" style="59" bestFit="1" customWidth="1"/>
    <col min="11741" max="11741" width="11.42578125" style="59"/>
    <col min="11742" max="11742" width="1.85546875" style="59" bestFit="1" customWidth="1"/>
    <col min="11743" max="11743" width="2" style="59" bestFit="1" customWidth="1"/>
    <col min="11744" max="11745" width="0" style="59" hidden="1" customWidth="1"/>
    <col min="11746" max="11746" width="2.140625" style="59" customWidth="1"/>
    <col min="11747" max="11747" width="2.28515625" style="59" bestFit="1" customWidth="1"/>
    <col min="11748" max="11748" width="2" style="59" customWidth="1"/>
    <col min="11749" max="11749" width="1.7109375" style="59" bestFit="1" customWidth="1"/>
    <col min="11750" max="11991" width="11.42578125" style="59"/>
    <col min="11992" max="11992" width="1.85546875" style="59" bestFit="1" customWidth="1"/>
    <col min="11993" max="11994" width="2" style="59" bestFit="1" customWidth="1"/>
    <col min="11995" max="11995" width="2.5703125" style="59" customWidth="1"/>
    <col min="11996" max="11996" width="2.28515625" style="59" bestFit="1" customWidth="1"/>
    <col min="11997" max="11997" width="11.42578125" style="59"/>
    <col min="11998" max="11998" width="1.85546875" style="59" bestFit="1" customWidth="1"/>
    <col min="11999" max="11999" width="2" style="59" bestFit="1" customWidth="1"/>
    <col min="12000" max="12001" width="0" style="59" hidden="1" customWidth="1"/>
    <col min="12002" max="12002" width="2.140625" style="59" customWidth="1"/>
    <col min="12003" max="12003" width="2.28515625" style="59" bestFit="1" customWidth="1"/>
    <col min="12004" max="12004" width="2" style="59" customWidth="1"/>
    <col min="12005" max="12005" width="1.7109375" style="59" bestFit="1" customWidth="1"/>
    <col min="12006" max="12247" width="11.42578125" style="59"/>
    <col min="12248" max="12248" width="1.85546875" style="59" bestFit="1" customWidth="1"/>
    <col min="12249" max="12250" width="2" style="59" bestFit="1" customWidth="1"/>
    <col min="12251" max="12251" width="2.5703125" style="59" customWidth="1"/>
    <col min="12252" max="12252" width="2.28515625" style="59" bestFit="1" customWidth="1"/>
    <col min="12253" max="12253" width="11.42578125" style="59"/>
    <col min="12254" max="12254" width="1.85546875" style="59" bestFit="1" customWidth="1"/>
    <col min="12255" max="12255" width="2" style="59" bestFit="1" customWidth="1"/>
    <col min="12256" max="12257" width="0" style="59" hidden="1" customWidth="1"/>
    <col min="12258" max="12258" width="2.140625" style="59" customWidth="1"/>
    <col min="12259" max="12259" width="2.28515625" style="59" bestFit="1" customWidth="1"/>
    <col min="12260" max="12260" width="2" style="59" customWidth="1"/>
    <col min="12261" max="12261" width="1.7109375" style="59" bestFit="1" customWidth="1"/>
    <col min="12262" max="12503" width="11.42578125" style="59"/>
    <col min="12504" max="12504" width="1.85546875" style="59" bestFit="1" customWidth="1"/>
    <col min="12505" max="12506" width="2" style="59" bestFit="1" customWidth="1"/>
    <col min="12507" max="12507" width="2.5703125" style="59" customWidth="1"/>
    <col min="12508" max="12508" width="2.28515625" style="59" bestFit="1" customWidth="1"/>
    <col min="12509" max="12509" width="11.42578125" style="59"/>
    <col min="12510" max="12510" width="1.85546875" style="59" bestFit="1" customWidth="1"/>
    <col min="12511" max="12511" width="2" style="59" bestFit="1" customWidth="1"/>
    <col min="12512" max="12513" width="0" style="59" hidden="1" customWidth="1"/>
    <col min="12514" max="12514" width="2.140625" style="59" customWidth="1"/>
    <col min="12515" max="12515" width="2.28515625" style="59" bestFit="1" customWidth="1"/>
    <col min="12516" max="12516" width="2" style="59" customWidth="1"/>
    <col min="12517" max="12517" width="1.7109375" style="59" bestFit="1" customWidth="1"/>
    <col min="12518" max="12759" width="11.42578125" style="59"/>
    <col min="12760" max="12760" width="1.85546875" style="59" bestFit="1" customWidth="1"/>
    <col min="12761" max="12762" width="2" style="59" bestFit="1" customWidth="1"/>
    <col min="12763" max="12763" width="2.5703125" style="59" customWidth="1"/>
    <col min="12764" max="12764" width="2.28515625" style="59" bestFit="1" customWidth="1"/>
    <col min="12765" max="12765" width="11.42578125" style="59"/>
    <col min="12766" max="12766" width="1.85546875" style="59" bestFit="1" customWidth="1"/>
    <col min="12767" max="12767" width="2" style="59" bestFit="1" customWidth="1"/>
    <col min="12768" max="12769" width="0" style="59" hidden="1" customWidth="1"/>
    <col min="12770" max="12770" width="2.140625" style="59" customWidth="1"/>
    <col min="12771" max="12771" width="2.28515625" style="59" bestFit="1" customWidth="1"/>
    <col min="12772" max="12772" width="2" style="59" customWidth="1"/>
    <col min="12773" max="12773" width="1.7109375" style="59" bestFit="1" customWidth="1"/>
    <col min="12774" max="13015" width="11.42578125" style="59"/>
    <col min="13016" max="13016" width="1.85546875" style="59" bestFit="1" customWidth="1"/>
    <col min="13017" max="13018" width="2" style="59" bestFit="1" customWidth="1"/>
    <col min="13019" max="13019" width="2.5703125" style="59" customWidth="1"/>
    <col min="13020" max="13020" width="2.28515625" style="59" bestFit="1" customWidth="1"/>
    <col min="13021" max="13021" width="11.42578125" style="59"/>
    <col min="13022" max="13022" width="1.85546875" style="59" bestFit="1" customWidth="1"/>
    <col min="13023" max="13023" width="2" style="59" bestFit="1" customWidth="1"/>
    <col min="13024" max="13025" width="0" style="59" hidden="1" customWidth="1"/>
    <col min="13026" max="13026" width="2.140625" style="59" customWidth="1"/>
    <col min="13027" max="13027" width="2.28515625" style="59" bestFit="1" customWidth="1"/>
    <col min="13028" max="13028" width="2" style="59" customWidth="1"/>
    <col min="13029" max="13029" width="1.7109375" style="59" bestFit="1" customWidth="1"/>
    <col min="13030" max="13271" width="11.42578125" style="59"/>
    <col min="13272" max="13272" width="1.85546875" style="59" bestFit="1" customWidth="1"/>
    <col min="13273" max="13274" width="2" style="59" bestFit="1" customWidth="1"/>
    <col min="13275" max="13275" width="2.5703125" style="59" customWidth="1"/>
    <col min="13276" max="13276" width="2.28515625" style="59" bestFit="1" customWidth="1"/>
    <col min="13277" max="13277" width="11.42578125" style="59"/>
    <col min="13278" max="13278" width="1.85546875" style="59" bestFit="1" customWidth="1"/>
    <col min="13279" max="13279" width="2" style="59" bestFit="1" customWidth="1"/>
    <col min="13280" max="13281" width="0" style="59" hidden="1" customWidth="1"/>
    <col min="13282" max="13282" width="2.140625" style="59" customWidth="1"/>
    <col min="13283" max="13283" width="2.28515625" style="59" bestFit="1" customWidth="1"/>
    <col min="13284" max="13284" width="2" style="59" customWidth="1"/>
    <col min="13285" max="13285" width="1.7109375" style="59" bestFit="1" customWidth="1"/>
    <col min="13286" max="13527" width="11.42578125" style="59"/>
    <col min="13528" max="13528" width="1.85546875" style="59" bestFit="1" customWidth="1"/>
    <col min="13529" max="13530" width="2" style="59" bestFit="1" customWidth="1"/>
    <col min="13531" max="13531" width="2.5703125" style="59" customWidth="1"/>
    <col min="13532" max="13532" width="2.28515625" style="59" bestFit="1" customWidth="1"/>
    <col min="13533" max="13533" width="11.42578125" style="59"/>
    <col min="13534" max="13534" width="1.85546875" style="59" bestFit="1" customWidth="1"/>
    <col min="13535" max="13535" width="2" style="59" bestFit="1" customWidth="1"/>
    <col min="13536" max="13537" width="0" style="59" hidden="1" customWidth="1"/>
    <col min="13538" max="13538" width="2.140625" style="59" customWidth="1"/>
    <col min="13539" max="13539" width="2.28515625" style="59" bestFit="1" customWidth="1"/>
    <col min="13540" max="13540" width="2" style="59" customWidth="1"/>
    <col min="13541" max="13541" width="1.7109375" style="59" bestFit="1" customWidth="1"/>
    <col min="13542" max="13783" width="11.42578125" style="59"/>
    <col min="13784" max="13784" width="1.85546875" style="59" bestFit="1" customWidth="1"/>
    <col min="13785" max="13786" width="2" style="59" bestFit="1" customWidth="1"/>
    <col min="13787" max="13787" width="2.5703125" style="59" customWidth="1"/>
    <col min="13788" max="13788" width="2.28515625" style="59" bestFit="1" customWidth="1"/>
    <col min="13789" max="13789" width="11.42578125" style="59"/>
    <col min="13790" max="13790" width="1.85546875" style="59" bestFit="1" customWidth="1"/>
    <col min="13791" max="13791" width="2" style="59" bestFit="1" customWidth="1"/>
    <col min="13792" max="13793" width="0" style="59" hidden="1" customWidth="1"/>
    <col min="13794" max="13794" width="2.140625" style="59" customWidth="1"/>
    <col min="13795" max="13795" width="2.28515625" style="59" bestFit="1" customWidth="1"/>
    <col min="13796" max="13796" width="2" style="59" customWidth="1"/>
    <col min="13797" max="13797" width="1.7109375" style="59" bestFit="1" customWidth="1"/>
    <col min="13798" max="14039" width="11.42578125" style="59"/>
    <col min="14040" max="14040" width="1.85546875" style="59" bestFit="1" customWidth="1"/>
    <col min="14041" max="14042" width="2" style="59" bestFit="1" customWidth="1"/>
    <col min="14043" max="14043" width="2.5703125" style="59" customWidth="1"/>
    <col min="14044" max="14044" width="2.28515625" style="59" bestFit="1" customWidth="1"/>
    <col min="14045" max="14045" width="11.42578125" style="59"/>
    <col min="14046" max="14046" width="1.85546875" style="59" bestFit="1" customWidth="1"/>
    <col min="14047" max="14047" width="2" style="59" bestFit="1" customWidth="1"/>
    <col min="14048" max="14049" width="0" style="59" hidden="1" customWidth="1"/>
    <col min="14050" max="14050" width="2.140625" style="59" customWidth="1"/>
    <col min="14051" max="14051" width="2.28515625" style="59" bestFit="1" customWidth="1"/>
    <col min="14052" max="14052" width="2" style="59" customWidth="1"/>
    <col min="14053" max="14053" width="1.7109375" style="59" bestFit="1" customWidth="1"/>
    <col min="14054" max="14295" width="11.42578125" style="59"/>
    <col min="14296" max="14296" width="1.85546875" style="59" bestFit="1" customWidth="1"/>
    <col min="14297" max="14298" width="2" style="59" bestFit="1" customWidth="1"/>
    <col min="14299" max="14299" width="2.5703125" style="59" customWidth="1"/>
    <col min="14300" max="14300" width="2.28515625" style="59" bestFit="1" customWidth="1"/>
    <col min="14301" max="14301" width="11.42578125" style="59"/>
    <col min="14302" max="14302" width="1.85546875" style="59" bestFit="1" customWidth="1"/>
    <col min="14303" max="14303" width="2" style="59" bestFit="1" customWidth="1"/>
    <col min="14304" max="14305" width="0" style="59" hidden="1" customWidth="1"/>
    <col min="14306" max="14306" width="2.140625" style="59" customWidth="1"/>
    <col min="14307" max="14307" width="2.28515625" style="59" bestFit="1" customWidth="1"/>
    <col min="14308" max="14308" width="2" style="59" customWidth="1"/>
    <col min="14309" max="14309" width="1.7109375" style="59" bestFit="1" customWidth="1"/>
    <col min="14310" max="14551" width="11.42578125" style="59"/>
    <col min="14552" max="14552" width="1.85546875" style="59" bestFit="1" customWidth="1"/>
    <col min="14553" max="14554" width="2" style="59" bestFit="1" customWidth="1"/>
    <col min="14555" max="14555" width="2.5703125" style="59" customWidth="1"/>
    <col min="14556" max="14556" width="2.28515625" style="59" bestFit="1" customWidth="1"/>
    <col min="14557" max="14557" width="11.42578125" style="59"/>
    <col min="14558" max="14558" width="1.85546875" style="59" bestFit="1" customWidth="1"/>
    <col min="14559" max="14559" width="2" style="59" bestFit="1" customWidth="1"/>
    <col min="14560" max="14561" width="0" style="59" hidden="1" customWidth="1"/>
    <col min="14562" max="14562" width="2.140625" style="59" customWidth="1"/>
    <col min="14563" max="14563" width="2.28515625" style="59" bestFit="1" customWidth="1"/>
    <col min="14564" max="14564" width="2" style="59" customWidth="1"/>
    <col min="14565" max="14565" width="1.7109375" style="59" bestFit="1" customWidth="1"/>
    <col min="14566" max="14807" width="11.42578125" style="59"/>
    <col min="14808" max="14808" width="1.85546875" style="59" bestFit="1" customWidth="1"/>
    <col min="14809" max="14810" width="2" style="59" bestFit="1" customWidth="1"/>
    <col min="14811" max="14811" width="2.5703125" style="59" customWidth="1"/>
    <col min="14812" max="14812" width="2.28515625" style="59" bestFit="1" customWidth="1"/>
    <col min="14813" max="14813" width="11.42578125" style="59"/>
    <col min="14814" max="14814" width="1.85546875" style="59" bestFit="1" customWidth="1"/>
    <col min="14815" max="14815" width="2" style="59" bestFit="1" customWidth="1"/>
    <col min="14816" max="14817" width="0" style="59" hidden="1" customWidth="1"/>
    <col min="14818" max="14818" width="2.140625" style="59" customWidth="1"/>
    <col min="14819" max="14819" width="2.28515625" style="59" bestFit="1" customWidth="1"/>
    <col min="14820" max="14820" width="2" style="59" customWidth="1"/>
    <col min="14821" max="14821" width="1.7109375" style="59" bestFit="1" customWidth="1"/>
    <col min="14822" max="15063" width="11.42578125" style="59"/>
    <col min="15064" max="15064" width="1.85546875" style="59" bestFit="1" customWidth="1"/>
    <col min="15065" max="15066" width="2" style="59" bestFit="1" customWidth="1"/>
    <col min="15067" max="15067" width="2.5703125" style="59" customWidth="1"/>
    <col min="15068" max="15068" width="2.28515625" style="59" bestFit="1" customWidth="1"/>
    <col min="15069" max="15069" width="11.42578125" style="59"/>
    <col min="15070" max="15070" width="1.85546875" style="59" bestFit="1" customWidth="1"/>
    <col min="15071" max="15071" width="2" style="59" bestFit="1" customWidth="1"/>
    <col min="15072" max="15073" width="0" style="59" hidden="1" customWidth="1"/>
    <col min="15074" max="15074" width="2.140625" style="59" customWidth="1"/>
    <col min="15075" max="15075" width="2.28515625" style="59" bestFit="1" customWidth="1"/>
    <col min="15076" max="15076" width="2" style="59" customWidth="1"/>
    <col min="15077" max="15077" width="1.7109375" style="59" bestFit="1" customWidth="1"/>
    <col min="15078" max="15319" width="11.42578125" style="59"/>
    <col min="15320" max="15320" width="1.85546875" style="59" bestFit="1" customWidth="1"/>
    <col min="15321" max="15322" width="2" style="59" bestFit="1" customWidth="1"/>
    <col min="15323" max="15323" width="2.5703125" style="59" customWidth="1"/>
    <col min="15324" max="15324" width="2.28515625" style="59" bestFit="1" customWidth="1"/>
    <col min="15325" max="15325" width="11.42578125" style="59"/>
    <col min="15326" max="15326" width="1.85546875" style="59" bestFit="1" customWidth="1"/>
    <col min="15327" max="15327" width="2" style="59" bestFit="1" customWidth="1"/>
    <col min="15328" max="15329" width="0" style="59" hidden="1" customWidth="1"/>
    <col min="15330" max="15330" width="2.140625" style="59" customWidth="1"/>
    <col min="15331" max="15331" width="2.28515625" style="59" bestFit="1" customWidth="1"/>
    <col min="15332" max="15332" width="2" style="59" customWidth="1"/>
    <col min="15333" max="15333" width="1.7109375" style="59" bestFit="1" customWidth="1"/>
    <col min="15334" max="15575" width="11.42578125" style="59"/>
    <col min="15576" max="15576" width="1.85546875" style="59" bestFit="1" customWidth="1"/>
    <col min="15577" max="15578" width="2" style="59" bestFit="1" customWidth="1"/>
    <col min="15579" max="15579" width="2.5703125" style="59" customWidth="1"/>
    <col min="15580" max="15580" width="2.28515625" style="59" bestFit="1" customWidth="1"/>
    <col min="15581" max="15581" width="11.42578125" style="59"/>
    <col min="15582" max="15582" width="1.85546875" style="59" bestFit="1" customWidth="1"/>
    <col min="15583" max="15583" width="2" style="59" bestFit="1" customWidth="1"/>
    <col min="15584" max="15585" width="0" style="59" hidden="1" customWidth="1"/>
    <col min="15586" max="15586" width="2.140625" style="59" customWidth="1"/>
    <col min="15587" max="15587" width="2.28515625" style="59" bestFit="1" customWidth="1"/>
    <col min="15588" max="15588" width="2" style="59" customWidth="1"/>
    <col min="15589" max="15589" width="1.7109375" style="59" bestFit="1" customWidth="1"/>
    <col min="15590" max="15831" width="11.42578125" style="59"/>
    <col min="15832" max="15832" width="1.85546875" style="59" bestFit="1" customWidth="1"/>
    <col min="15833" max="15834" width="2" style="59" bestFit="1" customWidth="1"/>
    <col min="15835" max="15835" width="2.5703125" style="59" customWidth="1"/>
    <col min="15836" max="15836" width="2.28515625" style="59" bestFit="1" customWidth="1"/>
    <col min="15837" max="15837" width="11.42578125" style="59"/>
    <col min="15838" max="15838" width="1.85546875" style="59" bestFit="1" customWidth="1"/>
    <col min="15839" max="15839" width="2" style="59" bestFit="1" customWidth="1"/>
    <col min="15840" max="15841" width="0" style="59" hidden="1" customWidth="1"/>
    <col min="15842" max="15842" width="2.140625" style="59" customWidth="1"/>
    <col min="15843" max="15843" width="2.28515625" style="59" bestFit="1" customWidth="1"/>
    <col min="15844" max="15844" width="2" style="59" customWidth="1"/>
    <col min="15845" max="15845" width="1.7109375" style="59" bestFit="1" customWidth="1"/>
    <col min="15846" max="16087" width="11.42578125" style="59"/>
    <col min="16088" max="16088" width="1.85546875" style="59" bestFit="1" customWidth="1"/>
    <col min="16089" max="16090" width="2" style="59" bestFit="1" customWidth="1"/>
    <col min="16091" max="16091" width="2.5703125" style="59" customWidth="1"/>
    <col min="16092" max="16092" width="2.28515625" style="59" bestFit="1" customWidth="1"/>
    <col min="16093" max="16093" width="11.42578125" style="59"/>
    <col min="16094" max="16094" width="1.85546875" style="59" bestFit="1" customWidth="1"/>
    <col min="16095" max="16095" width="2" style="59" bestFit="1" customWidth="1"/>
    <col min="16096" max="16097" width="0" style="59" hidden="1" customWidth="1"/>
    <col min="16098" max="16098" width="2.140625" style="59" customWidth="1"/>
    <col min="16099" max="16099" width="2.28515625" style="59" bestFit="1" customWidth="1"/>
    <col min="16100" max="16100" width="2" style="59" customWidth="1"/>
    <col min="16101" max="16101" width="1.7109375" style="59" bestFit="1" customWidth="1"/>
    <col min="16102" max="16384" width="11.42578125" style="59"/>
  </cols>
  <sheetData>
    <row r="1" spans="1:13">
      <c r="A1" s="81"/>
      <c r="C1" s="60"/>
      <c r="M1" s="81"/>
    </row>
    <row r="2" spans="1:13" ht="25.5">
      <c r="A2" s="81"/>
      <c r="B2" s="131"/>
      <c r="C2" s="132" t="s">
        <v>560</v>
      </c>
      <c r="D2" s="133" t="s">
        <v>561</v>
      </c>
      <c r="E2" s="134"/>
      <c r="F2" s="60"/>
      <c r="M2" s="81"/>
    </row>
    <row r="3" spans="1:13">
      <c r="A3" s="81"/>
      <c r="B3" s="135" t="s">
        <v>487</v>
      </c>
      <c r="C3" s="136">
        <v>72653469000</v>
      </c>
      <c r="D3" s="181">
        <f>GRAFICO1!D28/C3</f>
        <v>2.1552097835823916E-2</v>
      </c>
      <c r="E3" s="138"/>
      <c r="F3" s="60"/>
      <c r="J3" s="60"/>
      <c r="M3" s="81"/>
    </row>
    <row r="4" spans="1:13">
      <c r="A4" s="81"/>
      <c r="B4" s="135" t="s">
        <v>486</v>
      </c>
      <c r="C4" s="136">
        <v>80681276000</v>
      </c>
      <c r="D4" s="181">
        <f>GRAFICO1!D29/C4</f>
        <v>6.9209784634541471E-2</v>
      </c>
      <c r="E4" s="139"/>
      <c r="F4" s="60"/>
      <c r="J4" s="60"/>
      <c r="M4" s="81"/>
    </row>
    <row r="5" spans="1:13">
      <c r="A5" s="81"/>
      <c r="B5" s="135" t="s">
        <v>485</v>
      </c>
      <c r="C5" s="136">
        <f>PROVISION!$I$15</f>
        <v>80335529257</v>
      </c>
      <c r="D5" s="181">
        <f>GRAFICO1!D30/C5</f>
        <v>0.15686051640597085</v>
      </c>
      <c r="E5" s="140"/>
      <c r="F5" s="60"/>
      <c r="J5" s="141"/>
      <c r="K5" s="142"/>
      <c r="M5" s="81"/>
    </row>
    <row r="6" spans="1:13">
      <c r="A6" s="81"/>
      <c r="B6" s="135" t="s">
        <v>484</v>
      </c>
      <c r="C6" s="136">
        <f>PROVISION!$I$15</f>
        <v>80335529257</v>
      </c>
      <c r="D6" s="181">
        <f>GRAFICO1!D31/C6</f>
        <v>0.23713659018858141</v>
      </c>
      <c r="E6" s="140"/>
      <c r="F6" s="60"/>
      <c r="J6" s="141"/>
      <c r="M6" s="81"/>
    </row>
    <row r="7" spans="1:13">
      <c r="A7" s="81"/>
      <c r="B7" s="135" t="s">
        <v>483</v>
      </c>
      <c r="C7" s="136">
        <f>PROVISION!$I$15</f>
        <v>80335529257</v>
      </c>
      <c r="D7" s="181">
        <f>GRAFICO1!D32/C7</f>
        <v>0.32792327081986006</v>
      </c>
      <c r="E7" s="140"/>
      <c r="F7" s="143"/>
      <c r="G7" s="144"/>
      <c r="J7" s="60"/>
      <c r="K7" s="60"/>
      <c r="M7" s="81"/>
    </row>
    <row r="8" spans="1:13">
      <c r="A8" s="81"/>
      <c r="B8" s="135" t="s">
        <v>482</v>
      </c>
      <c r="C8" s="136"/>
      <c r="D8" s="181"/>
      <c r="E8" s="145"/>
      <c r="F8" s="141"/>
      <c r="G8" s="60"/>
      <c r="J8" s="60"/>
      <c r="M8" s="81"/>
    </row>
    <row r="9" spans="1:13" ht="13.5" thickBot="1">
      <c r="A9" s="81"/>
      <c r="B9" s="135" t="s">
        <v>481</v>
      </c>
      <c r="C9" s="136"/>
      <c r="D9" s="137"/>
      <c r="E9" s="140"/>
      <c r="F9" s="60"/>
      <c r="M9" s="81"/>
    </row>
    <row r="10" spans="1:13" ht="13.5" customHeight="1" thickBot="1">
      <c r="A10" s="81"/>
      <c r="B10" s="135" t="s">
        <v>480</v>
      </c>
      <c r="C10" s="136"/>
      <c r="D10" s="137"/>
      <c r="E10" s="140"/>
      <c r="F10" s="146"/>
      <c r="G10" s="147"/>
      <c r="J10" s="60"/>
      <c r="K10" s="60"/>
      <c r="L10" s="60"/>
      <c r="M10" s="81"/>
    </row>
    <row r="11" spans="1:13">
      <c r="A11" s="81"/>
      <c r="B11" s="135" t="s">
        <v>479</v>
      </c>
      <c r="C11" s="136"/>
      <c r="D11" s="137"/>
      <c r="E11" s="148"/>
      <c r="F11" s="60"/>
      <c r="G11" s="60"/>
      <c r="K11" s="60"/>
      <c r="L11" s="60"/>
      <c r="M11" s="80"/>
    </row>
    <row r="12" spans="1:13">
      <c r="A12" s="81"/>
      <c r="B12" s="135" t="s">
        <v>478</v>
      </c>
      <c r="C12" s="136"/>
      <c r="D12" s="137"/>
      <c r="E12" s="149"/>
      <c r="F12" s="150"/>
      <c r="G12" s="151"/>
      <c r="H12" s="152"/>
      <c r="I12" s="150"/>
      <c r="M12" s="81"/>
    </row>
    <row r="13" spans="1:13">
      <c r="A13" s="81"/>
      <c r="B13" s="135" t="s">
        <v>477</v>
      </c>
      <c r="C13" s="153"/>
      <c r="D13" s="137"/>
      <c r="E13" s="154"/>
      <c r="F13" s="155"/>
      <c r="G13" s="152"/>
      <c r="H13" s="152"/>
      <c r="I13" s="152"/>
      <c r="M13" s="81"/>
    </row>
    <row r="14" spans="1:13">
      <c r="A14" s="81"/>
      <c r="B14" s="135" t="s">
        <v>525</v>
      </c>
      <c r="C14" s="153"/>
      <c r="D14" s="137"/>
      <c r="E14" s="156"/>
      <c r="F14" s="60"/>
      <c r="J14" s="60"/>
      <c r="M14" s="81"/>
    </row>
    <row r="15" spans="1:13" ht="18" customHeight="1">
      <c r="A15" s="81"/>
      <c r="C15" s="60"/>
      <c r="H15" s="157"/>
      <c r="M15" s="81"/>
    </row>
    <row r="16" spans="1:13">
      <c r="A16" s="81"/>
      <c r="B16" s="158"/>
      <c r="C16" s="60"/>
      <c r="M16" s="81"/>
    </row>
    <row r="17" spans="1:13">
      <c r="A17" s="81"/>
      <c r="C17" s="60"/>
      <c r="M17" s="81"/>
    </row>
    <row r="18" spans="1:13">
      <c r="A18" s="81"/>
      <c r="C18" s="60"/>
      <c r="H18" s="60"/>
      <c r="M18" s="81"/>
    </row>
    <row r="19" spans="1:13">
      <c r="A19" s="81"/>
      <c r="C19" s="60"/>
      <c r="M19" s="81"/>
    </row>
    <row r="20" spans="1:13">
      <c r="A20" s="81"/>
      <c r="C20" s="60"/>
      <c r="M20" s="81"/>
    </row>
    <row r="21" spans="1:13">
      <c r="A21" s="81"/>
      <c r="C21" s="60"/>
      <c r="M21" s="81"/>
    </row>
    <row r="22" spans="1:13">
      <c r="A22" s="81"/>
      <c r="C22" s="60"/>
      <c r="M22" s="81"/>
    </row>
    <row r="23" spans="1:13">
      <c r="A23" s="81"/>
      <c r="C23" s="60"/>
      <c r="M23" s="81"/>
    </row>
    <row r="24" spans="1:13">
      <c r="A24" s="81"/>
      <c r="C24" s="60"/>
      <c r="M24" s="81"/>
    </row>
    <row r="25" spans="1:13">
      <c r="A25" s="81"/>
      <c r="C25" s="60"/>
      <c r="M25" s="81"/>
    </row>
    <row r="26" spans="1:13">
      <c r="A26" s="81"/>
      <c r="C26" s="60"/>
      <c r="M26" s="81"/>
    </row>
    <row r="27" spans="1:13">
      <c r="A27" s="81"/>
      <c r="C27" s="60"/>
      <c r="M27" s="81"/>
    </row>
    <row r="28" spans="1:13">
      <c r="A28" s="81"/>
      <c r="C28" s="60"/>
      <c r="M28" s="81"/>
    </row>
    <row r="29" spans="1:13">
      <c r="A29" s="81"/>
      <c r="C29" s="60"/>
      <c r="M29" s="81"/>
    </row>
    <row r="30" spans="1:13">
      <c r="A30" s="81"/>
      <c r="C30" s="60"/>
      <c r="M30" s="81"/>
    </row>
    <row r="31" spans="1:13">
      <c r="A31" s="81"/>
      <c r="C31" s="60"/>
      <c r="M31" s="81"/>
    </row>
    <row r="32" spans="1:13">
      <c r="A32" s="81"/>
      <c r="C32" s="60"/>
      <c r="M32" s="81"/>
    </row>
    <row r="33" spans="1:13">
      <c r="A33" s="168"/>
      <c r="C33" s="60"/>
      <c r="M33" s="81"/>
    </row>
    <row r="34" spans="1:13">
      <c r="A34" s="81"/>
      <c r="C34" s="60"/>
      <c r="M34" s="81"/>
    </row>
    <row r="35" spans="1:13">
      <c r="A35" s="81"/>
      <c r="C35" s="60"/>
      <c r="M35" s="81"/>
    </row>
    <row r="36" spans="1:13">
      <c r="A36" s="81"/>
      <c r="C36" s="60"/>
      <c r="M36" s="81"/>
    </row>
    <row r="37" spans="1:13">
      <c r="A37" s="81"/>
      <c r="C37" s="60"/>
      <c r="M37" s="81"/>
    </row>
    <row r="38" spans="1:13">
      <c r="A38" s="81"/>
      <c r="B38" s="60"/>
      <c r="C38" s="169"/>
      <c r="M38" s="81"/>
    </row>
    <row r="39" spans="1:13">
      <c r="A39" s="81"/>
      <c r="B39" s="60"/>
      <c r="C39" s="60"/>
      <c r="M39" s="81"/>
    </row>
    <row r="40" spans="1:13">
      <c r="C40" s="60"/>
    </row>
    <row r="41" spans="1:13">
      <c r="B41" s="60"/>
      <c r="C41" s="169"/>
      <c r="D41" s="60"/>
    </row>
  </sheetData>
  <printOptions horizontalCentered="1" verticalCentered="1"/>
  <pageMargins left="1.3779527559055118" right="0.15748031496062992" top="1.3779527559055118" bottom="0.15748031496062992" header="0.47244094488188981" footer="0.15748031496062992"/>
  <pageSetup paperSize="5" orientation="landscape" r:id="rId1"/>
  <headerFooter>
    <oddHeader>&amp;L&amp;G&amp;C&amp;"-,Negrita"&amp;12EFICIENCIA FNDR 2018 MES DE JUNIO&amp;R&amp;9DIVISION DE PRESUPUESTO E 
INVERSION REGIONAL
&amp;D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5"/>
  <sheetViews>
    <sheetView topLeftCell="A7" workbookViewId="0">
      <selection activeCell="F34" sqref="F34"/>
    </sheetView>
  </sheetViews>
  <sheetFormatPr baseColWidth="10" defaultColWidth="11.42578125" defaultRowHeight="12.75"/>
  <cols>
    <col min="1" max="1" width="12.7109375" style="59" bestFit="1" customWidth="1"/>
    <col min="2" max="2" width="12.85546875" style="59" bestFit="1" customWidth="1"/>
    <col min="3" max="4" width="13.7109375" style="59" bestFit="1" customWidth="1"/>
    <col min="5" max="5" width="15.7109375" style="59" bestFit="1" customWidth="1"/>
    <col min="6" max="6" width="13.42578125" style="59" customWidth="1"/>
    <col min="7" max="7" width="8" style="59" customWidth="1"/>
    <col min="8" max="8" width="3.28515625" style="59" customWidth="1"/>
    <col min="9" max="210" width="11.42578125" style="59"/>
    <col min="211" max="211" width="1.85546875" style="59" bestFit="1" customWidth="1"/>
    <col min="212" max="213" width="2" style="59" bestFit="1" customWidth="1"/>
    <col min="214" max="214" width="2.5703125" style="59" customWidth="1"/>
    <col min="215" max="215" width="2.28515625" style="59" bestFit="1" customWidth="1"/>
    <col min="216" max="216" width="11.42578125" style="59"/>
    <col min="217" max="217" width="1.85546875" style="59" bestFit="1" customWidth="1"/>
    <col min="218" max="218" width="2" style="59" bestFit="1" customWidth="1"/>
    <col min="219" max="220" width="0" style="59" hidden="1" customWidth="1"/>
    <col min="221" max="221" width="2.140625" style="59" customWidth="1"/>
    <col min="222" max="222" width="2.28515625" style="59" bestFit="1" customWidth="1"/>
    <col min="223" max="223" width="2" style="59" customWidth="1"/>
    <col min="224" max="224" width="1.7109375" style="59" bestFit="1" customWidth="1"/>
    <col min="225" max="466" width="11.42578125" style="59"/>
    <col min="467" max="467" width="1.85546875" style="59" bestFit="1" customWidth="1"/>
    <col min="468" max="469" width="2" style="59" bestFit="1" customWidth="1"/>
    <col min="470" max="470" width="2.5703125" style="59" customWidth="1"/>
    <col min="471" max="471" width="2.28515625" style="59" bestFit="1" customWidth="1"/>
    <col min="472" max="472" width="11.42578125" style="59"/>
    <col min="473" max="473" width="1.85546875" style="59" bestFit="1" customWidth="1"/>
    <col min="474" max="474" width="2" style="59" bestFit="1" customWidth="1"/>
    <col min="475" max="476" width="0" style="59" hidden="1" customWidth="1"/>
    <col min="477" max="477" width="2.140625" style="59" customWidth="1"/>
    <col min="478" max="478" width="2.28515625" style="59" bestFit="1" customWidth="1"/>
    <col min="479" max="479" width="2" style="59" customWidth="1"/>
    <col min="480" max="480" width="1.7109375" style="59" bestFit="1" customWidth="1"/>
    <col min="481" max="722" width="11.42578125" style="59"/>
    <col min="723" max="723" width="1.85546875" style="59" bestFit="1" customWidth="1"/>
    <col min="724" max="725" width="2" style="59" bestFit="1" customWidth="1"/>
    <col min="726" max="726" width="2.5703125" style="59" customWidth="1"/>
    <col min="727" max="727" width="2.28515625" style="59" bestFit="1" customWidth="1"/>
    <col min="728" max="728" width="11.42578125" style="59"/>
    <col min="729" max="729" width="1.85546875" style="59" bestFit="1" customWidth="1"/>
    <col min="730" max="730" width="2" style="59" bestFit="1" customWidth="1"/>
    <col min="731" max="732" width="0" style="59" hidden="1" customWidth="1"/>
    <col min="733" max="733" width="2.140625" style="59" customWidth="1"/>
    <col min="734" max="734" width="2.28515625" style="59" bestFit="1" customWidth="1"/>
    <col min="735" max="735" width="2" style="59" customWidth="1"/>
    <col min="736" max="736" width="1.7109375" style="59" bestFit="1" customWidth="1"/>
    <col min="737" max="978" width="11.42578125" style="59"/>
    <col min="979" max="979" width="1.85546875" style="59" bestFit="1" customWidth="1"/>
    <col min="980" max="981" width="2" style="59" bestFit="1" customWidth="1"/>
    <col min="982" max="982" width="2.5703125" style="59" customWidth="1"/>
    <col min="983" max="983" width="2.28515625" style="59" bestFit="1" customWidth="1"/>
    <col min="984" max="984" width="11.42578125" style="59"/>
    <col min="985" max="985" width="1.85546875" style="59" bestFit="1" customWidth="1"/>
    <col min="986" max="986" width="2" style="59" bestFit="1" customWidth="1"/>
    <col min="987" max="988" width="0" style="59" hidden="1" customWidth="1"/>
    <col min="989" max="989" width="2.140625" style="59" customWidth="1"/>
    <col min="990" max="990" width="2.28515625" style="59" bestFit="1" customWidth="1"/>
    <col min="991" max="991" width="2" style="59" customWidth="1"/>
    <col min="992" max="992" width="1.7109375" style="59" bestFit="1" customWidth="1"/>
    <col min="993" max="1234" width="11.42578125" style="59"/>
    <col min="1235" max="1235" width="1.85546875" style="59" bestFit="1" customWidth="1"/>
    <col min="1236" max="1237" width="2" style="59" bestFit="1" customWidth="1"/>
    <col min="1238" max="1238" width="2.5703125" style="59" customWidth="1"/>
    <col min="1239" max="1239" width="2.28515625" style="59" bestFit="1" customWidth="1"/>
    <col min="1240" max="1240" width="11.42578125" style="59"/>
    <col min="1241" max="1241" width="1.85546875" style="59" bestFit="1" customWidth="1"/>
    <col min="1242" max="1242" width="2" style="59" bestFit="1" customWidth="1"/>
    <col min="1243" max="1244" width="0" style="59" hidden="1" customWidth="1"/>
    <col min="1245" max="1245" width="2.140625" style="59" customWidth="1"/>
    <col min="1246" max="1246" width="2.28515625" style="59" bestFit="1" customWidth="1"/>
    <col min="1247" max="1247" width="2" style="59" customWidth="1"/>
    <col min="1248" max="1248" width="1.7109375" style="59" bestFit="1" customWidth="1"/>
    <col min="1249" max="1490" width="11.42578125" style="59"/>
    <col min="1491" max="1491" width="1.85546875" style="59" bestFit="1" customWidth="1"/>
    <col min="1492" max="1493" width="2" style="59" bestFit="1" customWidth="1"/>
    <col min="1494" max="1494" width="2.5703125" style="59" customWidth="1"/>
    <col min="1495" max="1495" width="2.28515625" style="59" bestFit="1" customWidth="1"/>
    <col min="1496" max="1496" width="11.42578125" style="59"/>
    <col min="1497" max="1497" width="1.85546875" style="59" bestFit="1" customWidth="1"/>
    <col min="1498" max="1498" width="2" style="59" bestFit="1" customWidth="1"/>
    <col min="1499" max="1500" width="0" style="59" hidden="1" customWidth="1"/>
    <col min="1501" max="1501" width="2.140625" style="59" customWidth="1"/>
    <col min="1502" max="1502" width="2.28515625" style="59" bestFit="1" customWidth="1"/>
    <col min="1503" max="1503" width="2" style="59" customWidth="1"/>
    <col min="1504" max="1504" width="1.7109375" style="59" bestFit="1" customWidth="1"/>
    <col min="1505" max="1746" width="11.42578125" style="59"/>
    <col min="1747" max="1747" width="1.85546875" style="59" bestFit="1" customWidth="1"/>
    <col min="1748" max="1749" width="2" style="59" bestFit="1" customWidth="1"/>
    <col min="1750" max="1750" width="2.5703125" style="59" customWidth="1"/>
    <col min="1751" max="1751" width="2.28515625" style="59" bestFit="1" customWidth="1"/>
    <col min="1752" max="1752" width="11.42578125" style="59"/>
    <col min="1753" max="1753" width="1.85546875" style="59" bestFit="1" customWidth="1"/>
    <col min="1754" max="1754" width="2" style="59" bestFit="1" customWidth="1"/>
    <col min="1755" max="1756" width="0" style="59" hidden="1" customWidth="1"/>
    <col min="1757" max="1757" width="2.140625" style="59" customWidth="1"/>
    <col min="1758" max="1758" width="2.28515625" style="59" bestFit="1" customWidth="1"/>
    <col min="1759" max="1759" width="2" style="59" customWidth="1"/>
    <col min="1760" max="1760" width="1.7109375" style="59" bestFit="1" customWidth="1"/>
    <col min="1761" max="2002" width="11.42578125" style="59"/>
    <col min="2003" max="2003" width="1.85546875" style="59" bestFit="1" customWidth="1"/>
    <col min="2004" max="2005" width="2" style="59" bestFit="1" customWidth="1"/>
    <col min="2006" max="2006" width="2.5703125" style="59" customWidth="1"/>
    <col min="2007" max="2007" width="2.28515625" style="59" bestFit="1" customWidth="1"/>
    <col min="2008" max="2008" width="11.42578125" style="59"/>
    <col min="2009" max="2009" width="1.85546875" style="59" bestFit="1" customWidth="1"/>
    <col min="2010" max="2010" width="2" style="59" bestFit="1" customWidth="1"/>
    <col min="2011" max="2012" width="0" style="59" hidden="1" customWidth="1"/>
    <col min="2013" max="2013" width="2.140625" style="59" customWidth="1"/>
    <col min="2014" max="2014" width="2.28515625" style="59" bestFit="1" customWidth="1"/>
    <col min="2015" max="2015" width="2" style="59" customWidth="1"/>
    <col min="2016" max="2016" width="1.7109375" style="59" bestFit="1" customWidth="1"/>
    <col min="2017" max="2258" width="11.42578125" style="59"/>
    <col min="2259" max="2259" width="1.85546875" style="59" bestFit="1" customWidth="1"/>
    <col min="2260" max="2261" width="2" style="59" bestFit="1" customWidth="1"/>
    <col min="2262" max="2262" width="2.5703125" style="59" customWidth="1"/>
    <col min="2263" max="2263" width="2.28515625" style="59" bestFit="1" customWidth="1"/>
    <col min="2264" max="2264" width="11.42578125" style="59"/>
    <col min="2265" max="2265" width="1.85546875" style="59" bestFit="1" customWidth="1"/>
    <col min="2266" max="2266" width="2" style="59" bestFit="1" customWidth="1"/>
    <col min="2267" max="2268" width="0" style="59" hidden="1" customWidth="1"/>
    <col min="2269" max="2269" width="2.140625" style="59" customWidth="1"/>
    <col min="2270" max="2270" width="2.28515625" style="59" bestFit="1" customWidth="1"/>
    <col min="2271" max="2271" width="2" style="59" customWidth="1"/>
    <col min="2272" max="2272" width="1.7109375" style="59" bestFit="1" customWidth="1"/>
    <col min="2273" max="2514" width="11.42578125" style="59"/>
    <col min="2515" max="2515" width="1.85546875" style="59" bestFit="1" customWidth="1"/>
    <col min="2516" max="2517" width="2" style="59" bestFit="1" customWidth="1"/>
    <col min="2518" max="2518" width="2.5703125" style="59" customWidth="1"/>
    <col min="2519" max="2519" width="2.28515625" style="59" bestFit="1" customWidth="1"/>
    <col min="2520" max="2520" width="11.42578125" style="59"/>
    <col min="2521" max="2521" width="1.85546875" style="59" bestFit="1" customWidth="1"/>
    <col min="2522" max="2522" width="2" style="59" bestFit="1" customWidth="1"/>
    <col min="2523" max="2524" width="0" style="59" hidden="1" customWidth="1"/>
    <col min="2525" max="2525" width="2.140625" style="59" customWidth="1"/>
    <col min="2526" max="2526" width="2.28515625" style="59" bestFit="1" customWidth="1"/>
    <col min="2527" max="2527" width="2" style="59" customWidth="1"/>
    <col min="2528" max="2528" width="1.7109375" style="59" bestFit="1" customWidth="1"/>
    <col min="2529" max="2770" width="11.42578125" style="59"/>
    <col min="2771" max="2771" width="1.85546875" style="59" bestFit="1" customWidth="1"/>
    <col min="2772" max="2773" width="2" style="59" bestFit="1" customWidth="1"/>
    <col min="2774" max="2774" width="2.5703125" style="59" customWidth="1"/>
    <col min="2775" max="2775" width="2.28515625" style="59" bestFit="1" customWidth="1"/>
    <col min="2776" max="2776" width="11.42578125" style="59"/>
    <col min="2777" max="2777" width="1.85546875" style="59" bestFit="1" customWidth="1"/>
    <col min="2778" max="2778" width="2" style="59" bestFit="1" customWidth="1"/>
    <col min="2779" max="2780" width="0" style="59" hidden="1" customWidth="1"/>
    <col min="2781" max="2781" width="2.140625" style="59" customWidth="1"/>
    <col min="2782" max="2782" width="2.28515625" style="59" bestFit="1" customWidth="1"/>
    <col min="2783" max="2783" width="2" style="59" customWidth="1"/>
    <col min="2784" max="2784" width="1.7109375" style="59" bestFit="1" customWidth="1"/>
    <col min="2785" max="3026" width="11.42578125" style="59"/>
    <col min="3027" max="3027" width="1.85546875" style="59" bestFit="1" customWidth="1"/>
    <col min="3028" max="3029" width="2" style="59" bestFit="1" customWidth="1"/>
    <col min="3030" max="3030" width="2.5703125" style="59" customWidth="1"/>
    <col min="3031" max="3031" width="2.28515625" style="59" bestFit="1" customWidth="1"/>
    <col min="3032" max="3032" width="11.42578125" style="59"/>
    <col min="3033" max="3033" width="1.85546875" style="59" bestFit="1" customWidth="1"/>
    <col min="3034" max="3034" width="2" style="59" bestFit="1" customWidth="1"/>
    <col min="3035" max="3036" width="0" style="59" hidden="1" customWidth="1"/>
    <col min="3037" max="3037" width="2.140625" style="59" customWidth="1"/>
    <col min="3038" max="3038" width="2.28515625" style="59" bestFit="1" customWidth="1"/>
    <col min="3039" max="3039" width="2" style="59" customWidth="1"/>
    <col min="3040" max="3040" width="1.7109375" style="59" bestFit="1" customWidth="1"/>
    <col min="3041" max="3282" width="11.42578125" style="59"/>
    <col min="3283" max="3283" width="1.85546875" style="59" bestFit="1" customWidth="1"/>
    <col min="3284" max="3285" width="2" style="59" bestFit="1" customWidth="1"/>
    <col min="3286" max="3286" width="2.5703125" style="59" customWidth="1"/>
    <col min="3287" max="3287" width="2.28515625" style="59" bestFit="1" customWidth="1"/>
    <col min="3288" max="3288" width="11.42578125" style="59"/>
    <col min="3289" max="3289" width="1.85546875" style="59" bestFit="1" customWidth="1"/>
    <col min="3290" max="3290" width="2" style="59" bestFit="1" customWidth="1"/>
    <col min="3291" max="3292" width="0" style="59" hidden="1" customWidth="1"/>
    <col min="3293" max="3293" width="2.140625" style="59" customWidth="1"/>
    <col min="3294" max="3294" width="2.28515625" style="59" bestFit="1" customWidth="1"/>
    <col min="3295" max="3295" width="2" style="59" customWidth="1"/>
    <col min="3296" max="3296" width="1.7109375" style="59" bestFit="1" customWidth="1"/>
    <col min="3297" max="3538" width="11.42578125" style="59"/>
    <col min="3539" max="3539" width="1.85546875" style="59" bestFit="1" customWidth="1"/>
    <col min="3540" max="3541" width="2" style="59" bestFit="1" customWidth="1"/>
    <col min="3542" max="3542" width="2.5703125" style="59" customWidth="1"/>
    <col min="3543" max="3543" width="2.28515625" style="59" bestFit="1" customWidth="1"/>
    <col min="3544" max="3544" width="11.42578125" style="59"/>
    <col min="3545" max="3545" width="1.85546875" style="59" bestFit="1" customWidth="1"/>
    <col min="3546" max="3546" width="2" style="59" bestFit="1" customWidth="1"/>
    <col min="3547" max="3548" width="0" style="59" hidden="1" customWidth="1"/>
    <col min="3549" max="3549" width="2.140625" style="59" customWidth="1"/>
    <col min="3550" max="3550" width="2.28515625" style="59" bestFit="1" customWidth="1"/>
    <col min="3551" max="3551" width="2" style="59" customWidth="1"/>
    <col min="3552" max="3552" width="1.7109375" style="59" bestFit="1" customWidth="1"/>
    <col min="3553" max="3794" width="11.42578125" style="59"/>
    <col min="3795" max="3795" width="1.85546875" style="59" bestFit="1" customWidth="1"/>
    <col min="3796" max="3797" width="2" style="59" bestFit="1" customWidth="1"/>
    <col min="3798" max="3798" width="2.5703125" style="59" customWidth="1"/>
    <col min="3799" max="3799" width="2.28515625" style="59" bestFit="1" customWidth="1"/>
    <col min="3800" max="3800" width="11.42578125" style="59"/>
    <col min="3801" max="3801" width="1.85546875" style="59" bestFit="1" customWidth="1"/>
    <col min="3802" max="3802" width="2" style="59" bestFit="1" customWidth="1"/>
    <col min="3803" max="3804" width="0" style="59" hidden="1" customWidth="1"/>
    <col min="3805" max="3805" width="2.140625" style="59" customWidth="1"/>
    <col min="3806" max="3806" width="2.28515625" style="59" bestFit="1" customWidth="1"/>
    <col min="3807" max="3807" width="2" style="59" customWidth="1"/>
    <col min="3808" max="3808" width="1.7109375" style="59" bestFit="1" customWidth="1"/>
    <col min="3809" max="4050" width="11.42578125" style="59"/>
    <col min="4051" max="4051" width="1.85546875" style="59" bestFit="1" customWidth="1"/>
    <col min="4052" max="4053" width="2" style="59" bestFit="1" customWidth="1"/>
    <col min="4054" max="4054" width="2.5703125" style="59" customWidth="1"/>
    <col min="4055" max="4055" width="2.28515625" style="59" bestFit="1" customWidth="1"/>
    <col min="4056" max="4056" width="11.42578125" style="59"/>
    <col min="4057" max="4057" width="1.85546875" style="59" bestFit="1" customWidth="1"/>
    <col min="4058" max="4058" width="2" style="59" bestFit="1" customWidth="1"/>
    <col min="4059" max="4060" width="0" style="59" hidden="1" customWidth="1"/>
    <col min="4061" max="4061" width="2.140625" style="59" customWidth="1"/>
    <col min="4062" max="4062" width="2.28515625" style="59" bestFit="1" customWidth="1"/>
    <col min="4063" max="4063" width="2" style="59" customWidth="1"/>
    <col min="4064" max="4064" width="1.7109375" style="59" bestFit="1" customWidth="1"/>
    <col min="4065" max="4306" width="11.42578125" style="59"/>
    <col min="4307" max="4307" width="1.85546875" style="59" bestFit="1" customWidth="1"/>
    <col min="4308" max="4309" width="2" style="59" bestFit="1" customWidth="1"/>
    <col min="4310" max="4310" width="2.5703125" style="59" customWidth="1"/>
    <col min="4311" max="4311" width="2.28515625" style="59" bestFit="1" customWidth="1"/>
    <col min="4312" max="4312" width="11.42578125" style="59"/>
    <col min="4313" max="4313" width="1.85546875" style="59" bestFit="1" customWidth="1"/>
    <col min="4314" max="4314" width="2" style="59" bestFit="1" customWidth="1"/>
    <col min="4315" max="4316" width="0" style="59" hidden="1" customWidth="1"/>
    <col min="4317" max="4317" width="2.140625" style="59" customWidth="1"/>
    <col min="4318" max="4318" width="2.28515625" style="59" bestFit="1" customWidth="1"/>
    <col min="4319" max="4319" width="2" style="59" customWidth="1"/>
    <col min="4320" max="4320" width="1.7109375" style="59" bestFit="1" customWidth="1"/>
    <col min="4321" max="4562" width="11.42578125" style="59"/>
    <col min="4563" max="4563" width="1.85546875" style="59" bestFit="1" customWidth="1"/>
    <col min="4564" max="4565" width="2" style="59" bestFit="1" customWidth="1"/>
    <col min="4566" max="4566" width="2.5703125" style="59" customWidth="1"/>
    <col min="4567" max="4567" width="2.28515625" style="59" bestFit="1" customWidth="1"/>
    <col min="4568" max="4568" width="11.42578125" style="59"/>
    <col min="4569" max="4569" width="1.85546875" style="59" bestFit="1" customWidth="1"/>
    <col min="4570" max="4570" width="2" style="59" bestFit="1" customWidth="1"/>
    <col min="4571" max="4572" width="0" style="59" hidden="1" customWidth="1"/>
    <col min="4573" max="4573" width="2.140625" style="59" customWidth="1"/>
    <col min="4574" max="4574" width="2.28515625" style="59" bestFit="1" customWidth="1"/>
    <col min="4575" max="4575" width="2" style="59" customWidth="1"/>
    <col min="4576" max="4576" width="1.7109375" style="59" bestFit="1" customWidth="1"/>
    <col min="4577" max="4818" width="11.42578125" style="59"/>
    <col min="4819" max="4819" width="1.85546875" style="59" bestFit="1" customWidth="1"/>
    <col min="4820" max="4821" width="2" style="59" bestFit="1" customWidth="1"/>
    <col min="4822" max="4822" width="2.5703125" style="59" customWidth="1"/>
    <col min="4823" max="4823" width="2.28515625" style="59" bestFit="1" customWidth="1"/>
    <col min="4824" max="4824" width="11.42578125" style="59"/>
    <col min="4825" max="4825" width="1.85546875" style="59" bestFit="1" customWidth="1"/>
    <col min="4826" max="4826" width="2" style="59" bestFit="1" customWidth="1"/>
    <col min="4827" max="4828" width="0" style="59" hidden="1" customWidth="1"/>
    <col min="4829" max="4829" width="2.140625" style="59" customWidth="1"/>
    <col min="4830" max="4830" width="2.28515625" style="59" bestFit="1" customWidth="1"/>
    <col min="4831" max="4831" width="2" style="59" customWidth="1"/>
    <col min="4832" max="4832" width="1.7109375" style="59" bestFit="1" customWidth="1"/>
    <col min="4833" max="5074" width="11.42578125" style="59"/>
    <col min="5075" max="5075" width="1.85546875" style="59" bestFit="1" customWidth="1"/>
    <col min="5076" max="5077" width="2" style="59" bestFit="1" customWidth="1"/>
    <col min="5078" max="5078" width="2.5703125" style="59" customWidth="1"/>
    <col min="5079" max="5079" width="2.28515625" style="59" bestFit="1" customWidth="1"/>
    <col min="5080" max="5080" width="11.42578125" style="59"/>
    <col min="5081" max="5081" width="1.85546875" style="59" bestFit="1" customWidth="1"/>
    <col min="5082" max="5082" width="2" style="59" bestFit="1" customWidth="1"/>
    <col min="5083" max="5084" width="0" style="59" hidden="1" customWidth="1"/>
    <col min="5085" max="5085" width="2.140625" style="59" customWidth="1"/>
    <col min="5086" max="5086" width="2.28515625" style="59" bestFit="1" customWidth="1"/>
    <col min="5087" max="5087" width="2" style="59" customWidth="1"/>
    <col min="5088" max="5088" width="1.7109375" style="59" bestFit="1" customWidth="1"/>
    <col min="5089" max="5330" width="11.42578125" style="59"/>
    <col min="5331" max="5331" width="1.85546875" style="59" bestFit="1" customWidth="1"/>
    <col min="5332" max="5333" width="2" style="59" bestFit="1" customWidth="1"/>
    <col min="5334" max="5334" width="2.5703125" style="59" customWidth="1"/>
    <col min="5335" max="5335" width="2.28515625" style="59" bestFit="1" customWidth="1"/>
    <col min="5336" max="5336" width="11.42578125" style="59"/>
    <col min="5337" max="5337" width="1.85546875" style="59" bestFit="1" customWidth="1"/>
    <col min="5338" max="5338" width="2" style="59" bestFit="1" customWidth="1"/>
    <col min="5339" max="5340" width="0" style="59" hidden="1" customWidth="1"/>
    <col min="5341" max="5341" width="2.140625" style="59" customWidth="1"/>
    <col min="5342" max="5342" width="2.28515625" style="59" bestFit="1" customWidth="1"/>
    <col min="5343" max="5343" width="2" style="59" customWidth="1"/>
    <col min="5344" max="5344" width="1.7109375" style="59" bestFit="1" customWidth="1"/>
    <col min="5345" max="5586" width="11.42578125" style="59"/>
    <col min="5587" max="5587" width="1.85546875" style="59" bestFit="1" customWidth="1"/>
    <col min="5588" max="5589" width="2" style="59" bestFit="1" customWidth="1"/>
    <col min="5590" max="5590" width="2.5703125" style="59" customWidth="1"/>
    <col min="5591" max="5591" width="2.28515625" style="59" bestFit="1" customWidth="1"/>
    <col min="5592" max="5592" width="11.42578125" style="59"/>
    <col min="5593" max="5593" width="1.85546875" style="59" bestFit="1" customWidth="1"/>
    <col min="5594" max="5594" width="2" style="59" bestFit="1" customWidth="1"/>
    <col min="5595" max="5596" width="0" style="59" hidden="1" customWidth="1"/>
    <col min="5597" max="5597" width="2.140625" style="59" customWidth="1"/>
    <col min="5598" max="5598" width="2.28515625" style="59" bestFit="1" customWidth="1"/>
    <col min="5599" max="5599" width="2" style="59" customWidth="1"/>
    <col min="5600" max="5600" width="1.7109375" style="59" bestFit="1" customWidth="1"/>
    <col min="5601" max="5842" width="11.42578125" style="59"/>
    <col min="5843" max="5843" width="1.85546875" style="59" bestFit="1" customWidth="1"/>
    <col min="5844" max="5845" width="2" style="59" bestFit="1" customWidth="1"/>
    <col min="5846" max="5846" width="2.5703125" style="59" customWidth="1"/>
    <col min="5847" max="5847" width="2.28515625" style="59" bestFit="1" customWidth="1"/>
    <col min="5848" max="5848" width="11.42578125" style="59"/>
    <col min="5849" max="5849" width="1.85546875" style="59" bestFit="1" customWidth="1"/>
    <col min="5850" max="5850" width="2" style="59" bestFit="1" customWidth="1"/>
    <col min="5851" max="5852" width="0" style="59" hidden="1" customWidth="1"/>
    <col min="5853" max="5853" width="2.140625" style="59" customWidth="1"/>
    <col min="5854" max="5854" width="2.28515625" style="59" bestFit="1" customWidth="1"/>
    <col min="5855" max="5855" width="2" style="59" customWidth="1"/>
    <col min="5856" max="5856" width="1.7109375" style="59" bestFit="1" customWidth="1"/>
    <col min="5857" max="6098" width="11.42578125" style="59"/>
    <col min="6099" max="6099" width="1.85546875" style="59" bestFit="1" customWidth="1"/>
    <col min="6100" max="6101" width="2" style="59" bestFit="1" customWidth="1"/>
    <col min="6102" max="6102" width="2.5703125" style="59" customWidth="1"/>
    <col min="6103" max="6103" width="2.28515625" style="59" bestFit="1" customWidth="1"/>
    <col min="6104" max="6104" width="11.42578125" style="59"/>
    <col min="6105" max="6105" width="1.85546875" style="59" bestFit="1" customWidth="1"/>
    <col min="6106" max="6106" width="2" style="59" bestFit="1" customWidth="1"/>
    <col min="6107" max="6108" width="0" style="59" hidden="1" customWidth="1"/>
    <col min="6109" max="6109" width="2.140625" style="59" customWidth="1"/>
    <col min="6110" max="6110" width="2.28515625" style="59" bestFit="1" customWidth="1"/>
    <col min="6111" max="6111" width="2" style="59" customWidth="1"/>
    <col min="6112" max="6112" width="1.7109375" style="59" bestFit="1" customWidth="1"/>
    <col min="6113" max="6354" width="11.42578125" style="59"/>
    <col min="6355" max="6355" width="1.85546875" style="59" bestFit="1" customWidth="1"/>
    <col min="6356" max="6357" width="2" style="59" bestFit="1" customWidth="1"/>
    <col min="6358" max="6358" width="2.5703125" style="59" customWidth="1"/>
    <col min="6359" max="6359" width="2.28515625" style="59" bestFit="1" customWidth="1"/>
    <col min="6360" max="6360" width="11.42578125" style="59"/>
    <col min="6361" max="6361" width="1.85546875" style="59" bestFit="1" customWidth="1"/>
    <col min="6362" max="6362" width="2" style="59" bestFit="1" customWidth="1"/>
    <col min="6363" max="6364" width="0" style="59" hidden="1" customWidth="1"/>
    <col min="6365" max="6365" width="2.140625" style="59" customWidth="1"/>
    <col min="6366" max="6366" width="2.28515625" style="59" bestFit="1" customWidth="1"/>
    <col min="6367" max="6367" width="2" style="59" customWidth="1"/>
    <col min="6368" max="6368" width="1.7109375" style="59" bestFit="1" customWidth="1"/>
    <col min="6369" max="6610" width="11.42578125" style="59"/>
    <col min="6611" max="6611" width="1.85546875" style="59" bestFit="1" customWidth="1"/>
    <col min="6612" max="6613" width="2" style="59" bestFit="1" customWidth="1"/>
    <col min="6614" max="6614" width="2.5703125" style="59" customWidth="1"/>
    <col min="6615" max="6615" width="2.28515625" style="59" bestFit="1" customWidth="1"/>
    <col min="6616" max="6616" width="11.42578125" style="59"/>
    <col min="6617" max="6617" width="1.85546875" style="59" bestFit="1" customWidth="1"/>
    <col min="6618" max="6618" width="2" style="59" bestFit="1" customWidth="1"/>
    <col min="6619" max="6620" width="0" style="59" hidden="1" customWidth="1"/>
    <col min="6621" max="6621" width="2.140625" style="59" customWidth="1"/>
    <col min="6622" max="6622" width="2.28515625" style="59" bestFit="1" customWidth="1"/>
    <col min="6623" max="6623" width="2" style="59" customWidth="1"/>
    <col min="6624" max="6624" width="1.7109375" style="59" bestFit="1" customWidth="1"/>
    <col min="6625" max="6866" width="11.42578125" style="59"/>
    <col min="6867" max="6867" width="1.85546875" style="59" bestFit="1" customWidth="1"/>
    <col min="6868" max="6869" width="2" style="59" bestFit="1" customWidth="1"/>
    <col min="6870" max="6870" width="2.5703125" style="59" customWidth="1"/>
    <col min="6871" max="6871" width="2.28515625" style="59" bestFit="1" customWidth="1"/>
    <col min="6872" max="6872" width="11.42578125" style="59"/>
    <col min="6873" max="6873" width="1.85546875" style="59" bestFit="1" customWidth="1"/>
    <col min="6874" max="6874" width="2" style="59" bestFit="1" customWidth="1"/>
    <col min="6875" max="6876" width="0" style="59" hidden="1" customWidth="1"/>
    <col min="6877" max="6877" width="2.140625" style="59" customWidth="1"/>
    <col min="6878" max="6878" width="2.28515625" style="59" bestFit="1" customWidth="1"/>
    <col min="6879" max="6879" width="2" style="59" customWidth="1"/>
    <col min="6880" max="6880" width="1.7109375" style="59" bestFit="1" customWidth="1"/>
    <col min="6881" max="7122" width="11.42578125" style="59"/>
    <col min="7123" max="7123" width="1.85546875" style="59" bestFit="1" customWidth="1"/>
    <col min="7124" max="7125" width="2" style="59" bestFit="1" customWidth="1"/>
    <col min="7126" max="7126" width="2.5703125" style="59" customWidth="1"/>
    <col min="7127" max="7127" width="2.28515625" style="59" bestFit="1" customWidth="1"/>
    <col min="7128" max="7128" width="11.42578125" style="59"/>
    <col min="7129" max="7129" width="1.85546875" style="59" bestFit="1" customWidth="1"/>
    <col min="7130" max="7130" width="2" style="59" bestFit="1" customWidth="1"/>
    <col min="7131" max="7132" width="0" style="59" hidden="1" customWidth="1"/>
    <col min="7133" max="7133" width="2.140625" style="59" customWidth="1"/>
    <col min="7134" max="7134" width="2.28515625" style="59" bestFit="1" customWidth="1"/>
    <col min="7135" max="7135" width="2" style="59" customWidth="1"/>
    <col min="7136" max="7136" width="1.7109375" style="59" bestFit="1" customWidth="1"/>
    <col min="7137" max="7378" width="11.42578125" style="59"/>
    <col min="7379" max="7379" width="1.85546875" style="59" bestFit="1" customWidth="1"/>
    <col min="7380" max="7381" width="2" style="59" bestFit="1" customWidth="1"/>
    <col min="7382" max="7382" width="2.5703125" style="59" customWidth="1"/>
    <col min="7383" max="7383" width="2.28515625" style="59" bestFit="1" customWidth="1"/>
    <col min="7384" max="7384" width="11.42578125" style="59"/>
    <col min="7385" max="7385" width="1.85546875" style="59" bestFit="1" customWidth="1"/>
    <col min="7386" max="7386" width="2" style="59" bestFit="1" customWidth="1"/>
    <col min="7387" max="7388" width="0" style="59" hidden="1" customWidth="1"/>
    <col min="7389" max="7389" width="2.140625" style="59" customWidth="1"/>
    <col min="7390" max="7390" width="2.28515625" style="59" bestFit="1" customWidth="1"/>
    <col min="7391" max="7391" width="2" style="59" customWidth="1"/>
    <col min="7392" max="7392" width="1.7109375" style="59" bestFit="1" customWidth="1"/>
    <col min="7393" max="7634" width="11.42578125" style="59"/>
    <col min="7635" max="7635" width="1.85546875" style="59" bestFit="1" customWidth="1"/>
    <col min="7636" max="7637" width="2" style="59" bestFit="1" customWidth="1"/>
    <col min="7638" max="7638" width="2.5703125" style="59" customWidth="1"/>
    <col min="7639" max="7639" width="2.28515625" style="59" bestFit="1" customWidth="1"/>
    <col min="7640" max="7640" width="11.42578125" style="59"/>
    <col min="7641" max="7641" width="1.85546875" style="59" bestFit="1" customWidth="1"/>
    <col min="7642" max="7642" width="2" style="59" bestFit="1" customWidth="1"/>
    <col min="7643" max="7644" width="0" style="59" hidden="1" customWidth="1"/>
    <col min="7645" max="7645" width="2.140625" style="59" customWidth="1"/>
    <col min="7646" max="7646" width="2.28515625" style="59" bestFit="1" customWidth="1"/>
    <col min="7647" max="7647" width="2" style="59" customWidth="1"/>
    <col min="7648" max="7648" width="1.7109375" style="59" bestFit="1" customWidth="1"/>
    <col min="7649" max="7890" width="11.42578125" style="59"/>
    <col min="7891" max="7891" width="1.85546875" style="59" bestFit="1" customWidth="1"/>
    <col min="7892" max="7893" width="2" style="59" bestFit="1" customWidth="1"/>
    <col min="7894" max="7894" width="2.5703125" style="59" customWidth="1"/>
    <col min="7895" max="7895" width="2.28515625" style="59" bestFit="1" customWidth="1"/>
    <col min="7896" max="7896" width="11.42578125" style="59"/>
    <col min="7897" max="7897" width="1.85546875" style="59" bestFit="1" customWidth="1"/>
    <col min="7898" max="7898" width="2" style="59" bestFit="1" customWidth="1"/>
    <col min="7899" max="7900" width="0" style="59" hidden="1" customWidth="1"/>
    <col min="7901" max="7901" width="2.140625" style="59" customWidth="1"/>
    <col min="7902" max="7902" width="2.28515625" style="59" bestFit="1" customWidth="1"/>
    <col min="7903" max="7903" width="2" style="59" customWidth="1"/>
    <col min="7904" max="7904" width="1.7109375" style="59" bestFit="1" customWidth="1"/>
    <col min="7905" max="8146" width="11.42578125" style="59"/>
    <col min="8147" max="8147" width="1.85546875" style="59" bestFit="1" customWidth="1"/>
    <col min="8148" max="8149" width="2" style="59" bestFit="1" customWidth="1"/>
    <col min="8150" max="8150" width="2.5703125" style="59" customWidth="1"/>
    <col min="8151" max="8151" width="2.28515625" style="59" bestFit="1" customWidth="1"/>
    <col min="8152" max="8152" width="11.42578125" style="59"/>
    <col min="8153" max="8153" width="1.85546875" style="59" bestFit="1" customWidth="1"/>
    <col min="8154" max="8154" width="2" style="59" bestFit="1" customWidth="1"/>
    <col min="8155" max="8156" width="0" style="59" hidden="1" customWidth="1"/>
    <col min="8157" max="8157" width="2.140625" style="59" customWidth="1"/>
    <col min="8158" max="8158" width="2.28515625" style="59" bestFit="1" customWidth="1"/>
    <col min="8159" max="8159" width="2" style="59" customWidth="1"/>
    <col min="8160" max="8160" width="1.7109375" style="59" bestFit="1" customWidth="1"/>
    <col min="8161" max="8402" width="11.42578125" style="59"/>
    <col min="8403" max="8403" width="1.85546875" style="59" bestFit="1" customWidth="1"/>
    <col min="8404" max="8405" width="2" style="59" bestFit="1" customWidth="1"/>
    <col min="8406" max="8406" width="2.5703125" style="59" customWidth="1"/>
    <col min="8407" max="8407" width="2.28515625" style="59" bestFit="1" customWidth="1"/>
    <col min="8408" max="8408" width="11.42578125" style="59"/>
    <col min="8409" max="8409" width="1.85546875" style="59" bestFit="1" customWidth="1"/>
    <col min="8410" max="8410" width="2" style="59" bestFit="1" customWidth="1"/>
    <col min="8411" max="8412" width="0" style="59" hidden="1" customWidth="1"/>
    <col min="8413" max="8413" width="2.140625" style="59" customWidth="1"/>
    <col min="8414" max="8414" width="2.28515625" style="59" bestFit="1" customWidth="1"/>
    <col min="8415" max="8415" width="2" style="59" customWidth="1"/>
    <col min="8416" max="8416" width="1.7109375" style="59" bestFit="1" customWidth="1"/>
    <col min="8417" max="8658" width="11.42578125" style="59"/>
    <col min="8659" max="8659" width="1.85546875" style="59" bestFit="1" customWidth="1"/>
    <col min="8660" max="8661" width="2" style="59" bestFit="1" customWidth="1"/>
    <col min="8662" max="8662" width="2.5703125" style="59" customWidth="1"/>
    <col min="8663" max="8663" width="2.28515625" style="59" bestFit="1" customWidth="1"/>
    <col min="8664" max="8664" width="11.42578125" style="59"/>
    <col min="8665" max="8665" width="1.85546875" style="59" bestFit="1" customWidth="1"/>
    <col min="8666" max="8666" width="2" style="59" bestFit="1" customWidth="1"/>
    <col min="8667" max="8668" width="0" style="59" hidden="1" customWidth="1"/>
    <col min="8669" max="8669" width="2.140625" style="59" customWidth="1"/>
    <col min="8670" max="8670" width="2.28515625" style="59" bestFit="1" customWidth="1"/>
    <col min="8671" max="8671" width="2" style="59" customWidth="1"/>
    <col min="8672" max="8672" width="1.7109375" style="59" bestFit="1" customWidth="1"/>
    <col min="8673" max="8914" width="11.42578125" style="59"/>
    <col min="8915" max="8915" width="1.85546875" style="59" bestFit="1" customWidth="1"/>
    <col min="8916" max="8917" width="2" style="59" bestFit="1" customWidth="1"/>
    <col min="8918" max="8918" width="2.5703125" style="59" customWidth="1"/>
    <col min="8919" max="8919" width="2.28515625" style="59" bestFit="1" customWidth="1"/>
    <col min="8920" max="8920" width="11.42578125" style="59"/>
    <col min="8921" max="8921" width="1.85546875" style="59" bestFit="1" customWidth="1"/>
    <col min="8922" max="8922" width="2" style="59" bestFit="1" customWidth="1"/>
    <col min="8923" max="8924" width="0" style="59" hidden="1" customWidth="1"/>
    <col min="8925" max="8925" width="2.140625" style="59" customWidth="1"/>
    <col min="8926" max="8926" width="2.28515625" style="59" bestFit="1" customWidth="1"/>
    <col min="8927" max="8927" width="2" style="59" customWidth="1"/>
    <col min="8928" max="8928" width="1.7109375" style="59" bestFit="1" customWidth="1"/>
    <col min="8929" max="9170" width="11.42578125" style="59"/>
    <col min="9171" max="9171" width="1.85546875" style="59" bestFit="1" customWidth="1"/>
    <col min="9172" max="9173" width="2" style="59" bestFit="1" customWidth="1"/>
    <col min="9174" max="9174" width="2.5703125" style="59" customWidth="1"/>
    <col min="9175" max="9175" width="2.28515625" style="59" bestFit="1" customWidth="1"/>
    <col min="9176" max="9176" width="11.42578125" style="59"/>
    <col min="9177" max="9177" width="1.85546875" style="59" bestFit="1" customWidth="1"/>
    <col min="9178" max="9178" width="2" style="59" bestFit="1" customWidth="1"/>
    <col min="9179" max="9180" width="0" style="59" hidden="1" customWidth="1"/>
    <col min="9181" max="9181" width="2.140625" style="59" customWidth="1"/>
    <col min="9182" max="9182" width="2.28515625" style="59" bestFit="1" customWidth="1"/>
    <col min="9183" max="9183" width="2" style="59" customWidth="1"/>
    <col min="9184" max="9184" width="1.7109375" style="59" bestFit="1" customWidth="1"/>
    <col min="9185" max="9426" width="11.42578125" style="59"/>
    <col min="9427" max="9427" width="1.85546875" style="59" bestFit="1" customWidth="1"/>
    <col min="9428" max="9429" width="2" style="59" bestFit="1" customWidth="1"/>
    <col min="9430" max="9430" width="2.5703125" style="59" customWidth="1"/>
    <col min="9431" max="9431" width="2.28515625" style="59" bestFit="1" customWidth="1"/>
    <col min="9432" max="9432" width="11.42578125" style="59"/>
    <col min="9433" max="9433" width="1.85546875" style="59" bestFit="1" customWidth="1"/>
    <col min="9434" max="9434" width="2" style="59" bestFit="1" customWidth="1"/>
    <col min="9435" max="9436" width="0" style="59" hidden="1" customWidth="1"/>
    <col min="9437" max="9437" width="2.140625" style="59" customWidth="1"/>
    <col min="9438" max="9438" width="2.28515625" style="59" bestFit="1" customWidth="1"/>
    <col min="9439" max="9439" width="2" style="59" customWidth="1"/>
    <col min="9440" max="9440" width="1.7109375" style="59" bestFit="1" customWidth="1"/>
    <col min="9441" max="9682" width="11.42578125" style="59"/>
    <col min="9683" max="9683" width="1.85546875" style="59" bestFit="1" customWidth="1"/>
    <col min="9684" max="9685" width="2" style="59" bestFit="1" customWidth="1"/>
    <col min="9686" max="9686" width="2.5703125" style="59" customWidth="1"/>
    <col min="9687" max="9687" width="2.28515625" style="59" bestFit="1" customWidth="1"/>
    <col min="9688" max="9688" width="11.42578125" style="59"/>
    <col min="9689" max="9689" width="1.85546875" style="59" bestFit="1" customWidth="1"/>
    <col min="9690" max="9690" width="2" style="59" bestFit="1" customWidth="1"/>
    <col min="9691" max="9692" width="0" style="59" hidden="1" customWidth="1"/>
    <col min="9693" max="9693" width="2.140625" style="59" customWidth="1"/>
    <col min="9694" max="9694" width="2.28515625" style="59" bestFit="1" customWidth="1"/>
    <col min="9695" max="9695" width="2" style="59" customWidth="1"/>
    <col min="9696" max="9696" width="1.7109375" style="59" bestFit="1" customWidth="1"/>
    <col min="9697" max="9938" width="11.42578125" style="59"/>
    <col min="9939" max="9939" width="1.85546875" style="59" bestFit="1" customWidth="1"/>
    <col min="9940" max="9941" width="2" style="59" bestFit="1" customWidth="1"/>
    <col min="9942" max="9942" width="2.5703125" style="59" customWidth="1"/>
    <col min="9943" max="9943" width="2.28515625" style="59" bestFit="1" customWidth="1"/>
    <col min="9944" max="9944" width="11.42578125" style="59"/>
    <col min="9945" max="9945" width="1.85546875" style="59" bestFit="1" customWidth="1"/>
    <col min="9946" max="9946" width="2" style="59" bestFit="1" customWidth="1"/>
    <col min="9947" max="9948" width="0" style="59" hidden="1" customWidth="1"/>
    <col min="9949" max="9949" width="2.140625" style="59" customWidth="1"/>
    <col min="9950" max="9950" width="2.28515625" style="59" bestFit="1" customWidth="1"/>
    <col min="9951" max="9951" width="2" style="59" customWidth="1"/>
    <col min="9952" max="9952" width="1.7109375" style="59" bestFit="1" customWidth="1"/>
    <col min="9953" max="10194" width="11.42578125" style="59"/>
    <col min="10195" max="10195" width="1.85546875" style="59" bestFit="1" customWidth="1"/>
    <col min="10196" max="10197" width="2" style="59" bestFit="1" customWidth="1"/>
    <col min="10198" max="10198" width="2.5703125" style="59" customWidth="1"/>
    <col min="10199" max="10199" width="2.28515625" style="59" bestFit="1" customWidth="1"/>
    <col min="10200" max="10200" width="11.42578125" style="59"/>
    <col min="10201" max="10201" width="1.85546875" style="59" bestFit="1" customWidth="1"/>
    <col min="10202" max="10202" width="2" style="59" bestFit="1" customWidth="1"/>
    <col min="10203" max="10204" width="0" style="59" hidden="1" customWidth="1"/>
    <col min="10205" max="10205" width="2.140625" style="59" customWidth="1"/>
    <col min="10206" max="10206" width="2.28515625" style="59" bestFit="1" customWidth="1"/>
    <col min="10207" max="10207" width="2" style="59" customWidth="1"/>
    <col min="10208" max="10208" width="1.7109375" style="59" bestFit="1" customWidth="1"/>
    <col min="10209" max="10450" width="11.42578125" style="59"/>
    <col min="10451" max="10451" width="1.85546875" style="59" bestFit="1" customWidth="1"/>
    <col min="10452" max="10453" width="2" style="59" bestFit="1" customWidth="1"/>
    <col min="10454" max="10454" width="2.5703125" style="59" customWidth="1"/>
    <col min="10455" max="10455" width="2.28515625" style="59" bestFit="1" customWidth="1"/>
    <col min="10456" max="10456" width="11.42578125" style="59"/>
    <col min="10457" max="10457" width="1.85546875" style="59" bestFit="1" customWidth="1"/>
    <col min="10458" max="10458" width="2" style="59" bestFit="1" customWidth="1"/>
    <col min="10459" max="10460" width="0" style="59" hidden="1" customWidth="1"/>
    <col min="10461" max="10461" width="2.140625" style="59" customWidth="1"/>
    <col min="10462" max="10462" width="2.28515625" style="59" bestFit="1" customWidth="1"/>
    <col min="10463" max="10463" width="2" style="59" customWidth="1"/>
    <col min="10464" max="10464" width="1.7109375" style="59" bestFit="1" customWidth="1"/>
    <col min="10465" max="10706" width="11.42578125" style="59"/>
    <col min="10707" max="10707" width="1.85546875" style="59" bestFit="1" customWidth="1"/>
    <col min="10708" max="10709" width="2" style="59" bestFit="1" customWidth="1"/>
    <col min="10710" max="10710" width="2.5703125" style="59" customWidth="1"/>
    <col min="10711" max="10711" width="2.28515625" style="59" bestFit="1" customWidth="1"/>
    <col min="10712" max="10712" width="11.42578125" style="59"/>
    <col min="10713" max="10713" width="1.85546875" style="59" bestFit="1" customWidth="1"/>
    <col min="10714" max="10714" width="2" style="59" bestFit="1" customWidth="1"/>
    <col min="10715" max="10716" width="0" style="59" hidden="1" customWidth="1"/>
    <col min="10717" max="10717" width="2.140625" style="59" customWidth="1"/>
    <col min="10718" max="10718" width="2.28515625" style="59" bestFit="1" customWidth="1"/>
    <col min="10719" max="10719" width="2" style="59" customWidth="1"/>
    <col min="10720" max="10720" width="1.7109375" style="59" bestFit="1" customWidth="1"/>
    <col min="10721" max="10962" width="11.42578125" style="59"/>
    <col min="10963" max="10963" width="1.85546875" style="59" bestFit="1" customWidth="1"/>
    <col min="10964" max="10965" width="2" style="59" bestFit="1" customWidth="1"/>
    <col min="10966" max="10966" width="2.5703125" style="59" customWidth="1"/>
    <col min="10967" max="10967" width="2.28515625" style="59" bestFit="1" customWidth="1"/>
    <col min="10968" max="10968" width="11.42578125" style="59"/>
    <col min="10969" max="10969" width="1.85546875" style="59" bestFit="1" customWidth="1"/>
    <col min="10970" max="10970" width="2" style="59" bestFit="1" customWidth="1"/>
    <col min="10971" max="10972" width="0" style="59" hidden="1" customWidth="1"/>
    <col min="10973" max="10973" width="2.140625" style="59" customWidth="1"/>
    <col min="10974" max="10974" width="2.28515625" style="59" bestFit="1" customWidth="1"/>
    <col min="10975" max="10975" width="2" style="59" customWidth="1"/>
    <col min="10976" max="10976" width="1.7109375" style="59" bestFit="1" customWidth="1"/>
    <col min="10977" max="11218" width="11.42578125" style="59"/>
    <col min="11219" max="11219" width="1.85546875" style="59" bestFit="1" customWidth="1"/>
    <col min="11220" max="11221" width="2" style="59" bestFit="1" customWidth="1"/>
    <col min="11222" max="11222" width="2.5703125" style="59" customWidth="1"/>
    <col min="11223" max="11223" width="2.28515625" style="59" bestFit="1" customWidth="1"/>
    <col min="11224" max="11224" width="11.42578125" style="59"/>
    <col min="11225" max="11225" width="1.85546875" style="59" bestFit="1" customWidth="1"/>
    <col min="11226" max="11226" width="2" style="59" bestFit="1" customWidth="1"/>
    <col min="11227" max="11228" width="0" style="59" hidden="1" customWidth="1"/>
    <col min="11229" max="11229" width="2.140625" style="59" customWidth="1"/>
    <col min="11230" max="11230" width="2.28515625" style="59" bestFit="1" customWidth="1"/>
    <col min="11231" max="11231" width="2" style="59" customWidth="1"/>
    <col min="11232" max="11232" width="1.7109375" style="59" bestFit="1" customWidth="1"/>
    <col min="11233" max="11474" width="11.42578125" style="59"/>
    <col min="11475" max="11475" width="1.85546875" style="59" bestFit="1" customWidth="1"/>
    <col min="11476" max="11477" width="2" style="59" bestFit="1" customWidth="1"/>
    <col min="11478" max="11478" width="2.5703125" style="59" customWidth="1"/>
    <col min="11479" max="11479" width="2.28515625" style="59" bestFit="1" customWidth="1"/>
    <col min="11480" max="11480" width="11.42578125" style="59"/>
    <col min="11481" max="11481" width="1.85546875" style="59" bestFit="1" customWidth="1"/>
    <col min="11482" max="11482" width="2" style="59" bestFit="1" customWidth="1"/>
    <col min="11483" max="11484" width="0" style="59" hidden="1" customWidth="1"/>
    <col min="11485" max="11485" width="2.140625" style="59" customWidth="1"/>
    <col min="11486" max="11486" width="2.28515625" style="59" bestFit="1" customWidth="1"/>
    <col min="11487" max="11487" width="2" style="59" customWidth="1"/>
    <col min="11488" max="11488" width="1.7109375" style="59" bestFit="1" customWidth="1"/>
    <col min="11489" max="11730" width="11.42578125" style="59"/>
    <col min="11731" max="11731" width="1.85546875" style="59" bestFit="1" customWidth="1"/>
    <col min="11732" max="11733" width="2" style="59" bestFit="1" customWidth="1"/>
    <col min="11734" max="11734" width="2.5703125" style="59" customWidth="1"/>
    <col min="11735" max="11735" width="2.28515625" style="59" bestFit="1" customWidth="1"/>
    <col min="11736" max="11736" width="11.42578125" style="59"/>
    <col min="11737" max="11737" width="1.85546875" style="59" bestFit="1" customWidth="1"/>
    <col min="11738" max="11738" width="2" style="59" bestFit="1" customWidth="1"/>
    <col min="11739" max="11740" width="0" style="59" hidden="1" customWidth="1"/>
    <col min="11741" max="11741" width="2.140625" style="59" customWidth="1"/>
    <col min="11742" max="11742" width="2.28515625" style="59" bestFit="1" customWidth="1"/>
    <col min="11743" max="11743" width="2" style="59" customWidth="1"/>
    <col min="11744" max="11744" width="1.7109375" style="59" bestFit="1" customWidth="1"/>
    <col min="11745" max="11986" width="11.42578125" style="59"/>
    <col min="11987" max="11987" width="1.85546875" style="59" bestFit="1" customWidth="1"/>
    <col min="11988" max="11989" width="2" style="59" bestFit="1" customWidth="1"/>
    <col min="11990" max="11990" width="2.5703125" style="59" customWidth="1"/>
    <col min="11991" max="11991" width="2.28515625" style="59" bestFit="1" customWidth="1"/>
    <col min="11992" max="11992" width="11.42578125" style="59"/>
    <col min="11993" max="11993" width="1.85546875" style="59" bestFit="1" customWidth="1"/>
    <col min="11994" max="11994" width="2" style="59" bestFit="1" customWidth="1"/>
    <col min="11995" max="11996" width="0" style="59" hidden="1" customWidth="1"/>
    <col min="11997" max="11997" width="2.140625" style="59" customWidth="1"/>
    <col min="11998" max="11998" width="2.28515625" style="59" bestFit="1" customWidth="1"/>
    <col min="11999" max="11999" width="2" style="59" customWidth="1"/>
    <col min="12000" max="12000" width="1.7109375" style="59" bestFit="1" customWidth="1"/>
    <col min="12001" max="12242" width="11.42578125" style="59"/>
    <col min="12243" max="12243" width="1.85546875" style="59" bestFit="1" customWidth="1"/>
    <col min="12244" max="12245" width="2" style="59" bestFit="1" customWidth="1"/>
    <col min="12246" max="12246" width="2.5703125" style="59" customWidth="1"/>
    <col min="12247" max="12247" width="2.28515625" style="59" bestFit="1" customWidth="1"/>
    <col min="12248" max="12248" width="11.42578125" style="59"/>
    <col min="12249" max="12249" width="1.85546875" style="59" bestFit="1" customWidth="1"/>
    <col min="12250" max="12250" width="2" style="59" bestFit="1" customWidth="1"/>
    <col min="12251" max="12252" width="0" style="59" hidden="1" customWidth="1"/>
    <col min="12253" max="12253" width="2.140625" style="59" customWidth="1"/>
    <col min="12254" max="12254" width="2.28515625" style="59" bestFit="1" customWidth="1"/>
    <col min="12255" max="12255" width="2" style="59" customWidth="1"/>
    <col min="12256" max="12256" width="1.7109375" style="59" bestFit="1" customWidth="1"/>
    <col min="12257" max="12498" width="11.42578125" style="59"/>
    <col min="12499" max="12499" width="1.85546875" style="59" bestFit="1" customWidth="1"/>
    <col min="12500" max="12501" width="2" style="59" bestFit="1" customWidth="1"/>
    <col min="12502" max="12502" width="2.5703125" style="59" customWidth="1"/>
    <col min="12503" max="12503" width="2.28515625" style="59" bestFit="1" customWidth="1"/>
    <col min="12504" max="12504" width="11.42578125" style="59"/>
    <col min="12505" max="12505" width="1.85546875" style="59" bestFit="1" customWidth="1"/>
    <col min="12506" max="12506" width="2" style="59" bestFit="1" customWidth="1"/>
    <col min="12507" max="12508" width="0" style="59" hidden="1" customWidth="1"/>
    <col min="12509" max="12509" width="2.140625" style="59" customWidth="1"/>
    <col min="12510" max="12510" width="2.28515625" style="59" bestFit="1" customWidth="1"/>
    <col min="12511" max="12511" width="2" style="59" customWidth="1"/>
    <col min="12512" max="12512" width="1.7109375" style="59" bestFit="1" customWidth="1"/>
    <col min="12513" max="12754" width="11.42578125" style="59"/>
    <col min="12755" max="12755" width="1.85546875" style="59" bestFit="1" customWidth="1"/>
    <col min="12756" max="12757" width="2" style="59" bestFit="1" customWidth="1"/>
    <col min="12758" max="12758" width="2.5703125" style="59" customWidth="1"/>
    <col min="12759" max="12759" width="2.28515625" style="59" bestFit="1" customWidth="1"/>
    <col min="12760" max="12760" width="11.42578125" style="59"/>
    <col min="12761" max="12761" width="1.85546875" style="59" bestFit="1" customWidth="1"/>
    <col min="12762" max="12762" width="2" style="59" bestFit="1" customWidth="1"/>
    <col min="12763" max="12764" width="0" style="59" hidden="1" customWidth="1"/>
    <col min="12765" max="12765" width="2.140625" style="59" customWidth="1"/>
    <col min="12766" max="12766" width="2.28515625" style="59" bestFit="1" customWidth="1"/>
    <col min="12767" max="12767" width="2" style="59" customWidth="1"/>
    <col min="12768" max="12768" width="1.7109375" style="59" bestFit="1" customWidth="1"/>
    <col min="12769" max="13010" width="11.42578125" style="59"/>
    <col min="13011" max="13011" width="1.85546875" style="59" bestFit="1" customWidth="1"/>
    <col min="13012" max="13013" width="2" style="59" bestFit="1" customWidth="1"/>
    <col min="13014" max="13014" width="2.5703125" style="59" customWidth="1"/>
    <col min="13015" max="13015" width="2.28515625" style="59" bestFit="1" customWidth="1"/>
    <col min="13016" max="13016" width="11.42578125" style="59"/>
    <col min="13017" max="13017" width="1.85546875" style="59" bestFit="1" customWidth="1"/>
    <col min="13018" max="13018" width="2" style="59" bestFit="1" customWidth="1"/>
    <col min="13019" max="13020" width="0" style="59" hidden="1" customWidth="1"/>
    <col min="13021" max="13021" width="2.140625" style="59" customWidth="1"/>
    <col min="13022" max="13022" width="2.28515625" style="59" bestFit="1" customWidth="1"/>
    <col min="13023" max="13023" width="2" style="59" customWidth="1"/>
    <col min="13024" max="13024" width="1.7109375" style="59" bestFit="1" customWidth="1"/>
    <col min="13025" max="13266" width="11.42578125" style="59"/>
    <col min="13267" max="13267" width="1.85546875" style="59" bestFit="1" customWidth="1"/>
    <col min="13268" max="13269" width="2" style="59" bestFit="1" customWidth="1"/>
    <col min="13270" max="13270" width="2.5703125" style="59" customWidth="1"/>
    <col min="13271" max="13271" width="2.28515625" style="59" bestFit="1" customWidth="1"/>
    <col min="13272" max="13272" width="11.42578125" style="59"/>
    <col min="13273" max="13273" width="1.85546875" style="59" bestFit="1" customWidth="1"/>
    <col min="13274" max="13274" width="2" style="59" bestFit="1" customWidth="1"/>
    <col min="13275" max="13276" width="0" style="59" hidden="1" customWidth="1"/>
    <col min="13277" max="13277" width="2.140625" style="59" customWidth="1"/>
    <col min="13278" max="13278" width="2.28515625" style="59" bestFit="1" customWidth="1"/>
    <col min="13279" max="13279" width="2" style="59" customWidth="1"/>
    <col min="13280" max="13280" width="1.7109375" style="59" bestFit="1" customWidth="1"/>
    <col min="13281" max="13522" width="11.42578125" style="59"/>
    <col min="13523" max="13523" width="1.85546875" style="59" bestFit="1" customWidth="1"/>
    <col min="13524" max="13525" width="2" style="59" bestFit="1" customWidth="1"/>
    <col min="13526" max="13526" width="2.5703125" style="59" customWidth="1"/>
    <col min="13527" max="13527" width="2.28515625" style="59" bestFit="1" customWidth="1"/>
    <col min="13528" max="13528" width="11.42578125" style="59"/>
    <col min="13529" max="13529" width="1.85546875" style="59" bestFit="1" customWidth="1"/>
    <col min="13530" max="13530" width="2" style="59" bestFit="1" customWidth="1"/>
    <col min="13531" max="13532" width="0" style="59" hidden="1" customWidth="1"/>
    <col min="13533" max="13533" width="2.140625" style="59" customWidth="1"/>
    <col min="13534" max="13534" width="2.28515625" style="59" bestFit="1" customWidth="1"/>
    <col min="13535" max="13535" width="2" style="59" customWidth="1"/>
    <col min="13536" max="13536" width="1.7109375" style="59" bestFit="1" customWidth="1"/>
    <col min="13537" max="13778" width="11.42578125" style="59"/>
    <col min="13779" max="13779" width="1.85546875" style="59" bestFit="1" customWidth="1"/>
    <col min="13780" max="13781" width="2" style="59" bestFit="1" customWidth="1"/>
    <col min="13782" max="13782" width="2.5703125" style="59" customWidth="1"/>
    <col min="13783" max="13783" width="2.28515625" style="59" bestFit="1" customWidth="1"/>
    <col min="13784" max="13784" width="11.42578125" style="59"/>
    <col min="13785" max="13785" width="1.85546875" style="59" bestFit="1" customWidth="1"/>
    <col min="13786" max="13786" width="2" style="59" bestFit="1" customWidth="1"/>
    <col min="13787" max="13788" width="0" style="59" hidden="1" customWidth="1"/>
    <col min="13789" max="13789" width="2.140625" style="59" customWidth="1"/>
    <col min="13790" max="13790" width="2.28515625" style="59" bestFit="1" customWidth="1"/>
    <col min="13791" max="13791" width="2" style="59" customWidth="1"/>
    <col min="13792" max="13792" width="1.7109375" style="59" bestFit="1" customWidth="1"/>
    <col min="13793" max="14034" width="11.42578125" style="59"/>
    <col min="14035" max="14035" width="1.85546875" style="59" bestFit="1" customWidth="1"/>
    <col min="14036" max="14037" width="2" style="59" bestFit="1" customWidth="1"/>
    <col min="14038" max="14038" width="2.5703125" style="59" customWidth="1"/>
    <col min="14039" max="14039" width="2.28515625" style="59" bestFit="1" customWidth="1"/>
    <col min="14040" max="14040" width="11.42578125" style="59"/>
    <col min="14041" max="14041" width="1.85546875" style="59" bestFit="1" customWidth="1"/>
    <col min="14042" max="14042" width="2" style="59" bestFit="1" customWidth="1"/>
    <col min="14043" max="14044" width="0" style="59" hidden="1" customWidth="1"/>
    <col min="14045" max="14045" width="2.140625" style="59" customWidth="1"/>
    <col min="14046" max="14046" width="2.28515625" style="59" bestFit="1" customWidth="1"/>
    <col min="14047" max="14047" width="2" style="59" customWidth="1"/>
    <col min="14048" max="14048" width="1.7109375" style="59" bestFit="1" customWidth="1"/>
    <col min="14049" max="14290" width="11.42578125" style="59"/>
    <col min="14291" max="14291" width="1.85546875" style="59" bestFit="1" customWidth="1"/>
    <col min="14292" max="14293" width="2" style="59" bestFit="1" customWidth="1"/>
    <col min="14294" max="14294" width="2.5703125" style="59" customWidth="1"/>
    <col min="14295" max="14295" width="2.28515625" style="59" bestFit="1" customWidth="1"/>
    <col min="14296" max="14296" width="11.42578125" style="59"/>
    <col min="14297" max="14297" width="1.85546875" style="59" bestFit="1" customWidth="1"/>
    <col min="14298" max="14298" width="2" style="59" bestFit="1" customWidth="1"/>
    <col min="14299" max="14300" width="0" style="59" hidden="1" customWidth="1"/>
    <col min="14301" max="14301" width="2.140625" style="59" customWidth="1"/>
    <col min="14302" max="14302" width="2.28515625" style="59" bestFit="1" customWidth="1"/>
    <col min="14303" max="14303" width="2" style="59" customWidth="1"/>
    <col min="14304" max="14304" width="1.7109375" style="59" bestFit="1" customWidth="1"/>
    <col min="14305" max="14546" width="11.42578125" style="59"/>
    <col min="14547" max="14547" width="1.85546875" style="59" bestFit="1" customWidth="1"/>
    <col min="14548" max="14549" width="2" style="59" bestFit="1" customWidth="1"/>
    <col min="14550" max="14550" width="2.5703125" style="59" customWidth="1"/>
    <col min="14551" max="14551" width="2.28515625" style="59" bestFit="1" customWidth="1"/>
    <col min="14552" max="14552" width="11.42578125" style="59"/>
    <col min="14553" max="14553" width="1.85546875" style="59" bestFit="1" customWidth="1"/>
    <col min="14554" max="14554" width="2" style="59" bestFit="1" customWidth="1"/>
    <col min="14555" max="14556" width="0" style="59" hidden="1" customWidth="1"/>
    <col min="14557" max="14557" width="2.140625" style="59" customWidth="1"/>
    <col min="14558" max="14558" width="2.28515625" style="59" bestFit="1" customWidth="1"/>
    <col min="14559" max="14559" width="2" style="59" customWidth="1"/>
    <col min="14560" max="14560" width="1.7109375" style="59" bestFit="1" customWidth="1"/>
    <col min="14561" max="14802" width="11.42578125" style="59"/>
    <col min="14803" max="14803" width="1.85546875" style="59" bestFit="1" customWidth="1"/>
    <col min="14804" max="14805" width="2" style="59" bestFit="1" customWidth="1"/>
    <col min="14806" max="14806" width="2.5703125" style="59" customWidth="1"/>
    <col min="14807" max="14807" width="2.28515625" style="59" bestFit="1" customWidth="1"/>
    <col min="14808" max="14808" width="11.42578125" style="59"/>
    <col min="14809" max="14809" width="1.85546875" style="59" bestFit="1" customWidth="1"/>
    <col min="14810" max="14810" width="2" style="59" bestFit="1" customWidth="1"/>
    <col min="14811" max="14812" width="0" style="59" hidden="1" customWidth="1"/>
    <col min="14813" max="14813" width="2.140625" style="59" customWidth="1"/>
    <col min="14814" max="14814" width="2.28515625" style="59" bestFit="1" customWidth="1"/>
    <col min="14815" max="14815" width="2" style="59" customWidth="1"/>
    <col min="14816" max="14816" width="1.7109375" style="59" bestFit="1" customWidth="1"/>
    <col min="14817" max="15058" width="11.42578125" style="59"/>
    <col min="15059" max="15059" width="1.85546875" style="59" bestFit="1" customWidth="1"/>
    <col min="15060" max="15061" width="2" style="59" bestFit="1" customWidth="1"/>
    <col min="15062" max="15062" width="2.5703125" style="59" customWidth="1"/>
    <col min="15063" max="15063" width="2.28515625" style="59" bestFit="1" customWidth="1"/>
    <col min="15064" max="15064" width="11.42578125" style="59"/>
    <col min="15065" max="15065" width="1.85546875" style="59" bestFit="1" customWidth="1"/>
    <col min="15066" max="15066" width="2" style="59" bestFit="1" customWidth="1"/>
    <col min="15067" max="15068" width="0" style="59" hidden="1" customWidth="1"/>
    <col min="15069" max="15069" width="2.140625" style="59" customWidth="1"/>
    <col min="15070" max="15070" width="2.28515625" style="59" bestFit="1" customWidth="1"/>
    <col min="15071" max="15071" width="2" style="59" customWidth="1"/>
    <col min="15072" max="15072" width="1.7109375" style="59" bestFit="1" customWidth="1"/>
    <col min="15073" max="15314" width="11.42578125" style="59"/>
    <col min="15315" max="15315" width="1.85546875" style="59" bestFit="1" customWidth="1"/>
    <col min="15316" max="15317" width="2" style="59" bestFit="1" customWidth="1"/>
    <col min="15318" max="15318" width="2.5703125" style="59" customWidth="1"/>
    <col min="15319" max="15319" width="2.28515625" style="59" bestFit="1" customWidth="1"/>
    <col min="15320" max="15320" width="11.42578125" style="59"/>
    <col min="15321" max="15321" width="1.85546875" style="59" bestFit="1" customWidth="1"/>
    <col min="15322" max="15322" width="2" style="59" bestFit="1" customWidth="1"/>
    <col min="15323" max="15324" width="0" style="59" hidden="1" customWidth="1"/>
    <col min="15325" max="15325" width="2.140625" style="59" customWidth="1"/>
    <col min="15326" max="15326" width="2.28515625" style="59" bestFit="1" customWidth="1"/>
    <col min="15327" max="15327" width="2" style="59" customWidth="1"/>
    <col min="15328" max="15328" width="1.7109375" style="59" bestFit="1" customWidth="1"/>
    <col min="15329" max="15570" width="11.42578125" style="59"/>
    <col min="15571" max="15571" width="1.85546875" style="59" bestFit="1" customWidth="1"/>
    <col min="15572" max="15573" width="2" style="59" bestFit="1" customWidth="1"/>
    <col min="15574" max="15574" width="2.5703125" style="59" customWidth="1"/>
    <col min="15575" max="15575" width="2.28515625" style="59" bestFit="1" customWidth="1"/>
    <col min="15576" max="15576" width="11.42578125" style="59"/>
    <col min="15577" max="15577" width="1.85546875" style="59" bestFit="1" customWidth="1"/>
    <col min="15578" max="15578" width="2" style="59" bestFit="1" customWidth="1"/>
    <col min="15579" max="15580" width="0" style="59" hidden="1" customWidth="1"/>
    <col min="15581" max="15581" width="2.140625" style="59" customWidth="1"/>
    <col min="15582" max="15582" width="2.28515625" style="59" bestFit="1" customWidth="1"/>
    <col min="15583" max="15583" width="2" style="59" customWidth="1"/>
    <col min="15584" max="15584" width="1.7109375" style="59" bestFit="1" customWidth="1"/>
    <col min="15585" max="15826" width="11.42578125" style="59"/>
    <col min="15827" max="15827" width="1.85546875" style="59" bestFit="1" customWidth="1"/>
    <col min="15828" max="15829" width="2" style="59" bestFit="1" customWidth="1"/>
    <col min="15830" max="15830" width="2.5703125" style="59" customWidth="1"/>
    <col min="15831" max="15831" width="2.28515625" style="59" bestFit="1" customWidth="1"/>
    <col min="15832" max="15832" width="11.42578125" style="59"/>
    <col min="15833" max="15833" width="1.85546875" style="59" bestFit="1" customWidth="1"/>
    <col min="15834" max="15834" width="2" style="59" bestFit="1" customWidth="1"/>
    <col min="15835" max="15836" width="0" style="59" hidden="1" customWidth="1"/>
    <col min="15837" max="15837" width="2.140625" style="59" customWidth="1"/>
    <col min="15838" max="15838" width="2.28515625" style="59" bestFit="1" customWidth="1"/>
    <col min="15839" max="15839" width="2" style="59" customWidth="1"/>
    <col min="15840" max="15840" width="1.7109375" style="59" bestFit="1" customWidth="1"/>
    <col min="15841" max="16082" width="11.42578125" style="59"/>
    <col min="16083" max="16083" width="1.85546875" style="59" bestFit="1" customWidth="1"/>
    <col min="16084" max="16085" width="2" style="59" bestFit="1" customWidth="1"/>
    <col min="16086" max="16086" width="2.5703125" style="59" customWidth="1"/>
    <col min="16087" max="16087" width="2.28515625" style="59" bestFit="1" customWidth="1"/>
    <col min="16088" max="16088" width="11.42578125" style="59"/>
    <col min="16089" max="16089" width="1.85546875" style="59" bestFit="1" customWidth="1"/>
    <col min="16090" max="16090" width="2" style="59" bestFit="1" customWidth="1"/>
    <col min="16091" max="16092" width="0" style="59" hidden="1" customWidth="1"/>
    <col min="16093" max="16093" width="2.140625" style="59" customWidth="1"/>
    <col min="16094" max="16094" width="2.28515625" style="59" bestFit="1" customWidth="1"/>
    <col min="16095" max="16095" width="2" style="59" customWidth="1"/>
    <col min="16096" max="16096" width="1.7109375" style="59" bestFit="1" customWidth="1"/>
    <col min="16097" max="16384" width="11.42578125" style="59"/>
  </cols>
  <sheetData>
    <row r="1" spans="7:8">
      <c r="G1" s="81"/>
      <c r="H1" s="81"/>
    </row>
    <row r="2" spans="7:8">
      <c r="G2" s="81"/>
      <c r="H2" s="81"/>
    </row>
    <row r="3" spans="7:8">
      <c r="G3" s="81"/>
      <c r="H3" s="81"/>
    </row>
    <row r="4" spans="7:8">
      <c r="G4" s="81"/>
      <c r="H4" s="81"/>
    </row>
    <row r="5" spans="7:8">
      <c r="G5" s="81"/>
      <c r="H5" s="81"/>
    </row>
    <row r="6" spans="7:8">
      <c r="G6" s="81"/>
      <c r="H6" s="81"/>
    </row>
    <row r="7" spans="7:8">
      <c r="G7" s="81"/>
      <c r="H7" s="81"/>
    </row>
    <row r="8" spans="7:8">
      <c r="G8" s="81"/>
      <c r="H8" s="81"/>
    </row>
    <row r="9" spans="7:8">
      <c r="G9" s="81"/>
      <c r="H9" s="81"/>
    </row>
    <row r="10" spans="7:8" ht="13.5" customHeight="1">
      <c r="G10" s="81"/>
      <c r="H10" s="81"/>
    </row>
    <row r="11" spans="7:8">
      <c r="G11" s="81"/>
      <c r="H11" s="80"/>
    </row>
    <row r="12" spans="7:8">
      <c r="G12" s="81"/>
      <c r="H12" s="81"/>
    </row>
    <row r="13" spans="7:8">
      <c r="G13" s="81"/>
      <c r="H13" s="81"/>
    </row>
    <row r="14" spans="7:8">
      <c r="G14" s="81"/>
      <c r="H14" s="81"/>
    </row>
    <row r="15" spans="7:8" ht="18" customHeight="1">
      <c r="G15" s="81"/>
      <c r="H15" s="81"/>
    </row>
    <row r="16" spans="7:8">
      <c r="G16" s="81"/>
      <c r="H16" s="81"/>
    </row>
    <row r="17" spans="1:8">
      <c r="G17" s="81"/>
      <c r="H17" s="81"/>
    </row>
    <row r="18" spans="1:8">
      <c r="G18" s="81"/>
      <c r="H18" s="81"/>
    </row>
    <row r="19" spans="1:8">
      <c r="G19" s="81"/>
      <c r="H19" s="81"/>
    </row>
    <row r="20" spans="1:8">
      <c r="B20" s="159"/>
      <c r="C20" s="159"/>
      <c r="D20" s="159"/>
      <c r="G20" s="81"/>
      <c r="H20" s="81"/>
    </row>
    <row r="21" spans="1:8">
      <c r="B21" s="159"/>
      <c r="C21" s="159"/>
      <c r="D21" s="159"/>
      <c r="G21" s="81"/>
      <c r="H21" s="81"/>
    </row>
    <row r="22" spans="1:8">
      <c r="B22" s="159"/>
      <c r="C22" s="159"/>
      <c r="D22" s="159"/>
      <c r="G22" s="81"/>
      <c r="H22" s="81"/>
    </row>
    <row r="23" spans="1:8">
      <c r="B23" s="159"/>
      <c r="C23" s="159"/>
      <c r="D23" s="159"/>
      <c r="G23" s="81"/>
      <c r="H23" s="81"/>
    </row>
    <row r="24" spans="1:8">
      <c r="E24" s="159"/>
      <c r="G24" s="81"/>
      <c r="H24" s="81"/>
    </row>
    <row r="25" spans="1:8">
      <c r="E25" s="159"/>
      <c r="G25" s="81"/>
      <c r="H25" s="81"/>
    </row>
    <row r="26" spans="1:8">
      <c r="E26" s="159"/>
      <c r="G26" s="81"/>
      <c r="H26" s="81"/>
    </row>
    <row r="27" spans="1:8">
      <c r="B27" s="160"/>
      <c r="C27" s="161" t="s">
        <v>562</v>
      </c>
      <c r="D27" s="161" t="s">
        <v>563</v>
      </c>
      <c r="E27" s="159"/>
      <c r="G27" s="81"/>
      <c r="H27" s="81"/>
    </row>
    <row r="28" spans="1:8">
      <c r="A28" s="60"/>
      <c r="B28" s="162" t="s">
        <v>487</v>
      </c>
      <c r="C28" s="163">
        <f>MAYO!$P$1037</f>
        <v>1565834672</v>
      </c>
      <c r="D28" s="164">
        <f>C28</f>
        <v>1565834672</v>
      </c>
      <c r="E28" s="165"/>
      <c r="F28" s="60"/>
      <c r="G28" s="81"/>
      <c r="H28" s="81"/>
    </row>
    <row r="29" spans="1:8">
      <c r="A29" s="60"/>
      <c r="B29" s="162" t="s">
        <v>486</v>
      </c>
      <c r="C29" s="163">
        <f>MAYO!$Q$1037</f>
        <v>4018099064</v>
      </c>
      <c r="D29" s="164">
        <f>C28+C29</f>
        <v>5583933736</v>
      </c>
      <c r="E29" s="165"/>
      <c r="F29" s="60"/>
      <c r="G29" s="81"/>
      <c r="H29" s="81"/>
    </row>
    <row r="30" spans="1:8">
      <c r="A30" s="60"/>
      <c r="B30" s="162" t="s">
        <v>485</v>
      </c>
      <c r="C30" s="163">
        <f>MAYO!$R$1037</f>
        <v>7017538869</v>
      </c>
      <c r="D30" s="164">
        <f>D29+C30</f>
        <v>12601472605</v>
      </c>
      <c r="E30" s="165"/>
      <c r="F30" s="60"/>
      <c r="G30" s="81"/>
      <c r="H30" s="81"/>
    </row>
    <row r="31" spans="1:8">
      <c r="A31" s="60"/>
      <c r="B31" s="162" t="s">
        <v>484</v>
      </c>
      <c r="C31" s="143">
        <f>MAYO!$T$1037</f>
        <v>6449020874</v>
      </c>
      <c r="D31" s="164">
        <f>D30+C31</f>
        <v>19050493479</v>
      </c>
      <c r="E31" s="143"/>
      <c r="F31" s="60"/>
      <c r="G31" s="81"/>
      <c r="H31" s="81"/>
    </row>
    <row r="32" spans="1:8">
      <c r="A32" s="60"/>
      <c r="B32" s="162" t="s">
        <v>483</v>
      </c>
      <c r="C32" s="163">
        <f>MAYO!$U$1037</f>
        <v>7293396038</v>
      </c>
      <c r="D32" s="164">
        <f>D31+C32</f>
        <v>26343889517</v>
      </c>
      <c r="E32" s="141"/>
      <c r="F32" s="166"/>
      <c r="G32" s="81"/>
      <c r="H32" s="81"/>
    </row>
    <row r="33" spans="1:8">
      <c r="A33" s="60"/>
      <c r="B33" s="162" t="s">
        <v>482</v>
      </c>
      <c r="C33" s="163"/>
      <c r="D33" s="164"/>
      <c r="E33" s="60"/>
      <c r="F33" s="167"/>
      <c r="G33" s="168"/>
      <c r="H33" s="81"/>
    </row>
    <row r="34" spans="1:8">
      <c r="B34" s="162" t="s">
        <v>481</v>
      </c>
      <c r="C34" s="163"/>
      <c r="D34" s="164"/>
      <c r="E34" s="169"/>
      <c r="F34" s="60"/>
      <c r="G34" s="81"/>
      <c r="H34" s="81"/>
    </row>
    <row r="35" spans="1:8">
      <c r="B35" s="162" t="s">
        <v>480</v>
      </c>
      <c r="C35" s="163"/>
      <c r="D35" s="164"/>
      <c r="E35" s="169"/>
      <c r="F35" s="141"/>
      <c r="G35" s="81"/>
      <c r="H35" s="81"/>
    </row>
    <row r="36" spans="1:8">
      <c r="B36" s="162" t="s">
        <v>479</v>
      </c>
      <c r="C36" s="163"/>
      <c r="D36" s="164"/>
      <c r="E36" s="169"/>
      <c r="F36" s="60"/>
      <c r="G36" s="81"/>
      <c r="H36" s="81"/>
    </row>
    <row r="37" spans="1:8">
      <c r="B37" s="162" t="s">
        <v>478</v>
      </c>
      <c r="C37" s="163"/>
      <c r="D37" s="164"/>
      <c r="E37" s="142"/>
      <c r="F37" s="60"/>
      <c r="G37" s="81"/>
      <c r="H37" s="81"/>
    </row>
    <row r="38" spans="1:8">
      <c r="B38" s="162" t="s">
        <v>477</v>
      </c>
      <c r="C38" s="163"/>
      <c r="D38" s="164"/>
      <c r="E38" s="60"/>
      <c r="F38" s="60"/>
      <c r="G38" s="81"/>
      <c r="H38" s="81"/>
    </row>
    <row r="39" spans="1:8">
      <c r="B39" s="162" t="s">
        <v>525</v>
      </c>
      <c r="C39" s="163"/>
      <c r="D39" s="164"/>
      <c r="E39" s="143"/>
      <c r="F39" s="141"/>
      <c r="G39" s="81"/>
      <c r="H39" s="81"/>
    </row>
    <row r="40" spans="1:8">
      <c r="D40" s="60"/>
      <c r="E40" s="169"/>
      <c r="F40" s="60"/>
    </row>
    <row r="41" spans="1:8">
      <c r="B41" s="60"/>
      <c r="C41" s="60"/>
      <c r="D41" s="60"/>
      <c r="E41" s="60"/>
    </row>
    <row r="42" spans="1:8">
      <c r="F42" s="60"/>
    </row>
    <row r="43" spans="1:8">
      <c r="C43" s="60"/>
      <c r="D43" s="60"/>
      <c r="F43" s="60"/>
    </row>
    <row r="44" spans="1:8">
      <c r="D44" s="60"/>
      <c r="F44" s="60"/>
    </row>
    <row r="45" spans="1:8">
      <c r="B45" s="60"/>
      <c r="C45" s="60"/>
      <c r="D45" s="60"/>
    </row>
  </sheetData>
  <printOptions horizontalCentered="1" verticalCentered="1"/>
  <pageMargins left="1.3779527559055118" right="0.15748031496062992" top="1.4566929133858268" bottom="0.15748031496062992" header="0.62992125984251968" footer="0.15748031496062992"/>
  <pageSetup paperSize="5" scale="95" orientation="landscape" r:id="rId1"/>
  <headerFooter>
    <oddHeader>&amp;L&amp;G                              
&amp;C&amp;"-,Negrita"&amp;12FNDR 2018  MES DE JUNIO&amp;R&amp;9DIVISION DE PRESUPUESTO E 
INVERSION REGIONAL
&amp;D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8"/>
  <sheetViews>
    <sheetView workbookViewId="0">
      <selection activeCell="J28" sqref="J28"/>
    </sheetView>
  </sheetViews>
  <sheetFormatPr baseColWidth="10" defaultColWidth="11.42578125" defaultRowHeight="12.75"/>
  <cols>
    <col min="1" max="1" width="35.28515625" style="59" bestFit="1" customWidth="1"/>
    <col min="2" max="2" width="14.7109375" style="59" bestFit="1" customWidth="1"/>
    <col min="3" max="3" width="8.85546875" style="59" customWidth="1"/>
    <col min="4" max="5" width="14.7109375" style="59" bestFit="1" customWidth="1"/>
    <col min="6" max="6" width="14.7109375" style="59" customWidth="1"/>
    <col min="7" max="7" width="14.7109375" style="59" bestFit="1" customWidth="1"/>
    <col min="8" max="8" width="14.28515625" style="59" bestFit="1" customWidth="1"/>
    <col min="9" max="9" width="16.85546875" style="98" customWidth="1"/>
    <col min="10" max="247" width="11.42578125" style="59"/>
    <col min="248" max="248" width="5.28515625" style="59" bestFit="1" customWidth="1"/>
    <col min="249" max="249" width="2.140625" style="59" bestFit="1" customWidth="1"/>
    <col min="250" max="250" width="0.85546875" style="59" bestFit="1" customWidth="1"/>
    <col min="251" max="252" width="2" style="59" bestFit="1" customWidth="1"/>
    <col min="253" max="253" width="1.140625" style="59" bestFit="1" customWidth="1"/>
    <col min="254" max="254" width="2" style="59" bestFit="1" customWidth="1"/>
    <col min="255" max="255" width="2.140625" style="59" bestFit="1" customWidth="1"/>
    <col min="256" max="256" width="0.85546875" style="59" bestFit="1" customWidth="1"/>
    <col min="257" max="257" width="2" style="59" bestFit="1" customWidth="1"/>
    <col min="258" max="258" width="2.28515625" style="59" bestFit="1" customWidth="1"/>
    <col min="259" max="503" width="11.42578125" style="59"/>
    <col min="504" max="504" width="5.28515625" style="59" bestFit="1" customWidth="1"/>
    <col min="505" max="505" width="2.140625" style="59" bestFit="1" customWidth="1"/>
    <col min="506" max="506" width="0.85546875" style="59" bestFit="1" customWidth="1"/>
    <col min="507" max="508" width="2" style="59" bestFit="1" customWidth="1"/>
    <col min="509" max="509" width="1.140625" style="59" bestFit="1" customWidth="1"/>
    <col min="510" max="510" width="2" style="59" bestFit="1" customWidth="1"/>
    <col min="511" max="511" width="2.140625" style="59" bestFit="1" customWidth="1"/>
    <col min="512" max="512" width="0.85546875" style="59" bestFit="1" customWidth="1"/>
    <col min="513" max="513" width="2" style="59" bestFit="1" customWidth="1"/>
    <col min="514" max="514" width="2.28515625" style="59" bestFit="1" customWidth="1"/>
    <col min="515" max="759" width="11.42578125" style="59"/>
    <col min="760" max="760" width="5.28515625" style="59" bestFit="1" customWidth="1"/>
    <col min="761" max="761" width="2.140625" style="59" bestFit="1" customWidth="1"/>
    <col min="762" max="762" width="0.85546875" style="59" bestFit="1" customWidth="1"/>
    <col min="763" max="764" width="2" style="59" bestFit="1" customWidth="1"/>
    <col min="765" max="765" width="1.140625" style="59" bestFit="1" customWidth="1"/>
    <col min="766" max="766" width="2" style="59" bestFit="1" customWidth="1"/>
    <col min="767" max="767" width="2.140625" style="59" bestFit="1" customWidth="1"/>
    <col min="768" max="768" width="0.85546875" style="59" bestFit="1" customWidth="1"/>
    <col min="769" max="769" width="2" style="59" bestFit="1" customWidth="1"/>
    <col min="770" max="770" width="2.28515625" style="59" bestFit="1" customWidth="1"/>
    <col min="771" max="1015" width="11.42578125" style="59"/>
    <col min="1016" max="1016" width="5.28515625" style="59" bestFit="1" customWidth="1"/>
    <col min="1017" max="1017" width="2.140625" style="59" bestFit="1" customWidth="1"/>
    <col min="1018" max="1018" width="0.85546875" style="59" bestFit="1" customWidth="1"/>
    <col min="1019" max="1020" width="2" style="59" bestFit="1" customWidth="1"/>
    <col min="1021" max="1021" width="1.140625" style="59" bestFit="1" customWidth="1"/>
    <col min="1022" max="1022" width="2" style="59" bestFit="1" customWidth="1"/>
    <col min="1023" max="1023" width="2.140625" style="59" bestFit="1" customWidth="1"/>
    <col min="1024" max="1024" width="0.85546875" style="59" bestFit="1" customWidth="1"/>
    <col min="1025" max="1025" width="2" style="59" bestFit="1" customWidth="1"/>
    <col min="1026" max="1026" width="2.28515625" style="59" bestFit="1" customWidth="1"/>
    <col min="1027" max="1271" width="11.42578125" style="59"/>
    <col min="1272" max="1272" width="5.28515625" style="59" bestFit="1" customWidth="1"/>
    <col min="1273" max="1273" width="2.140625" style="59" bestFit="1" customWidth="1"/>
    <col min="1274" max="1274" width="0.85546875" style="59" bestFit="1" customWidth="1"/>
    <col min="1275" max="1276" width="2" style="59" bestFit="1" customWidth="1"/>
    <col min="1277" max="1277" width="1.140625" style="59" bestFit="1" customWidth="1"/>
    <col min="1278" max="1278" width="2" style="59" bestFit="1" customWidth="1"/>
    <col min="1279" max="1279" width="2.140625" style="59" bestFit="1" customWidth="1"/>
    <col min="1280" max="1280" width="0.85546875" style="59" bestFit="1" customWidth="1"/>
    <col min="1281" max="1281" width="2" style="59" bestFit="1" customWidth="1"/>
    <col min="1282" max="1282" width="2.28515625" style="59" bestFit="1" customWidth="1"/>
    <col min="1283" max="1527" width="11.42578125" style="59"/>
    <col min="1528" max="1528" width="5.28515625" style="59" bestFit="1" customWidth="1"/>
    <col min="1529" max="1529" width="2.140625" style="59" bestFit="1" customWidth="1"/>
    <col min="1530" max="1530" width="0.85546875" style="59" bestFit="1" customWidth="1"/>
    <col min="1531" max="1532" width="2" style="59" bestFit="1" customWidth="1"/>
    <col min="1533" max="1533" width="1.140625" style="59" bestFit="1" customWidth="1"/>
    <col min="1534" max="1534" width="2" style="59" bestFit="1" customWidth="1"/>
    <col min="1535" max="1535" width="2.140625" style="59" bestFit="1" customWidth="1"/>
    <col min="1536" max="1536" width="0.85546875" style="59" bestFit="1" customWidth="1"/>
    <col min="1537" max="1537" width="2" style="59" bestFit="1" customWidth="1"/>
    <col min="1538" max="1538" width="2.28515625" style="59" bestFit="1" customWidth="1"/>
    <col min="1539" max="1783" width="11.42578125" style="59"/>
    <col min="1784" max="1784" width="5.28515625" style="59" bestFit="1" customWidth="1"/>
    <col min="1785" max="1785" width="2.140625" style="59" bestFit="1" customWidth="1"/>
    <col min="1786" max="1786" width="0.85546875" style="59" bestFit="1" customWidth="1"/>
    <col min="1787" max="1788" width="2" style="59" bestFit="1" customWidth="1"/>
    <col min="1789" max="1789" width="1.140625" style="59" bestFit="1" customWidth="1"/>
    <col min="1790" max="1790" width="2" style="59" bestFit="1" customWidth="1"/>
    <col min="1791" max="1791" width="2.140625" style="59" bestFit="1" customWidth="1"/>
    <col min="1792" max="1792" width="0.85546875" style="59" bestFit="1" customWidth="1"/>
    <col min="1793" max="1793" width="2" style="59" bestFit="1" customWidth="1"/>
    <col min="1794" max="1794" width="2.28515625" style="59" bestFit="1" customWidth="1"/>
    <col min="1795" max="2039" width="11.42578125" style="59"/>
    <col min="2040" max="2040" width="5.28515625" style="59" bestFit="1" customWidth="1"/>
    <col min="2041" max="2041" width="2.140625" style="59" bestFit="1" customWidth="1"/>
    <col min="2042" max="2042" width="0.85546875" style="59" bestFit="1" customWidth="1"/>
    <col min="2043" max="2044" width="2" style="59" bestFit="1" customWidth="1"/>
    <col min="2045" max="2045" width="1.140625" style="59" bestFit="1" customWidth="1"/>
    <col min="2046" max="2046" width="2" style="59" bestFit="1" customWidth="1"/>
    <col min="2047" max="2047" width="2.140625" style="59" bestFit="1" customWidth="1"/>
    <col min="2048" max="2048" width="0.85546875" style="59" bestFit="1" customWidth="1"/>
    <col min="2049" max="2049" width="2" style="59" bestFit="1" customWidth="1"/>
    <col min="2050" max="2050" width="2.28515625" style="59" bestFit="1" customWidth="1"/>
    <col min="2051" max="2295" width="11.42578125" style="59"/>
    <col min="2296" max="2296" width="5.28515625" style="59" bestFit="1" customWidth="1"/>
    <col min="2297" max="2297" width="2.140625" style="59" bestFit="1" customWidth="1"/>
    <col min="2298" max="2298" width="0.85546875" style="59" bestFit="1" customWidth="1"/>
    <col min="2299" max="2300" width="2" style="59" bestFit="1" customWidth="1"/>
    <col min="2301" max="2301" width="1.140625" style="59" bestFit="1" customWidth="1"/>
    <col min="2302" max="2302" width="2" style="59" bestFit="1" customWidth="1"/>
    <col min="2303" max="2303" width="2.140625" style="59" bestFit="1" customWidth="1"/>
    <col min="2304" max="2304" width="0.85546875" style="59" bestFit="1" customWidth="1"/>
    <col min="2305" max="2305" width="2" style="59" bestFit="1" customWidth="1"/>
    <col min="2306" max="2306" width="2.28515625" style="59" bestFit="1" customWidth="1"/>
    <col min="2307" max="2551" width="11.42578125" style="59"/>
    <col min="2552" max="2552" width="5.28515625" style="59" bestFit="1" customWidth="1"/>
    <col min="2553" max="2553" width="2.140625" style="59" bestFit="1" customWidth="1"/>
    <col min="2554" max="2554" width="0.85546875" style="59" bestFit="1" customWidth="1"/>
    <col min="2555" max="2556" width="2" style="59" bestFit="1" customWidth="1"/>
    <col min="2557" max="2557" width="1.140625" style="59" bestFit="1" customWidth="1"/>
    <col min="2558" max="2558" width="2" style="59" bestFit="1" customWidth="1"/>
    <col min="2559" max="2559" width="2.140625" style="59" bestFit="1" customWidth="1"/>
    <col min="2560" max="2560" width="0.85546875" style="59" bestFit="1" customWidth="1"/>
    <col min="2561" max="2561" width="2" style="59" bestFit="1" customWidth="1"/>
    <col min="2562" max="2562" width="2.28515625" style="59" bestFit="1" customWidth="1"/>
    <col min="2563" max="2807" width="11.42578125" style="59"/>
    <col min="2808" max="2808" width="5.28515625" style="59" bestFit="1" customWidth="1"/>
    <col min="2809" max="2809" width="2.140625" style="59" bestFit="1" customWidth="1"/>
    <col min="2810" max="2810" width="0.85546875" style="59" bestFit="1" customWidth="1"/>
    <col min="2811" max="2812" width="2" style="59" bestFit="1" customWidth="1"/>
    <col min="2813" max="2813" width="1.140625" style="59" bestFit="1" customWidth="1"/>
    <col min="2814" max="2814" width="2" style="59" bestFit="1" customWidth="1"/>
    <col min="2815" max="2815" width="2.140625" style="59" bestFit="1" customWidth="1"/>
    <col min="2816" max="2816" width="0.85546875" style="59" bestFit="1" customWidth="1"/>
    <col min="2817" max="2817" width="2" style="59" bestFit="1" customWidth="1"/>
    <col min="2818" max="2818" width="2.28515625" style="59" bestFit="1" customWidth="1"/>
    <col min="2819" max="3063" width="11.42578125" style="59"/>
    <col min="3064" max="3064" width="5.28515625" style="59" bestFit="1" customWidth="1"/>
    <col min="3065" max="3065" width="2.140625" style="59" bestFit="1" customWidth="1"/>
    <col min="3066" max="3066" width="0.85546875" style="59" bestFit="1" customWidth="1"/>
    <col min="3067" max="3068" width="2" style="59" bestFit="1" customWidth="1"/>
    <col min="3069" max="3069" width="1.140625" style="59" bestFit="1" customWidth="1"/>
    <col min="3070" max="3070" width="2" style="59" bestFit="1" customWidth="1"/>
    <col min="3071" max="3071" width="2.140625" style="59" bestFit="1" customWidth="1"/>
    <col min="3072" max="3072" width="0.85546875" style="59" bestFit="1" customWidth="1"/>
    <col min="3073" max="3073" width="2" style="59" bestFit="1" customWidth="1"/>
    <col min="3074" max="3074" width="2.28515625" style="59" bestFit="1" customWidth="1"/>
    <col min="3075" max="3319" width="11.42578125" style="59"/>
    <col min="3320" max="3320" width="5.28515625" style="59" bestFit="1" customWidth="1"/>
    <col min="3321" max="3321" width="2.140625" style="59" bestFit="1" customWidth="1"/>
    <col min="3322" max="3322" width="0.85546875" style="59" bestFit="1" customWidth="1"/>
    <col min="3323" max="3324" width="2" style="59" bestFit="1" customWidth="1"/>
    <col min="3325" max="3325" width="1.140625" style="59" bestFit="1" customWidth="1"/>
    <col min="3326" max="3326" width="2" style="59" bestFit="1" customWidth="1"/>
    <col min="3327" max="3327" width="2.140625" style="59" bestFit="1" customWidth="1"/>
    <col min="3328" max="3328" width="0.85546875" style="59" bestFit="1" customWidth="1"/>
    <col min="3329" max="3329" width="2" style="59" bestFit="1" customWidth="1"/>
    <col min="3330" max="3330" width="2.28515625" style="59" bestFit="1" customWidth="1"/>
    <col min="3331" max="3575" width="11.42578125" style="59"/>
    <col min="3576" max="3576" width="5.28515625" style="59" bestFit="1" customWidth="1"/>
    <col min="3577" max="3577" width="2.140625" style="59" bestFit="1" customWidth="1"/>
    <col min="3578" max="3578" width="0.85546875" style="59" bestFit="1" customWidth="1"/>
    <col min="3579" max="3580" width="2" style="59" bestFit="1" customWidth="1"/>
    <col min="3581" max="3581" width="1.140625" style="59" bestFit="1" customWidth="1"/>
    <col min="3582" max="3582" width="2" style="59" bestFit="1" customWidth="1"/>
    <col min="3583" max="3583" width="2.140625" style="59" bestFit="1" customWidth="1"/>
    <col min="3584" max="3584" width="0.85546875" style="59" bestFit="1" customWidth="1"/>
    <col min="3585" max="3585" width="2" style="59" bestFit="1" customWidth="1"/>
    <col min="3586" max="3586" width="2.28515625" style="59" bestFit="1" customWidth="1"/>
    <col min="3587" max="3831" width="11.42578125" style="59"/>
    <col min="3832" max="3832" width="5.28515625" style="59" bestFit="1" customWidth="1"/>
    <col min="3833" max="3833" width="2.140625" style="59" bestFit="1" customWidth="1"/>
    <col min="3834" max="3834" width="0.85546875" style="59" bestFit="1" customWidth="1"/>
    <col min="3835" max="3836" width="2" style="59" bestFit="1" customWidth="1"/>
    <col min="3837" max="3837" width="1.140625" style="59" bestFit="1" customWidth="1"/>
    <col min="3838" max="3838" width="2" style="59" bestFit="1" customWidth="1"/>
    <col min="3839" max="3839" width="2.140625" style="59" bestFit="1" customWidth="1"/>
    <col min="3840" max="3840" width="0.85546875" style="59" bestFit="1" customWidth="1"/>
    <col min="3841" max="3841" width="2" style="59" bestFit="1" customWidth="1"/>
    <col min="3842" max="3842" width="2.28515625" style="59" bestFit="1" customWidth="1"/>
    <col min="3843" max="4087" width="11.42578125" style="59"/>
    <col min="4088" max="4088" width="5.28515625" style="59" bestFit="1" customWidth="1"/>
    <col min="4089" max="4089" width="2.140625" style="59" bestFit="1" customWidth="1"/>
    <col min="4090" max="4090" width="0.85546875" style="59" bestFit="1" customWidth="1"/>
    <col min="4091" max="4092" width="2" style="59" bestFit="1" customWidth="1"/>
    <col min="4093" max="4093" width="1.140625" style="59" bestFit="1" customWidth="1"/>
    <col min="4094" max="4094" width="2" style="59" bestFit="1" customWidth="1"/>
    <col min="4095" max="4095" width="2.140625" style="59" bestFit="1" customWidth="1"/>
    <col min="4096" max="4096" width="0.85546875" style="59" bestFit="1" customWidth="1"/>
    <col min="4097" max="4097" width="2" style="59" bestFit="1" customWidth="1"/>
    <col min="4098" max="4098" width="2.28515625" style="59" bestFit="1" customWidth="1"/>
    <col min="4099" max="4343" width="11.42578125" style="59"/>
    <col min="4344" max="4344" width="5.28515625" style="59" bestFit="1" customWidth="1"/>
    <col min="4345" max="4345" width="2.140625" style="59" bestFit="1" customWidth="1"/>
    <col min="4346" max="4346" width="0.85546875" style="59" bestFit="1" customWidth="1"/>
    <col min="4347" max="4348" width="2" style="59" bestFit="1" customWidth="1"/>
    <col min="4349" max="4349" width="1.140625" style="59" bestFit="1" customWidth="1"/>
    <col min="4350" max="4350" width="2" style="59" bestFit="1" customWidth="1"/>
    <col min="4351" max="4351" width="2.140625" style="59" bestFit="1" customWidth="1"/>
    <col min="4352" max="4352" width="0.85546875" style="59" bestFit="1" customWidth="1"/>
    <col min="4353" max="4353" width="2" style="59" bestFit="1" customWidth="1"/>
    <col min="4354" max="4354" width="2.28515625" style="59" bestFit="1" customWidth="1"/>
    <col min="4355" max="4599" width="11.42578125" style="59"/>
    <col min="4600" max="4600" width="5.28515625" style="59" bestFit="1" customWidth="1"/>
    <col min="4601" max="4601" width="2.140625" style="59" bestFit="1" customWidth="1"/>
    <col min="4602" max="4602" width="0.85546875" style="59" bestFit="1" customWidth="1"/>
    <col min="4603" max="4604" width="2" style="59" bestFit="1" customWidth="1"/>
    <col min="4605" max="4605" width="1.140625" style="59" bestFit="1" customWidth="1"/>
    <col min="4606" max="4606" width="2" style="59" bestFit="1" customWidth="1"/>
    <col min="4607" max="4607" width="2.140625" style="59" bestFit="1" customWidth="1"/>
    <col min="4608" max="4608" width="0.85546875" style="59" bestFit="1" customWidth="1"/>
    <col min="4609" max="4609" width="2" style="59" bestFit="1" customWidth="1"/>
    <col min="4610" max="4610" width="2.28515625" style="59" bestFit="1" customWidth="1"/>
    <col min="4611" max="4855" width="11.42578125" style="59"/>
    <col min="4856" max="4856" width="5.28515625" style="59" bestFit="1" customWidth="1"/>
    <col min="4857" max="4857" width="2.140625" style="59" bestFit="1" customWidth="1"/>
    <col min="4858" max="4858" width="0.85546875" style="59" bestFit="1" customWidth="1"/>
    <col min="4859" max="4860" width="2" style="59" bestFit="1" customWidth="1"/>
    <col min="4861" max="4861" width="1.140625" style="59" bestFit="1" customWidth="1"/>
    <col min="4862" max="4862" width="2" style="59" bestFit="1" customWidth="1"/>
    <col min="4863" max="4863" width="2.140625" style="59" bestFit="1" customWidth="1"/>
    <col min="4864" max="4864" width="0.85546875" style="59" bestFit="1" customWidth="1"/>
    <col min="4865" max="4865" width="2" style="59" bestFit="1" customWidth="1"/>
    <col min="4866" max="4866" width="2.28515625" style="59" bestFit="1" customWidth="1"/>
    <col min="4867" max="5111" width="11.42578125" style="59"/>
    <col min="5112" max="5112" width="5.28515625" style="59" bestFit="1" customWidth="1"/>
    <col min="5113" max="5113" width="2.140625" style="59" bestFit="1" customWidth="1"/>
    <col min="5114" max="5114" width="0.85546875" style="59" bestFit="1" customWidth="1"/>
    <col min="5115" max="5116" width="2" style="59" bestFit="1" customWidth="1"/>
    <col min="5117" max="5117" width="1.140625" style="59" bestFit="1" customWidth="1"/>
    <col min="5118" max="5118" width="2" style="59" bestFit="1" customWidth="1"/>
    <col min="5119" max="5119" width="2.140625" style="59" bestFit="1" customWidth="1"/>
    <col min="5120" max="5120" width="0.85546875" style="59" bestFit="1" customWidth="1"/>
    <col min="5121" max="5121" width="2" style="59" bestFit="1" customWidth="1"/>
    <col min="5122" max="5122" width="2.28515625" style="59" bestFit="1" customWidth="1"/>
    <col min="5123" max="5367" width="11.42578125" style="59"/>
    <col min="5368" max="5368" width="5.28515625" style="59" bestFit="1" customWidth="1"/>
    <col min="5369" max="5369" width="2.140625" style="59" bestFit="1" customWidth="1"/>
    <col min="5370" max="5370" width="0.85546875" style="59" bestFit="1" customWidth="1"/>
    <col min="5371" max="5372" width="2" style="59" bestFit="1" customWidth="1"/>
    <col min="5373" max="5373" width="1.140625" style="59" bestFit="1" customWidth="1"/>
    <col min="5374" max="5374" width="2" style="59" bestFit="1" customWidth="1"/>
    <col min="5375" max="5375" width="2.140625" style="59" bestFit="1" customWidth="1"/>
    <col min="5376" max="5376" width="0.85546875" style="59" bestFit="1" customWidth="1"/>
    <col min="5377" max="5377" width="2" style="59" bestFit="1" customWidth="1"/>
    <col min="5378" max="5378" width="2.28515625" style="59" bestFit="1" customWidth="1"/>
    <col min="5379" max="5623" width="11.42578125" style="59"/>
    <col min="5624" max="5624" width="5.28515625" style="59" bestFit="1" customWidth="1"/>
    <col min="5625" max="5625" width="2.140625" style="59" bestFit="1" customWidth="1"/>
    <col min="5626" max="5626" width="0.85546875" style="59" bestFit="1" customWidth="1"/>
    <col min="5627" max="5628" width="2" style="59" bestFit="1" customWidth="1"/>
    <col min="5629" max="5629" width="1.140625" style="59" bestFit="1" customWidth="1"/>
    <col min="5630" max="5630" width="2" style="59" bestFit="1" customWidth="1"/>
    <col min="5631" max="5631" width="2.140625" style="59" bestFit="1" customWidth="1"/>
    <col min="5632" max="5632" width="0.85546875" style="59" bestFit="1" customWidth="1"/>
    <col min="5633" max="5633" width="2" style="59" bestFit="1" customWidth="1"/>
    <col min="5634" max="5634" width="2.28515625" style="59" bestFit="1" customWidth="1"/>
    <col min="5635" max="5879" width="11.42578125" style="59"/>
    <col min="5880" max="5880" width="5.28515625" style="59" bestFit="1" customWidth="1"/>
    <col min="5881" max="5881" width="2.140625" style="59" bestFit="1" customWidth="1"/>
    <col min="5882" max="5882" width="0.85546875" style="59" bestFit="1" customWidth="1"/>
    <col min="5883" max="5884" width="2" style="59" bestFit="1" customWidth="1"/>
    <col min="5885" max="5885" width="1.140625" style="59" bestFit="1" customWidth="1"/>
    <col min="5886" max="5886" width="2" style="59" bestFit="1" customWidth="1"/>
    <col min="5887" max="5887" width="2.140625" style="59" bestFit="1" customWidth="1"/>
    <col min="5888" max="5888" width="0.85546875" style="59" bestFit="1" customWidth="1"/>
    <col min="5889" max="5889" width="2" style="59" bestFit="1" customWidth="1"/>
    <col min="5890" max="5890" width="2.28515625" style="59" bestFit="1" customWidth="1"/>
    <col min="5891" max="6135" width="11.42578125" style="59"/>
    <col min="6136" max="6136" width="5.28515625" style="59" bestFit="1" customWidth="1"/>
    <col min="6137" max="6137" width="2.140625" style="59" bestFit="1" customWidth="1"/>
    <col min="6138" max="6138" width="0.85546875" style="59" bestFit="1" customWidth="1"/>
    <col min="6139" max="6140" width="2" style="59" bestFit="1" customWidth="1"/>
    <col min="6141" max="6141" width="1.140625" style="59" bestFit="1" customWidth="1"/>
    <col min="6142" max="6142" width="2" style="59" bestFit="1" customWidth="1"/>
    <col min="6143" max="6143" width="2.140625" style="59" bestFit="1" customWidth="1"/>
    <col min="6144" max="6144" width="0.85546875" style="59" bestFit="1" customWidth="1"/>
    <col min="6145" max="6145" width="2" style="59" bestFit="1" customWidth="1"/>
    <col min="6146" max="6146" width="2.28515625" style="59" bestFit="1" customWidth="1"/>
    <col min="6147" max="6391" width="11.42578125" style="59"/>
    <col min="6392" max="6392" width="5.28515625" style="59" bestFit="1" customWidth="1"/>
    <col min="6393" max="6393" width="2.140625" style="59" bestFit="1" customWidth="1"/>
    <col min="6394" max="6394" width="0.85546875" style="59" bestFit="1" customWidth="1"/>
    <col min="6395" max="6396" width="2" style="59" bestFit="1" customWidth="1"/>
    <col min="6397" max="6397" width="1.140625" style="59" bestFit="1" customWidth="1"/>
    <col min="6398" max="6398" width="2" style="59" bestFit="1" customWidth="1"/>
    <col min="6399" max="6399" width="2.140625" style="59" bestFit="1" customWidth="1"/>
    <col min="6400" max="6400" width="0.85546875" style="59" bestFit="1" customWidth="1"/>
    <col min="6401" max="6401" width="2" style="59" bestFit="1" customWidth="1"/>
    <col min="6402" max="6402" width="2.28515625" style="59" bestFit="1" customWidth="1"/>
    <col min="6403" max="6647" width="11.42578125" style="59"/>
    <col min="6648" max="6648" width="5.28515625" style="59" bestFit="1" customWidth="1"/>
    <col min="6649" max="6649" width="2.140625" style="59" bestFit="1" customWidth="1"/>
    <col min="6650" max="6650" width="0.85546875" style="59" bestFit="1" customWidth="1"/>
    <col min="6651" max="6652" width="2" style="59" bestFit="1" customWidth="1"/>
    <col min="6653" max="6653" width="1.140625" style="59" bestFit="1" customWidth="1"/>
    <col min="6654" max="6654" width="2" style="59" bestFit="1" customWidth="1"/>
    <col min="6655" max="6655" width="2.140625" style="59" bestFit="1" customWidth="1"/>
    <col min="6656" max="6656" width="0.85546875" style="59" bestFit="1" customWidth="1"/>
    <col min="6657" max="6657" width="2" style="59" bestFit="1" customWidth="1"/>
    <col min="6658" max="6658" width="2.28515625" style="59" bestFit="1" customWidth="1"/>
    <col min="6659" max="6903" width="11.42578125" style="59"/>
    <col min="6904" max="6904" width="5.28515625" style="59" bestFit="1" customWidth="1"/>
    <col min="6905" max="6905" width="2.140625" style="59" bestFit="1" customWidth="1"/>
    <col min="6906" max="6906" width="0.85546875" style="59" bestFit="1" customWidth="1"/>
    <col min="6907" max="6908" width="2" style="59" bestFit="1" customWidth="1"/>
    <col min="6909" max="6909" width="1.140625" style="59" bestFit="1" customWidth="1"/>
    <col min="6910" max="6910" width="2" style="59" bestFit="1" customWidth="1"/>
    <col min="6911" max="6911" width="2.140625" style="59" bestFit="1" customWidth="1"/>
    <col min="6912" max="6912" width="0.85546875" style="59" bestFit="1" customWidth="1"/>
    <col min="6913" max="6913" width="2" style="59" bestFit="1" customWidth="1"/>
    <col min="6914" max="6914" width="2.28515625" style="59" bestFit="1" customWidth="1"/>
    <col min="6915" max="7159" width="11.42578125" style="59"/>
    <col min="7160" max="7160" width="5.28515625" style="59" bestFit="1" customWidth="1"/>
    <col min="7161" max="7161" width="2.140625" style="59" bestFit="1" customWidth="1"/>
    <col min="7162" max="7162" width="0.85546875" style="59" bestFit="1" customWidth="1"/>
    <col min="7163" max="7164" width="2" style="59" bestFit="1" customWidth="1"/>
    <col min="7165" max="7165" width="1.140625" style="59" bestFit="1" customWidth="1"/>
    <col min="7166" max="7166" width="2" style="59" bestFit="1" customWidth="1"/>
    <col min="7167" max="7167" width="2.140625" style="59" bestFit="1" customWidth="1"/>
    <col min="7168" max="7168" width="0.85546875" style="59" bestFit="1" customWidth="1"/>
    <col min="7169" max="7169" width="2" style="59" bestFit="1" customWidth="1"/>
    <col min="7170" max="7170" width="2.28515625" style="59" bestFit="1" customWidth="1"/>
    <col min="7171" max="7415" width="11.42578125" style="59"/>
    <col min="7416" max="7416" width="5.28515625" style="59" bestFit="1" customWidth="1"/>
    <col min="7417" max="7417" width="2.140625" style="59" bestFit="1" customWidth="1"/>
    <col min="7418" max="7418" width="0.85546875" style="59" bestFit="1" customWidth="1"/>
    <col min="7419" max="7420" width="2" style="59" bestFit="1" customWidth="1"/>
    <col min="7421" max="7421" width="1.140625" style="59" bestFit="1" customWidth="1"/>
    <col min="7422" max="7422" width="2" style="59" bestFit="1" customWidth="1"/>
    <col min="7423" max="7423" width="2.140625" style="59" bestFit="1" customWidth="1"/>
    <col min="7424" max="7424" width="0.85546875" style="59" bestFit="1" customWidth="1"/>
    <col min="7425" max="7425" width="2" style="59" bestFit="1" customWidth="1"/>
    <col min="7426" max="7426" width="2.28515625" style="59" bestFit="1" customWidth="1"/>
    <col min="7427" max="7671" width="11.42578125" style="59"/>
    <col min="7672" max="7672" width="5.28515625" style="59" bestFit="1" customWidth="1"/>
    <col min="7673" max="7673" width="2.140625" style="59" bestFit="1" customWidth="1"/>
    <col min="7674" max="7674" width="0.85546875" style="59" bestFit="1" customWidth="1"/>
    <col min="7675" max="7676" width="2" style="59" bestFit="1" customWidth="1"/>
    <col min="7677" max="7677" width="1.140625" style="59" bestFit="1" customWidth="1"/>
    <col min="7678" max="7678" width="2" style="59" bestFit="1" customWidth="1"/>
    <col min="7679" max="7679" width="2.140625" style="59" bestFit="1" customWidth="1"/>
    <col min="7680" max="7680" width="0.85546875" style="59" bestFit="1" customWidth="1"/>
    <col min="7681" max="7681" width="2" style="59" bestFit="1" customWidth="1"/>
    <col min="7682" max="7682" width="2.28515625" style="59" bestFit="1" customWidth="1"/>
    <col min="7683" max="7927" width="11.42578125" style="59"/>
    <col min="7928" max="7928" width="5.28515625" style="59" bestFit="1" customWidth="1"/>
    <col min="7929" max="7929" width="2.140625" style="59" bestFit="1" customWidth="1"/>
    <col min="7930" max="7930" width="0.85546875" style="59" bestFit="1" customWidth="1"/>
    <col min="7931" max="7932" width="2" style="59" bestFit="1" customWidth="1"/>
    <col min="7933" max="7933" width="1.140625" style="59" bestFit="1" customWidth="1"/>
    <col min="7934" max="7934" width="2" style="59" bestFit="1" customWidth="1"/>
    <col min="7935" max="7935" width="2.140625" style="59" bestFit="1" customWidth="1"/>
    <col min="7936" max="7936" width="0.85546875" style="59" bestFit="1" customWidth="1"/>
    <col min="7937" max="7937" width="2" style="59" bestFit="1" customWidth="1"/>
    <col min="7938" max="7938" width="2.28515625" style="59" bestFit="1" customWidth="1"/>
    <col min="7939" max="8183" width="11.42578125" style="59"/>
    <col min="8184" max="8184" width="5.28515625" style="59" bestFit="1" customWidth="1"/>
    <col min="8185" max="8185" width="2.140625" style="59" bestFit="1" customWidth="1"/>
    <col min="8186" max="8186" width="0.85546875" style="59" bestFit="1" customWidth="1"/>
    <col min="8187" max="8188" width="2" style="59" bestFit="1" customWidth="1"/>
    <col min="8189" max="8189" width="1.140625" style="59" bestFit="1" customWidth="1"/>
    <col min="8190" max="8190" width="2" style="59" bestFit="1" customWidth="1"/>
    <col min="8191" max="8191" width="2.140625" style="59" bestFit="1" customWidth="1"/>
    <col min="8192" max="8192" width="0.85546875" style="59" bestFit="1" customWidth="1"/>
    <col min="8193" max="8193" width="2" style="59" bestFit="1" customWidth="1"/>
    <col min="8194" max="8194" width="2.28515625" style="59" bestFit="1" customWidth="1"/>
    <col min="8195" max="8439" width="11.42578125" style="59"/>
    <col min="8440" max="8440" width="5.28515625" style="59" bestFit="1" customWidth="1"/>
    <col min="8441" max="8441" width="2.140625" style="59" bestFit="1" customWidth="1"/>
    <col min="8442" max="8442" width="0.85546875" style="59" bestFit="1" customWidth="1"/>
    <col min="8443" max="8444" width="2" style="59" bestFit="1" customWidth="1"/>
    <col min="8445" max="8445" width="1.140625" style="59" bestFit="1" customWidth="1"/>
    <col min="8446" max="8446" width="2" style="59" bestFit="1" customWidth="1"/>
    <col min="8447" max="8447" width="2.140625" style="59" bestFit="1" customWidth="1"/>
    <col min="8448" max="8448" width="0.85546875" style="59" bestFit="1" customWidth="1"/>
    <col min="8449" max="8449" width="2" style="59" bestFit="1" customWidth="1"/>
    <col min="8450" max="8450" width="2.28515625" style="59" bestFit="1" customWidth="1"/>
    <col min="8451" max="8695" width="11.42578125" style="59"/>
    <col min="8696" max="8696" width="5.28515625" style="59" bestFit="1" customWidth="1"/>
    <col min="8697" max="8697" width="2.140625" style="59" bestFit="1" customWidth="1"/>
    <col min="8698" max="8698" width="0.85546875" style="59" bestFit="1" customWidth="1"/>
    <col min="8699" max="8700" width="2" style="59" bestFit="1" customWidth="1"/>
    <col min="8701" max="8701" width="1.140625" style="59" bestFit="1" customWidth="1"/>
    <col min="8702" max="8702" width="2" style="59" bestFit="1" customWidth="1"/>
    <col min="8703" max="8703" width="2.140625" style="59" bestFit="1" customWidth="1"/>
    <col min="8704" max="8704" width="0.85546875" style="59" bestFit="1" customWidth="1"/>
    <col min="8705" max="8705" width="2" style="59" bestFit="1" customWidth="1"/>
    <col min="8706" max="8706" width="2.28515625" style="59" bestFit="1" customWidth="1"/>
    <col min="8707" max="8951" width="11.42578125" style="59"/>
    <col min="8952" max="8952" width="5.28515625" style="59" bestFit="1" customWidth="1"/>
    <col min="8953" max="8953" width="2.140625" style="59" bestFit="1" customWidth="1"/>
    <col min="8954" max="8954" width="0.85546875" style="59" bestFit="1" customWidth="1"/>
    <col min="8955" max="8956" width="2" style="59" bestFit="1" customWidth="1"/>
    <col min="8957" max="8957" width="1.140625" style="59" bestFit="1" customWidth="1"/>
    <col min="8958" max="8958" width="2" style="59" bestFit="1" customWidth="1"/>
    <col min="8959" max="8959" width="2.140625" style="59" bestFit="1" customWidth="1"/>
    <col min="8960" max="8960" width="0.85546875" style="59" bestFit="1" customWidth="1"/>
    <col min="8961" max="8961" width="2" style="59" bestFit="1" customWidth="1"/>
    <col min="8962" max="8962" width="2.28515625" style="59" bestFit="1" customWidth="1"/>
    <col min="8963" max="9207" width="11.42578125" style="59"/>
    <col min="9208" max="9208" width="5.28515625" style="59" bestFit="1" customWidth="1"/>
    <col min="9209" max="9209" width="2.140625" style="59" bestFit="1" customWidth="1"/>
    <col min="9210" max="9210" width="0.85546875" style="59" bestFit="1" customWidth="1"/>
    <col min="9211" max="9212" width="2" style="59" bestFit="1" customWidth="1"/>
    <col min="9213" max="9213" width="1.140625" style="59" bestFit="1" customWidth="1"/>
    <col min="9214" max="9214" width="2" style="59" bestFit="1" customWidth="1"/>
    <col min="9215" max="9215" width="2.140625" style="59" bestFit="1" customWidth="1"/>
    <col min="9216" max="9216" width="0.85546875" style="59" bestFit="1" customWidth="1"/>
    <col min="9217" max="9217" width="2" style="59" bestFit="1" customWidth="1"/>
    <col min="9218" max="9218" width="2.28515625" style="59" bestFit="1" customWidth="1"/>
    <col min="9219" max="9463" width="11.42578125" style="59"/>
    <col min="9464" max="9464" width="5.28515625" style="59" bestFit="1" customWidth="1"/>
    <col min="9465" max="9465" width="2.140625" style="59" bestFit="1" customWidth="1"/>
    <col min="9466" max="9466" width="0.85546875" style="59" bestFit="1" customWidth="1"/>
    <col min="9467" max="9468" width="2" style="59" bestFit="1" customWidth="1"/>
    <col min="9469" max="9469" width="1.140625" style="59" bestFit="1" customWidth="1"/>
    <col min="9470" max="9470" width="2" style="59" bestFit="1" customWidth="1"/>
    <col min="9471" max="9471" width="2.140625" style="59" bestFit="1" customWidth="1"/>
    <col min="9472" max="9472" width="0.85546875" style="59" bestFit="1" customWidth="1"/>
    <col min="9473" max="9473" width="2" style="59" bestFit="1" customWidth="1"/>
    <col min="9474" max="9474" width="2.28515625" style="59" bestFit="1" customWidth="1"/>
    <col min="9475" max="9719" width="11.42578125" style="59"/>
    <col min="9720" max="9720" width="5.28515625" style="59" bestFit="1" customWidth="1"/>
    <col min="9721" max="9721" width="2.140625" style="59" bestFit="1" customWidth="1"/>
    <col min="9722" max="9722" width="0.85546875" style="59" bestFit="1" customWidth="1"/>
    <col min="9723" max="9724" width="2" style="59" bestFit="1" customWidth="1"/>
    <col min="9725" max="9725" width="1.140625" style="59" bestFit="1" customWidth="1"/>
    <col min="9726" max="9726" width="2" style="59" bestFit="1" customWidth="1"/>
    <col min="9727" max="9727" width="2.140625" style="59" bestFit="1" customWidth="1"/>
    <col min="9728" max="9728" width="0.85546875" style="59" bestFit="1" customWidth="1"/>
    <col min="9729" max="9729" width="2" style="59" bestFit="1" customWidth="1"/>
    <col min="9730" max="9730" width="2.28515625" style="59" bestFit="1" customWidth="1"/>
    <col min="9731" max="9975" width="11.42578125" style="59"/>
    <col min="9976" max="9976" width="5.28515625" style="59" bestFit="1" customWidth="1"/>
    <col min="9977" max="9977" width="2.140625" style="59" bestFit="1" customWidth="1"/>
    <col min="9978" max="9978" width="0.85546875" style="59" bestFit="1" customWidth="1"/>
    <col min="9979" max="9980" width="2" style="59" bestFit="1" customWidth="1"/>
    <col min="9981" max="9981" width="1.140625" style="59" bestFit="1" customWidth="1"/>
    <col min="9982" max="9982" width="2" style="59" bestFit="1" customWidth="1"/>
    <col min="9983" max="9983" width="2.140625" style="59" bestFit="1" customWidth="1"/>
    <col min="9984" max="9984" width="0.85546875" style="59" bestFit="1" customWidth="1"/>
    <col min="9985" max="9985" width="2" style="59" bestFit="1" customWidth="1"/>
    <col min="9986" max="9986" width="2.28515625" style="59" bestFit="1" customWidth="1"/>
    <col min="9987" max="10231" width="11.42578125" style="59"/>
    <col min="10232" max="10232" width="5.28515625" style="59" bestFit="1" customWidth="1"/>
    <col min="10233" max="10233" width="2.140625" style="59" bestFit="1" customWidth="1"/>
    <col min="10234" max="10234" width="0.85546875" style="59" bestFit="1" customWidth="1"/>
    <col min="10235" max="10236" width="2" style="59" bestFit="1" customWidth="1"/>
    <col min="10237" max="10237" width="1.140625" style="59" bestFit="1" customWidth="1"/>
    <col min="10238" max="10238" width="2" style="59" bestFit="1" customWidth="1"/>
    <col min="10239" max="10239" width="2.140625" style="59" bestFit="1" customWidth="1"/>
    <col min="10240" max="10240" width="0.85546875" style="59" bestFit="1" customWidth="1"/>
    <col min="10241" max="10241" width="2" style="59" bestFit="1" customWidth="1"/>
    <col min="10242" max="10242" width="2.28515625" style="59" bestFit="1" customWidth="1"/>
    <col min="10243" max="10487" width="11.42578125" style="59"/>
    <col min="10488" max="10488" width="5.28515625" style="59" bestFit="1" customWidth="1"/>
    <col min="10489" max="10489" width="2.140625" style="59" bestFit="1" customWidth="1"/>
    <col min="10490" max="10490" width="0.85546875" style="59" bestFit="1" customWidth="1"/>
    <col min="10491" max="10492" width="2" style="59" bestFit="1" customWidth="1"/>
    <col min="10493" max="10493" width="1.140625" style="59" bestFit="1" customWidth="1"/>
    <col min="10494" max="10494" width="2" style="59" bestFit="1" customWidth="1"/>
    <col min="10495" max="10495" width="2.140625" style="59" bestFit="1" customWidth="1"/>
    <col min="10496" max="10496" width="0.85546875" style="59" bestFit="1" customWidth="1"/>
    <col min="10497" max="10497" width="2" style="59" bestFit="1" customWidth="1"/>
    <col min="10498" max="10498" width="2.28515625" style="59" bestFit="1" customWidth="1"/>
    <col min="10499" max="10743" width="11.42578125" style="59"/>
    <col min="10744" max="10744" width="5.28515625" style="59" bestFit="1" customWidth="1"/>
    <col min="10745" max="10745" width="2.140625" style="59" bestFit="1" customWidth="1"/>
    <col min="10746" max="10746" width="0.85546875" style="59" bestFit="1" customWidth="1"/>
    <col min="10747" max="10748" width="2" style="59" bestFit="1" customWidth="1"/>
    <col min="10749" max="10749" width="1.140625" style="59" bestFit="1" customWidth="1"/>
    <col min="10750" max="10750" width="2" style="59" bestFit="1" customWidth="1"/>
    <col min="10751" max="10751" width="2.140625" style="59" bestFit="1" customWidth="1"/>
    <col min="10752" max="10752" width="0.85546875" style="59" bestFit="1" customWidth="1"/>
    <col min="10753" max="10753" width="2" style="59" bestFit="1" customWidth="1"/>
    <col min="10754" max="10754" width="2.28515625" style="59" bestFit="1" customWidth="1"/>
    <col min="10755" max="10999" width="11.42578125" style="59"/>
    <col min="11000" max="11000" width="5.28515625" style="59" bestFit="1" customWidth="1"/>
    <col min="11001" max="11001" width="2.140625" style="59" bestFit="1" customWidth="1"/>
    <col min="11002" max="11002" width="0.85546875" style="59" bestFit="1" customWidth="1"/>
    <col min="11003" max="11004" width="2" style="59" bestFit="1" customWidth="1"/>
    <col min="11005" max="11005" width="1.140625" style="59" bestFit="1" customWidth="1"/>
    <col min="11006" max="11006" width="2" style="59" bestFit="1" customWidth="1"/>
    <col min="11007" max="11007" width="2.140625" style="59" bestFit="1" customWidth="1"/>
    <col min="11008" max="11008" width="0.85546875" style="59" bestFit="1" customWidth="1"/>
    <col min="11009" max="11009" width="2" style="59" bestFit="1" customWidth="1"/>
    <col min="11010" max="11010" width="2.28515625" style="59" bestFit="1" customWidth="1"/>
    <col min="11011" max="11255" width="11.42578125" style="59"/>
    <col min="11256" max="11256" width="5.28515625" style="59" bestFit="1" customWidth="1"/>
    <col min="11257" max="11257" width="2.140625" style="59" bestFit="1" customWidth="1"/>
    <col min="11258" max="11258" width="0.85546875" style="59" bestFit="1" customWidth="1"/>
    <col min="11259" max="11260" width="2" style="59" bestFit="1" customWidth="1"/>
    <col min="11261" max="11261" width="1.140625" style="59" bestFit="1" customWidth="1"/>
    <col min="11262" max="11262" width="2" style="59" bestFit="1" customWidth="1"/>
    <col min="11263" max="11263" width="2.140625" style="59" bestFit="1" customWidth="1"/>
    <col min="11264" max="11264" width="0.85546875" style="59" bestFit="1" customWidth="1"/>
    <col min="11265" max="11265" width="2" style="59" bestFit="1" customWidth="1"/>
    <col min="11266" max="11266" width="2.28515625" style="59" bestFit="1" customWidth="1"/>
    <col min="11267" max="11511" width="11.42578125" style="59"/>
    <col min="11512" max="11512" width="5.28515625" style="59" bestFit="1" customWidth="1"/>
    <col min="11513" max="11513" width="2.140625" style="59" bestFit="1" customWidth="1"/>
    <col min="11514" max="11514" width="0.85546875" style="59" bestFit="1" customWidth="1"/>
    <col min="11515" max="11516" width="2" style="59" bestFit="1" customWidth="1"/>
    <col min="11517" max="11517" width="1.140625" style="59" bestFit="1" customWidth="1"/>
    <col min="11518" max="11518" width="2" style="59" bestFit="1" customWidth="1"/>
    <col min="11519" max="11519" width="2.140625" style="59" bestFit="1" customWidth="1"/>
    <col min="11520" max="11520" width="0.85546875" style="59" bestFit="1" customWidth="1"/>
    <col min="11521" max="11521" width="2" style="59" bestFit="1" customWidth="1"/>
    <col min="11522" max="11522" width="2.28515625" style="59" bestFit="1" customWidth="1"/>
    <col min="11523" max="11767" width="11.42578125" style="59"/>
    <col min="11768" max="11768" width="5.28515625" style="59" bestFit="1" customWidth="1"/>
    <col min="11769" max="11769" width="2.140625" style="59" bestFit="1" customWidth="1"/>
    <col min="11770" max="11770" width="0.85546875" style="59" bestFit="1" customWidth="1"/>
    <col min="11771" max="11772" width="2" style="59" bestFit="1" customWidth="1"/>
    <col min="11773" max="11773" width="1.140625" style="59" bestFit="1" customWidth="1"/>
    <col min="11774" max="11774" width="2" style="59" bestFit="1" customWidth="1"/>
    <col min="11775" max="11775" width="2.140625" style="59" bestFit="1" customWidth="1"/>
    <col min="11776" max="11776" width="0.85546875" style="59" bestFit="1" customWidth="1"/>
    <col min="11777" max="11777" width="2" style="59" bestFit="1" customWidth="1"/>
    <col min="11778" max="11778" width="2.28515625" style="59" bestFit="1" customWidth="1"/>
    <col min="11779" max="12023" width="11.42578125" style="59"/>
    <col min="12024" max="12024" width="5.28515625" style="59" bestFit="1" customWidth="1"/>
    <col min="12025" max="12025" width="2.140625" style="59" bestFit="1" customWidth="1"/>
    <col min="12026" max="12026" width="0.85546875" style="59" bestFit="1" customWidth="1"/>
    <col min="12027" max="12028" width="2" style="59" bestFit="1" customWidth="1"/>
    <col min="12029" max="12029" width="1.140625" style="59" bestFit="1" customWidth="1"/>
    <col min="12030" max="12030" width="2" style="59" bestFit="1" customWidth="1"/>
    <col min="12031" max="12031" width="2.140625" style="59" bestFit="1" customWidth="1"/>
    <col min="12032" max="12032" width="0.85546875" style="59" bestFit="1" customWidth="1"/>
    <col min="12033" max="12033" width="2" style="59" bestFit="1" customWidth="1"/>
    <col min="12034" max="12034" width="2.28515625" style="59" bestFit="1" customWidth="1"/>
    <col min="12035" max="12279" width="11.42578125" style="59"/>
    <col min="12280" max="12280" width="5.28515625" style="59" bestFit="1" customWidth="1"/>
    <col min="12281" max="12281" width="2.140625" style="59" bestFit="1" customWidth="1"/>
    <col min="12282" max="12282" width="0.85546875" style="59" bestFit="1" customWidth="1"/>
    <col min="12283" max="12284" width="2" style="59" bestFit="1" customWidth="1"/>
    <col min="12285" max="12285" width="1.140625" style="59" bestFit="1" customWidth="1"/>
    <col min="12286" max="12286" width="2" style="59" bestFit="1" customWidth="1"/>
    <col min="12287" max="12287" width="2.140625" style="59" bestFit="1" customWidth="1"/>
    <col min="12288" max="12288" width="0.85546875" style="59" bestFit="1" customWidth="1"/>
    <col min="12289" max="12289" width="2" style="59" bestFit="1" customWidth="1"/>
    <col min="12290" max="12290" width="2.28515625" style="59" bestFit="1" customWidth="1"/>
    <col min="12291" max="12535" width="11.42578125" style="59"/>
    <col min="12536" max="12536" width="5.28515625" style="59" bestFit="1" customWidth="1"/>
    <col min="12537" max="12537" width="2.140625" style="59" bestFit="1" customWidth="1"/>
    <col min="12538" max="12538" width="0.85546875" style="59" bestFit="1" customWidth="1"/>
    <col min="12539" max="12540" width="2" style="59" bestFit="1" customWidth="1"/>
    <col min="12541" max="12541" width="1.140625" style="59" bestFit="1" customWidth="1"/>
    <col min="12542" max="12542" width="2" style="59" bestFit="1" customWidth="1"/>
    <col min="12543" max="12543" width="2.140625" style="59" bestFit="1" customWidth="1"/>
    <col min="12544" max="12544" width="0.85546875" style="59" bestFit="1" customWidth="1"/>
    <col min="12545" max="12545" width="2" style="59" bestFit="1" customWidth="1"/>
    <col min="12546" max="12546" width="2.28515625" style="59" bestFit="1" customWidth="1"/>
    <col min="12547" max="12791" width="11.42578125" style="59"/>
    <col min="12792" max="12792" width="5.28515625" style="59" bestFit="1" customWidth="1"/>
    <col min="12793" max="12793" width="2.140625" style="59" bestFit="1" customWidth="1"/>
    <col min="12794" max="12794" width="0.85546875" style="59" bestFit="1" customWidth="1"/>
    <col min="12795" max="12796" width="2" style="59" bestFit="1" customWidth="1"/>
    <col min="12797" max="12797" width="1.140625" style="59" bestFit="1" customWidth="1"/>
    <col min="12798" max="12798" width="2" style="59" bestFit="1" customWidth="1"/>
    <col min="12799" max="12799" width="2.140625" style="59" bestFit="1" customWidth="1"/>
    <col min="12800" max="12800" width="0.85546875" style="59" bestFit="1" customWidth="1"/>
    <col min="12801" max="12801" width="2" style="59" bestFit="1" customWidth="1"/>
    <col min="12802" max="12802" width="2.28515625" style="59" bestFit="1" customWidth="1"/>
    <col min="12803" max="13047" width="11.42578125" style="59"/>
    <col min="13048" max="13048" width="5.28515625" style="59" bestFit="1" customWidth="1"/>
    <col min="13049" max="13049" width="2.140625" style="59" bestFit="1" customWidth="1"/>
    <col min="13050" max="13050" width="0.85546875" style="59" bestFit="1" customWidth="1"/>
    <col min="13051" max="13052" width="2" style="59" bestFit="1" customWidth="1"/>
    <col min="13053" max="13053" width="1.140625" style="59" bestFit="1" customWidth="1"/>
    <col min="13054" max="13054" width="2" style="59" bestFit="1" customWidth="1"/>
    <col min="13055" max="13055" width="2.140625" style="59" bestFit="1" customWidth="1"/>
    <col min="13056" max="13056" width="0.85546875" style="59" bestFit="1" customWidth="1"/>
    <col min="13057" max="13057" width="2" style="59" bestFit="1" customWidth="1"/>
    <col min="13058" max="13058" width="2.28515625" style="59" bestFit="1" customWidth="1"/>
    <col min="13059" max="13303" width="11.42578125" style="59"/>
    <col min="13304" max="13304" width="5.28515625" style="59" bestFit="1" customWidth="1"/>
    <col min="13305" max="13305" width="2.140625" style="59" bestFit="1" customWidth="1"/>
    <col min="13306" max="13306" width="0.85546875" style="59" bestFit="1" customWidth="1"/>
    <col min="13307" max="13308" width="2" style="59" bestFit="1" customWidth="1"/>
    <col min="13309" max="13309" width="1.140625" style="59" bestFit="1" customWidth="1"/>
    <col min="13310" max="13310" width="2" style="59" bestFit="1" customWidth="1"/>
    <col min="13311" max="13311" width="2.140625" style="59" bestFit="1" customWidth="1"/>
    <col min="13312" max="13312" width="0.85546875" style="59" bestFit="1" customWidth="1"/>
    <col min="13313" max="13313" width="2" style="59" bestFit="1" customWidth="1"/>
    <col min="13314" max="13314" width="2.28515625" style="59" bestFit="1" customWidth="1"/>
    <col min="13315" max="13559" width="11.42578125" style="59"/>
    <col min="13560" max="13560" width="5.28515625" style="59" bestFit="1" customWidth="1"/>
    <col min="13561" max="13561" width="2.140625" style="59" bestFit="1" customWidth="1"/>
    <col min="13562" max="13562" width="0.85546875" style="59" bestFit="1" customWidth="1"/>
    <col min="13563" max="13564" width="2" style="59" bestFit="1" customWidth="1"/>
    <col min="13565" max="13565" width="1.140625" style="59" bestFit="1" customWidth="1"/>
    <col min="13566" max="13566" width="2" style="59" bestFit="1" customWidth="1"/>
    <col min="13567" max="13567" width="2.140625" style="59" bestFit="1" customWidth="1"/>
    <col min="13568" max="13568" width="0.85546875" style="59" bestFit="1" customWidth="1"/>
    <col min="13569" max="13569" width="2" style="59" bestFit="1" customWidth="1"/>
    <col min="13570" max="13570" width="2.28515625" style="59" bestFit="1" customWidth="1"/>
    <col min="13571" max="13815" width="11.42578125" style="59"/>
    <col min="13816" max="13816" width="5.28515625" style="59" bestFit="1" customWidth="1"/>
    <col min="13817" max="13817" width="2.140625" style="59" bestFit="1" customWidth="1"/>
    <col min="13818" max="13818" width="0.85546875" style="59" bestFit="1" customWidth="1"/>
    <col min="13819" max="13820" width="2" style="59" bestFit="1" customWidth="1"/>
    <col min="13821" max="13821" width="1.140625" style="59" bestFit="1" customWidth="1"/>
    <col min="13822" max="13822" width="2" style="59" bestFit="1" customWidth="1"/>
    <col min="13823" max="13823" width="2.140625" style="59" bestFit="1" customWidth="1"/>
    <col min="13824" max="13824" width="0.85546875" style="59" bestFit="1" customWidth="1"/>
    <col min="13825" max="13825" width="2" style="59" bestFit="1" customWidth="1"/>
    <col min="13826" max="13826" width="2.28515625" style="59" bestFit="1" customWidth="1"/>
    <col min="13827" max="14071" width="11.42578125" style="59"/>
    <col min="14072" max="14072" width="5.28515625" style="59" bestFit="1" customWidth="1"/>
    <col min="14073" max="14073" width="2.140625" style="59" bestFit="1" customWidth="1"/>
    <col min="14074" max="14074" width="0.85546875" style="59" bestFit="1" customWidth="1"/>
    <col min="14075" max="14076" width="2" style="59" bestFit="1" customWidth="1"/>
    <col min="14077" max="14077" width="1.140625" style="59" bestFit="1" customWidth="1"/>
    <col min="14078" max="14078" width="2" style="59" bestFit="1" customWidth="1"/>
    <col min="14079" max="14079" width="2.140625" style="59" bestFit="1" customWidth="1"/>
    <col min="14080" max="14080" width="0.85546875" style="59" bestFit="1" customWidth="1"/>
    <col min="14081" max="14081" width="2" style="59" bestFit="1" customWidth="1"/>
    <col min="14082" max="14082" width="2.28515625" style="59" bestFit="1" customWidth="1"/>
    <col min="14083" max="14327" width="11.42578125" style="59"/>
    <col min="14328" max="14328" width="5.28515625" style="59" bestFit="1" customWidth="1"/>
    <col min="14329" max="14329" width="2.140625" style="59" bestFit="1" customWidth="1"/>
    <col min="14330" max="14330" width="0.85546875" style="59" bestFit="1" customWidth="1"/>
    <col min="14331" max="14332" width="2" style="59" bestFit="1" customWidth="1"/>
    <col min="14333" max="14333" width="1.140625" style="59" bestFit="1" customWidth="1"/>
    <col min="14334" max="14334" width="2" style="59" bestFit="1" customWidth="1"/>
    <col min="14335" max="14335" width="2.140625" style="59" bestFit="1" customWidth="1"/>
    <col min="14336" max="14336" width="0.85546875" style="59" bestFit="1" customWidth="1"/>
    <col min="14337" max="14337" width="2" style="59" bestFit="1" customWidth="1"/>
    <col min="14338" max="14338" width="2.28515625" style="59" bestFit="1" customWidth="1"/>
    <col min="14339" max="14583" width="11.42578125" style="59"/>
    <col min="14584" max="14584" width="5.28515625" style="59" bestFit="1" customWidth="1"/>
    <col min="14585" max="14585" width="2.140625" style="59" bestFit="1" customWidth="1"/>
    <col min="14586" max="14586" width="0.85546875" style="59" bestFit="1" customWidth="1"/>
    <col min="14587" max="14588" width="2" style="59" bestFit="1" customWidth="1"/>
    <col min="14589" max="14589" width="1.140625" style="59" bestFit="1" customWidth="1"/>
    <col min="14590" max="14590" width="2" style="59" bestFit="1" customWidth="1"/>
    <col min="14591" max="14591" width="2.140625" style="59" bestFit="1" customWidth="1"/>
    <col min="14592" max="14592" width="0.85546875" style="59" bestFit="1" customWidth="1"/>
    <col min="14593" max="14593" width="2" style="59" bestFit="1" customWidth="1"/>
    <col min="14594" max="14594" width="2.28515625" style="59" bestFit="1" customWidth="1"/>
    <col min="14595" max="14839" width="11.42578125" style="59"/>
    <col min="14840" max="14840" width="5.28515625" style="59" bestFit="1" customWidth="1"/>
    <col min="14841" max="14841" width="2.140625" style="59" bestFit="1" customWidth="1"/>
    <col min="14842" max="14842" width="0.85546875" style="59" bestFit="1" customWidth="1"/>
    <col min="14843" max="14844" width="2" style="59" bestFit="1" customWidth="1"/>
    <col min="14845" max="14845" width="1.140625" style="59" bestFit="1" customWidth="1"/>
    <col min="14846" max="14846" width="2" style="59" bestFit="1" customWidth="1"/>
    <col min="14847" max="14847" width="2.140625" style="59" bestFit="1" customWidth="1"/>
    <col min="14848" max="14848" width="0.85546875" style="59" bestFit="1" customWidth="1"/>
    <col min="14849" max="14849" width="2" style="59" bestFit="1" customWidth="1"/>
    <col min="14850" max="14850" width="2.28515625" style="59" bestFit="1" customWidth="1"/>
    <col min="14851" max="15095" width="11.42578125" style="59"/>
    <col min="15096" max="15096" width="5.28515625" style="59" bestFit="1" customWidth="1"/>
    <col min="15097" max="15097" width="2.140625" style="59" bestFit="1" customWidth="1"/>
    <col min="15098" max="15098" width="0.85546875" style="59" bestFit="1" customWidth="1"/>
    <col min="15099" max="15100" width="2" style="59" bestFit="1" customWidth="1"/>
    <col min="15101" max="15101" width="1.140625" style="59" bestFit="1" customWidth="1"/>
    <col min="15102" max="15102" width="2" style="59" bestFit="1" customWidth="1"/>
    <col min="15103" max="15103" width="2.140625" style="59" bestFit="1" customWidth="1"/>
    <col min="15104" max="15104" width="0.85546875" style="59" bestFit="1" customWidth="1"/>
    <col min="15105" max="15105" width="2" style="59" bestFit="1" customWidth="1"/>
    <col min="15106" max="15106" width="2.28515625" style="59" bestFit="1" customWidth="1"/>
    <col min="15107" max="15351" width="11.42578125" style="59"/>
    <col min="15352" max="15352" width="5.28515625" style="59" bestFit="1" customWidth="1"/>
    <col min="15353" max="15353" width="2.140625" style="59" bestFit="1" customWidth="1"/>
    <col min="15354" max="15354" width="0.85546875" style="59" bestFit="1" customWidth="1"/>
    <col min="15355" max="15356" width="2" style="59" bestFit="1" customWidth="1"/>
    <col min="15357" max="15357" width="1.140625" style="59" bestFit="1" customWidth="1"/>
    <col min="15358" max="15358" width="2" style="59" bestFit="1" customWidth="1"/>
    <col min="15359" max="15359" width="2.140625" style="59" bestFit="1" customWidth="1"/>
    <col min="15360" max="15360" width="0.85546875" style="59" bestFit="1" customWidth="1"/>
    <col min="15361" max="15361" width="2" style="59" bestFit="1" customWidth="1"/>
    <col min="15362" max="15362" width="2.28515625" style="59" bestFit="1" customWidth="1"/>
    <col min="15363" max="15607" width="11.42578125" style="59"/>
    <col min="15608" max="15608" width="5.28515625" style="59" bestFit="1" customWidth="1"/>
    <col min="15609" max="15609" width="2.140625" style="59" bestFit="1" customWidth="1"/>
    <col min="15610" max="15610" width="0.85546875" style="59" bestFit="1" customWidth="1"/>
    <col min="15611" max="15612" width="2" style="59" bestFit="1" customWidth="1"/>
    <col min="15613" max="15613" width="1.140625" style="59" bestFit="1" customWidth="1"/>
    <col min="15614" max="15614" width="2" style="59" bestFit="1" customWidth="1"/>
    <col min="15615" max="15615" width="2.140625" style="59" bestFit="1" customWidth="1"/>
    <col min="15616" max="15616" width="0.85546875" style="59" bestFit="1" customWidth="1"/>
    <col min="15617" max="15617" width="2" style="59" bestFit="1" customWidth="1"/>
    <col min="15618" max="15618" width="2.28515625" style="59" bestFit="1" customWidth="1"/>
    <col min="15619" max="15863" width="11.42578125" style="59"/>
    <col min="15864" max="15864" width="5.28515625" style="59" bestFit="1" customWidth="1"/>
    <col min="15865" max="15865" width="2.140625" style="59" bestFit="1" customWidth="1"/>
    <col min="15866" max="15866" width="0.85546875" style="59" bestFit="1" customWidth="1"/>
    <col min="15867" max="15868" width="2" style="59" bestFit="1" customWidth="1"/>
    <col min="15869" max="15869" width="1.140625" style="59" bestFit="1" customWidth="1"/>
    <col min="15870" max="15870" width="2" style="59" bestFit="1" customWidth="1"/>
    <col min="15871" max="15871" width="2.140625" style="59" bestFit="1" customWidth="1"/>
    <col min="15872" max="15872" width="0.85546875" style="59" bestFit="1" customWidth="1"/>
    <col min="15873" max="15873" width="2" style="59" bestFit="1" customWidth="1"/>
    <col min="15874" max="15874" width="2.28515625" style="59" bestFit="1" customWidth="1"/>
    <col min="15875" max="16119" width="11.42578125" style="59"/>
    <col min="16120" max="16120" width="5.28515625" style="59" bestFit="1" customWidth="1"/>
    <col min="16121" max="16121" width="2.140625" style="59" bestFit="1" customWidth="1"/>
    <col min="16122" max="16122" width="0.85546875" style="59" bestFit="1" customWidth="1"/>
    <col min="16123" max="16124" width="2" style="59" bestFit="1" customWidth="1"/>
    <col min="16125" max="16125" width="1.140625" style="59" bestFit="1" customWidth="1"/>
    <col min="16126" max="16126" width="2" style="59" bestFit="1" customWidth="1"/>
    <col min="16127" max="16127" width="2.140625" style="59" bestFit="1" customWidth="1"/>
    <col min="16128" max="16128" width="0.85546875" style="59" bestFit="1" customWidth="1"/>
    <col min="16129" max="16129" width="2" style="59" bestFit="1" customWidth="1"/>
    <col min="16130" max="16130" width="2.28515625" style="59" bestFit="1" customWidth="1"/>
    <col min="16131" max="16384" width="11.42578125" style="59"/>
  </cols>
  <sheetData>
    <row r="1" spans="1:9" ht="13.5" thickBot="1">
      <c r="E1" s="98"/>
      <c r="F1" s="98"/>
    </row>
    <row r="2" spans="1:9" ht="18" customHeight="1">
      <c r="B2" s="298" t="s">
        <v>540</v>
      </c>
      <c r="C2" s="299"/>
      <c r="E2" s="300" t="s">
        <v>568</v>
      </c>
      <c r="F2" s="301"/>
      <c r="G2" s="301"/>
      <c r="H2" s="301"/>
      <c r="I2" s="302"/>
    </row>
    <row r="3" spans="1:9" ht="38.25">
      <c r="A3" s="99" t="s">
        <v>143</v>
      </c>
      <c r="B3" s="100" t="s">
        <v>142</v>
      </c>
      <c r="C3" s="101" t="s">
        <v>542</v>
      </c>
      <c r="D3" s="102" t="s">
        <v>543</v>
      </c>
      <c r="E3" s="103" t="s">
        <v>569</v>
      </c>
      <c r="F3" s="67" t="s">
        <v>476</v>
      </c>
      <c r="G3" s="67" t="s">
        <v>544</v>
      </c>
      <c r="H3" s="67" t="s">
        <v>545</v>
      </c>
      <c r="I3" s="69" t="s">
        <v>475</v>
      </c>
    </row>
    <row r="4" spans="1:9" ht="15" customHeight="1">
      <c r="A4" s="82" t="str">
        <f>RESUMEN!A31</f>
        <v>MULTISECTORIAL</v>
      </c>
      <c r="B4" s="104">
        <f>RESUMEN!B31</f>
        <v>57690305057</v>
      </c>
      <c r="C4" s="105">
        <f t="shared" ref="C4:C15" si="0">B4/B$16</f>
        <v>0.11463469843253775</v>
      </c>
      <c r="D4" s="83">
        <f>RESUMEN!C31</f>
        <v>9968024888</v>
      </c>
      <c r="E4" s="106">
        <f>RESUMEN!D31</f>
        <v>5893165297</v>
      </c>
      <c r="F4" s="107">
        <f>RESUMEN!E31</f>
        <v>15599106624</v>
      </c>
      <c r="G4" s="107">
        <f>RESUMEN!F31</f>
        <v>21492271921</v>
      </c>
      <c r="H4" s="108">
        <f t="shared" ref="H4:H15" si="1">G4/G$16</f>
        <v>0.19657902400300512</v>
      </c>
      <c r="I4" s="86">
        <f>RESUMEN!G31</f>
        <v>26230008248</v>
      </c>
    </row>
    <row r="5" spans="1:9" ht="15" customHeight="1">
      <c r="A5" s="82" t="str">
        <f>RESUMEN!A32</f>
        <v>TRANSPORTE</v>
      </c>
      <c r="B5" s="104">
        <f>RESUMEN!B32</f>
        <v>127365576012</v>
      </c>
      <c r="C5" s="105">
        <f t="shared" si="0"/>
        <v>0.25308436803023099</v>
      </c>
      <c r="D5" s="83">
        <f>RESUMEN!C32</f>
        <v>28488935769</v>
      </c>
      <c r="E5" s="106">
        <f>RESUMEN!D32</f>
        <v>7085010430</v>
      </c>
      <c r="F5" s="107">
        <f>RESUMEN!E32</f>
        <v>14326792661.333334</v>
      </c>
      <c r="G5" s="107">
        <f>RESUMEN!F32</f>
        <v>21411803091.333332</v>
      </c>
      <c r="H5" s="108">
        <f t="shared" si="1"/>
        <v>0.19584301600642465</v>
      </c>
      <c r="I5" s="86">
        <f>RESUMEN!G32</f>
        <v>77464837151.666672</v>
      </c>
    </row>
    <row r="6" spans="1:9" ht="15" customHeight="1">
      <c r="A6" s="82" t="str">
        <f>RESUMEN!A33</f>
        <v>EDUCACIÓN Y CULTURA</v>
      </c>
      <c r="B6" s="104">
        <f>RESUMEN!B33</f>
        <v>93308990367.398926</v>
      </c>
      <c r="C6" s="105">
        <f t="shared" si="0"/>
        <v>0.18541153424726889</v>
      </c>
      <c r="D6" s="83">
        <f>RESUMEN!C33</f>
        <v>28371925143</v>
      </c>
      <c r="E6" s="106">
        <f>RESUMEN!D33</f>
        <v>6627047007</v>
      </c>
      <c r="F6" s="107">
        <f>RESUMEN!E33</f>
        <v>8276449936.2704287</v>
      </c>
      <c r="G6" s="107">
        <f>RESUMEN!F33</f>
        <v>14903496943.270428</v>
      </c>
      <c r="H6" s="108">
        <f t="shared" si="1"/>
        <v>0.13631480627589024</v>
      </c>
      <c r="I6" s="86">
        <f>RESUMEN!G33</f>
        <v>50033568281.128487</v>
      </c>
    </row>
    <row r="7" spans="1:9" ht="15" customHeight="1">
      <c r="A7" s="82" t="str">
        <f>RESUMEN!A34</f>
        <v>SALUD</v>
      </c>
      <c r="B7" s="104">
        <f>RESUMEN!B34</f>
        <v>77652573181</v>
      </c>
      <c r="C7" s="105">
        <f t="shared" si="0"/>
        <v>0.1543011308454573</v>
      </c>
      <c r="D7" s="83">
        <f>RESUMEN!C34</f>
        <v>21915137762</v>
      </c>
      <c r="E7" s="106">
        <f>RESUMEN!D34</f>
        <v>2588177382</v>
      </c>
      <c r="F7" s="107">
        <f>RESUMEN!E34</f>
        <v>10897227101</v>
      </c>
      <c r="G7" s="107">
        <f>RESUMEN!F34</f>
        <v>13485404483</v>
      </c>
      <c r="H7" s="108">
        <f t="shared" si="1"/>
        <v>0.12334422630134606</v>
      </c>
      <c r="I7" s="86">
        <f>RESUMEN!G34</f>
        <v>42252030936</v>
      </c>
    </row>
    <row r="8" spans="1:9" ht="15" customHeight="1">
      <c r="A8" s="82" t="str">
        <f>RESUMEN!A35</f>
        <v>DEFENSA Y SEGURIDAD</v>
      </c>
      <c r="B8" s="104">
        <f>RESUMEN!B35</f>
        <v>24911843796.398922</v>
      </c>
      <c r="C8" s="105">
        <f t="shared" si="0"/>
        <v>4.9501587800187333E-2</v>
      </c>
      <c r="D8" s="83">
        <f>RESUMEN!C35</f>
        <v>4702235023</v>
      </c>
      <c r="E8" s="106">
        <f>RESUMEN!D35</f>
        <v>165257569</v>
      </c>
      <c r="F8" s="107">
        <f>RESUMEN!E35</f>
        <v>9403645941.7704277</v>
      </c>
      <c r="G8" s="107">
        <f>RESUMEN!F35</f>
        <v>9568903510.7704277</v>
      </c>
      <c r="H8" s="108">
        <f t="shared" si="1"/>
        <v>8.7521957652518745E-2</v>
      </c>
      <c r="I8" s="86">
        <f>RESUMEN!G35</f>
        <v>10640705262.62849</v>
      </c>
    </row>
    <row r="9" spans="1:9" ht="15" customHeight="1">
      <c r="A9" s="82" t="str">
        <f>RESUMEN!A36</f>
        <v>ENERGÍA</v>
      </c>
      <c r="B9" s="104">
        <f>RESUMEN!B36</f>
        <v>16793562743</v>
      </c>
      <c r="C9" s="105">
        <f t="shared" si="0"/>
        <v>3.3369991695305079E-2</v>
      </c>
      <c r="D9" s="83">
        <f>RESUMEN!C36</f>
        <v>9691551743</v>
      </c>
      <c r="E9" s="106">
        <f>RESUMEN!D36</f>
        <v>977663148</v>
      </c>
      <c r="F9" s="107">
        <f>RESUMEN!E36</f>
        <v>6609265702</v>
      </c>
      <c r="G9" s="107">
        <f>RESUMEN!F36</f>
        <v>7586928850</v>
      </c>
      <c r="H9" s="108">
        <f t="shared" si="1"/>
        <v>6.939383021001011E-2</v>
      </c>
      <c r="I9" s="86">
        <f>RESUMEN!G36</f>
        <v>-484917850</v>
      </c>
    </row>
    <row r="10" spans="1:9" ht="15" customHeight="1">
      <c r="A10" s="82" t="str">
        <f>RESUMEN!A37</f>
        <v>DEPORTE</v>
      </c>
      <c r="B10" s="104">
        <f>RESUMEN!B37</f>
        <v>29005827561.398918</v>
      </c>
      <c r="C10" s="105">
        <f t="shared" si="0"/>
        <v>5.7636621820631201E-2</v>
      </c>
      <c r="D10" s="109">
        <f>RESUMEN!C37</f>
        <v>11764764502</v>
      </c>
      <c r="E10" s="106">
        <f>RESUMEN!D37</f>
        <v>122065179</v>
      </c>
      <c r="F10" s="107">
        <f>RESUMEN!E37</f>
        <v>4684160516.4370956</v>
      </c>
      <c r="G10" s="107">
        <f>RESUMEN!F37</f>
        <v>4806225695.4370956</v>
      </c>
      <c r="H10" s="108">
        <f t="shared" si="1"/>
        <v>4.3960134127282557E-2</v>
      </c>
      <c r="I10" s="86">
        <f>RESUMEN!G37</f>
        <v>12434837363.961823</v>
      </c>
    </row>
    <row r="11" spans="1:9" ht="15" customHeight="1">
      <c r="A11" s="82" t="str">
        <f>RESUMEN!A38</f>
        <v>SILVOAGROPECUARIO</v>
      </c>
      <c r="B11" s="104">
        <f>RESUMEN!B38</f>
        <v>11988384511</v>
      </c>
      <c r="C11" s="105">
        <f t="shared" si="0"/>
        <v>2.3821764189909396E-2</v>
      </c>
      <c r="D11" s="83">
        <f>RESUMEN!C38</f>
        <v>3194665795</v>
      </c>
      <c r="E11" s="106">
        <f>RESUMEN!D38</f>
        <v>84613427</v>
      </c>
      <c r="F11" s="107">
        <f>RESUMEN!E38</f>
        <v>4348343504</v>
      </c>
      <c r="G11" s="107">
        <f>RESUMEN!F38</f>
        <v>4432956931</v>
      </c>
      <c r="H11" s="108">
        <f t="shared" si="1"/>
        <v>4.0546032087555625E-2</v>
      </c>
      <c r="I11" s="86">
        <f>RESUMEN!G38</f>
        <v>4360761785</v>
      </c>
    </row>
    <row r="12" spans="1:9" ht="15" customHeight="1">
      <c r="A12" s="82" t="str">
        <f>RESUMEN!A39</f>
        <v>ENERGIA</v>
      </c>
      <c r="B12" s="104">
        <f>RESUMEN!B39</f>
        <v>5214464827</v>
      </c>
      <c r="C12" s="105">
        <f t="shared" si="0"/>
        <v>1.0361508789728432E-2</v>
      </c>
      <c r="D12" s="83">
        <f>RESUMEN!C39</f>
        <v>803631310</v>
      </c>
      <c r="E12" s="106">
        <f>RESUMEN!D39</f>
        <v>583273150</v>
      </c>
      <c r="F12" s="107">
        <f>RESUMEN!E39</f>
        <v>3683921428</v>
      </c>
      <c r="G12" s="107">
        <f>RESUMEN!F39</f>
        <v>4267194578</v>
      </c>
      <c r="H12" s="108">
        <f t="shared" si="1"/>
        <v>3.902988704300394E-2</v>
      </c>
      <c r="I12" s="86">
        <f>RESUMEN!G39</f>
        <v>143638939</v>
      </c>
    </row>
    <row r="13" spans="1:9" ht="15" customHeight="1">
      <c r="A13" s="82" t="str">
        <f>RESUMEN!A40</f>
        <v>AGUA POTABLE Y ALCANTARILLADO</v>
      </c>
      <c r="B13" s="104">
        <f>RESUMEN!B40</f>
        <v>31005286387</v>
      </c>
      <c r="C13" s="105">
        <f t="shared" si="0"/>
        <v>6.160968729973712E-2</v>
      </c>
      <c r="D13" s="83">
        <f>RESUMEN!C40</f>
        <v>7448409834</v>
      </c>
      <c r="E13" s="106">
        <f>RESUMEN!D40</f>
        <v>881154468</v>
      </c>
      <c r="F13" s="107">
        <f>RESUMEN!E40</f>
        <v>2170707666</v>
      </c>
      <c r="G13" s="107">
        <f>RESUMEN!F40</f>
        <v>3051862134</v>
      </c>
      <c r="H13" s="108">
        <f t="shared" si="1"/>
        <v>2.7913851169324613E-2</v>
      </c>
      <c r="I13" s="86">
        <f>RESUMEN!G40</f>
        <v>20505014419</v>
      </c>
    </row>
    <row r="14" spans="1:9" ht="15" customHeight="1">
      <c r="A14" s="82" t="str">
        <f>RESUMEN!A41</f>
        <v>INDUSTRIA, COMERCIO, FINANZAS Y TURISMO</v>
      </c>
      <c r="B14" s="104">
        <f>RESUMEN!B41</f>
        <v>21358789920</v>
      </c>
      <c r="C14" s="105">
        <f t="shared" si="0"/>
        <v>4.2441419558173009E-2</v>
      </c>
      <c r="D14" s="83">
        <f>RESUMEN!C41</f>
        <v>8714132057</v>
      </c>
      <c r="E14" s="106">
        <f>RESUMEN!D41</f>
        <v>176388828</v>
      </c>
      <c r="F14" s="107">
        <f>RESUMEN!E41</f>
        <v>2217571522.3333335</v>
      </c>
      <c r="G14" s="107">
        <f>RESUMEN!F41</f>
        <v>2393960350.3333335</v>
      </c>
      <c r="H14" s="108">
        <f t="shared" si="1"/>
        <v>2.1896353763819425E-2</v>
      </c>
      <c r="I14" s="86">
        <f>RESUMEN!G41</f>
        <v>10250697512.666666</v>
      </c>
    </row>
    <row r="15" spans="1:9" ht="15" customHeight="1">
      <c r="A15" s="110" t="str">
        <f>RESUMEN!A42</f>
        <v>VIVIENDA</v>
      </c>
      <c r="B15" s="71">
        <f>RESUMEN!B42</f>
        <v>6957824536</v>
      </c>
      <c r="C15" s="72">
        <f t="shared" si="0"/>
        <v>1.3825687290833489E-2</v>
      </c>
      <c r="D15" s="73">
        <f>RESUMEN!C42</f>
        <v>2346639213</v>
      </c>
      <c r="E15" s="106">
        <f>RESUMEN!D42</f>
        <v>700118391</v>
      </c>
      <c r="F15" s="107">
        <f>RESUMEN!E42</f>
        <v>1230334247</v>
      </c>
      <c r="G15" s="107">
        <f>RESUMEN!F42</f>
        <v>1930452638</v>
      </c>
      <c r="H15" s="111">
        <f t="shared" si="1"/>
        <v>1.7656881359819014E-2</v>
      </c>
      <c r="I15" s="78">
        <f>RESUMEN!G42</f>
        <v>2680732685</v>
      </c>
    </row>
    <row r="16" spans="1:9" s="60" customFormat="1" ht="15" customHeight="1" thickBot="1">
      <c r="A16" s="62" t="s">
        <v>217</v>
      </c>
      <c r="B16" s="89">
        <f>SUM(B4:B15)</f>
        <v>503253428899.19678</v>
      </c>
      <c r="C16" s="112">
        <f>B16/B$16</f>
        <v>1</v>
      </c>
      <c r="D16" s="113">
        <f t="shared" ref="D16:I16" si="2">SUM(D4:D15)</f>
        <v>137410053039</v>
      </c>
      <c r="E16" s="89">
        <f t="shared" si="2"/>
        <v>25883934276</v>
      </c>
      <c r="F16" s="92">
        <f t="shared" si="2"/>
        <v>83447526850.144608</v>
      </c>
      <c r="G16" s="92">
        <f t="shared" si="2"/>
        <v>109331461126.14461</v>
      </c>
      <c r="H16" s="114">
        <f t="shared" si="2"/>
        <v>1.0000000000000002</v>
      </c>
      <c r="I16" s="115">
        <f t="shared" si="2"/>
        <v>256511914734.05212</v>
      </c>
    </row>
    <row r="18" spans="1:9" s="60" customFormat="1">
      <c r="A18" s="59"/>
      <c r="B18" s="59"/>
      <c r="C18" s="59"/>
      <c r="D18" s="59"/>
      <c r="E18" s="59"/>
      <c r="F18" s="59"/>
      <c r="H18" s="59"/>
      <c r="I18" s="98" t="s">
        <v>464</v>
      </c>
    </row>
  </sheetData>
  <mergeCells count="2">
    <mergeCell ref="B2:C2"/>
    <mergeCell ref="E2:I2"/>
  </mergeCells>
  <printOptions horizontalCentered="1" verticalCentered="1"/>
  <pageMargins left="1.5748031496062993" right="0.15748031496062992" top="1.4960629921259843" bottom="0.19685039370078741" header="0.74803149606299213" footer="0"/>
  <pageSetup paperSize="5" scale="85" orientation="landscape" r:id="rId1"/>
  <headerFooter alignWithMargins="0">
    <oddHeader>&amp;L                                                       &amp;G
               &amp;C&amp;"-,Negrita"&amp;12ESTADO DE SITUACIÓN  MES DE JUNIO POR SECTORES&amp;R&amp;9DIVISION DE PRESUPUESTO E 
INVERSION REGIONAL
&amp;D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3"/>
  <sheetViews>
    <sheetView zoomScaleNormal="100" workbookViewId="0">
      <selection activeCell="J28" sqref="J28"/>
    </sheetView>
  </sheetViews>
  <sheetFormatPr baseColWidth="10" defaultColWidth="11.42578125" defaultRowHeight="12.75"/>
  <cols>
    <col min="1" max="1" width="12.85546875" style="59" bestFit="1" customWidth="1"/>
    <col min="2" max="2" width="14.7109375" style="59" bestFit="1" customWidth="1"/>
    <col min="3" max="3" width="10.42578125" style="59" customWidth="1"/>
    <col min="4" max="4" width="14.7109375" style="59" bestFit="1" customWidth="1"/>
    <col min="5" max="5" width="13.7109375" style="59" bestFit="1" customWidth="1"/>
    <col min="6" max="7" width="14.7109375" style="59" customWidth="1"/>
    <col min="8" max="8" width="11.28515625" style="59" customWidth="1"/>
    <col min="9" max="9" width="14.28515625" style="59" customWidth="1"/>
    <col min="10" max="10" width="15.5703125" style="60" customWidth="1"/>
    <col min="11" max="11" width="14.7109375" style="59" hidden="1" customWidth="1"/>
    <col min="12" max="12" width="12.42578125" style="59" bestFit="1" customWidth="1"/>
    <col min="13" max="13" width="21.85546875" style="59" customWidth="1"/>
    <col min="14" max="14" width="14.7109375" style="59" bestFit="1" customWidth="1"/>
    <col min="15" max="222" width="11.42578125" style="59"/>
    <col min="223" max="223" width="2.28515625" style="59" bestFit="1" customWidth="1"/>
    <col min="224" max="224" width="2.140625" style="59" bestFit="1" customWidth="1"/>
    <col min="225" max="225" width="1.140625" style="59" customWidth="1"/>
    <col min="226" max="227" width="2" style="59" bestFit="1" customWidth="1"/>
    <col min="228" max="229" width="2.140625" style="59" bestFit="1" customWidth="1"/>
    <col min="230" max="230" width="1.7109375" style="59" bestFit="1" customWidth="1"/>
    <col min="231" max="231" width="0.85546875" style="59" bestFit="1" customWidth="1"/>
    <col min="232" max="232" width="2" style="59" bestFit="1" customWidth="1"/>
    <col min="233" max="233" width="2.140625" style="59" bestFit="1" customWidth="1"/>
    <col min="234" max="478" width="11.42578125" style="59"/>
    <col min="479" max="479" width="2.28515625" style="59" bestFit="1" customWidth="1"/>
    <col min="480" max="480" width="2.140625" style="59" bestFit="1" customWidth="1"/>
    <col min="481" max="481" width="1.140625" style="59" customWidth="1"/>
    <col min="482" max="483" width="2" style="59" bestFit="1" customWidth="1"/>
    <col min="484" max="485" width="2.140625" style="59" bestFit="1" customWidth="1"/>
    <col min="486" max="486" width="1.7109375" style="59" bestFit="1" customWidth="1"/>
    <col min="487" max="487" width="0.85546875" style="59" bestFit="1" customWidth="1"/>
    <col min="488" max="488" width="2" style="59" bestFit="1" customWidth="1"/>
    <col min="489" max="489" width="2.140625" style="59" bestFit="1" customWidth="1"/>
    <col min="490" max="734" width="11.42578125" style="59"/>
    <col min="735" max="735" width="2.28515625" style="59" bestFit="1" customWidth="1"/>
    <col min="736" max="736" width="2.140625" style="59" bestFit="1" customWidth="1"/>
    <col min="737" max="737" width="1.140625" style="59" customWidth="1"/>
    <col min="738" max="739" width="2" style="59" bestFit="1" customWidth="1"/>
    <col min="740" max="741" width="2.140625" style="59" bestFit="1" customWidth="1"/>
    <col min="742" max="742" width="1.7109375" style="59" bestFit="1" customWidth="1"/>
    <col min="743" max="743" width="0.85546875" style="59" bestFit="1" customWidth="1"/>
    <col min="744" max="744" width="2" style="59" bestFit="1" customWidth="1"/>
    <col min="745" max="745" width="2.140625" style="59" bestFit="1" customWidth="1"/>
    <col min="746" max="990" width="11.42578125" style="59"/>
    <col min="991" max="991" width="2.28515625" style="59" bestFit="1" customWidth="1"/>
    <col min="992" max="992" width="2.140625" style="59" bestFit="1" customWidth="1"/>
    <col min="993" max="993" width="1.140625" style="59" customWidth="1"/>
    <col min="994" max="995" width="2" style="59" bestFit="1" customWidth="1"/>
    <col min="996" max="997" width="2.140625" style="59" bestFit="1" customWidth="1"/>
    <col min="998" max="998" width="1.7109375" style="59" bestFit="1" customWidth="1"/>
    <col min="999" max="999" width="0.85546875" style="59" bestFit="1" customWidth="1"/>
    <col min="1000" max="1000" width="2" style="59" bestFit="1" customWidth="1"/>
    <col min="1001" max="1001" width="2.140625" style="59" bestFit="1" customWidth="1"/>
    <col min="1002" max="1246" width="11.42578125" style="59"/>
    <col min="1247" max="1247" width="2.28515625" style="59" bestFit="1" customWidth="1"/>
    <col min="1248" max="1248" width="2.140625" style="59" bestFit="1" customWidth="1"/>
    <col min="1249" max="1249" width="1.140625" style="59" customWidth="1"/>
    <col min="1250" max="1251" width="2" style="59" bestFit="1" customWidth="1"/>
    <col min="1252" max="1253" width="2.140625" style="59" bestFit="1" customWidth="1"/>
    <col min="1254" max="1254" width="1.7109375" style="59" bestFit="1" customWidth="1"/>
    <col min="1255" max="1255" width="0.85546875" style="59" bestFit="1" customWidth="1"/>
    <col min="1256" max="1256" width="2" style="59" bestFit="1" customWidth="1"/>
    <col min="1257" max="1257" width="2.140625" style="59" bestFit="1" customWidth="1"/>
    <col min="1258" max="1502" width="11.42578125" style="59"/>
    <col min="1503" max="1503" width="2.28515625" style="59" bestFit="1" customWidth="1"/>
    <col min="1504" max="1504" width="2.140625" style="59" bestFit="1" customWidth="1"/>
    <col min="1505" max="1505" width="1.140625" style="59" customWidth="1"/>
    <col min="1506" max="1507" width="2" style="59" bestFit="1" customWidth="1"/>
    <col min="1508" max="1509" width="2.140625" style="59" bestFit="1" customWidth="1"/>
    <col min="1510" max="1510" width="1.7109375" style="59" bestFit="1" customWidth="1"/>
    <col min="1511" max="1511" width="0.85546875" style="59" bestFit="1" customWidth="1"/>
    <col min="1512" max="1512" width="2" style="59" bestFit="1" customWidth="1"/>
    <col min="1513" max="1513" width="2.140625" style="59" bestFit="1" customWidth="1"/>
    <col min="1514" max="1758" width="11.42578125" style="59"/>
    <col min="1759" max="1759" width="2.28515625" style="59" bestFit="1" customWidth="1"/>
    <col min="1760" max="1760" width="2.140625" style="59" bestFit="1" customWidth="1"/>
    <col min="1761" max="1761" width="1.140625" style="59" customWidth="1"/>
    <col min="1762" max="1763" width="2" style="59" bestFit="1" customWidth="1"/>
    <col min="1764" max="1765" width="2.140625" style="59" bestFit="1" customWidth="1"/>
    <col min="1766" max="1766" width="1.7109375" style="59" bestFit="1" customWidth="1"/>
    <col min="1767" max="1767" width="0.85546875" style="59" bestFit="1" customWidth="1"/>
    <col min="1768" max="1768" width="2" style="59" bestFit="1" customWidth="1"/>
    <col min="1769" max="1769" width="2.140625" style="59" bestFit="1" customWidth="1"/>
    <col min="1770" max="2014" width="11.42578125" style="59"/>
    <col min="2015" max="2015" width="2.28515625" style="59" bestFit="1" customWidth="1"/>
    <col min="2016" max="2016" width="2.140625" style="59" bestFit="1" customWidth="1"/>
    <col min="2017" max="2017" width="1.140625" style="59" customWidth="1"/>
    <col min="2018" max="2019" width="2" style="59" bestFit="1" customWidth="1"/>
    <col min="2020" max="2021" width="2.140625" style="59" bestFit="1" customWidth="1"/>
    <col min="2022" max="2022" width="1.7109375" style="59" bestFit="1" customWidth="1"/>
    <col min="2023" max="2023" width="0.85546875" style="59" bestFit="1" customWidth="1"/>
    <col min="2024" max="2024" width="2" style="59" bestFit="1" customWidth="1"/>
    <col min="2025" max="2025" width="2.140625" style="59" bestFit="1" customWidth="1"/>
    <col min="2026" max="2270" width="11.42578125" style="59"/>
    <col min="2271" max="2271" width="2.28515625" style="59" bestFit="1" customWidth="1"/>
    <col min="2272" max="2272" width="2.140625" style="59" bestFit="1" customWidth="1"/>
    <col min="2273" max="2273" width="1.140625" style="59" customWidth="1"/>
    <col min="2274" max="2275" width="2" style="59" bestFit="1" customWidth="1"/>
    <col min="2276" max="2277" width="2.140625" style="59" bestFit="1" customWidth="1"/>
    <col min="2278" max="2278" width="1.7109375" style="59" bestFit="1" customWidth="1"/>
    <col min="2279" max="2279" width="0.85546875" style="59" bestFit="1" customWidth="1"/>
    <col min="2280" max="2280" width="2" style="59" bestFit="1" customWidth="1"/>
    <col min="2281" max="2281" width="2.140625" style="59" bestFit="1" customWidth="1"/>
    <col min="2282" max="2526" width="11.42578125" style="59"/>
    <col min="2527" max="2527" width="2.28515625" style="59" bestFit="1" customWidth="1"/>
    <col min="2528" max="2528" width="2.140625" style="59" bestFit="1" customWidth="1"/>
    <col min="2529" max="2529" width="1.140625" style="59" customWidth="1"/>
    <col min="2530" max="2531" width="2" style="59" bestFit="1" customWidth="1"/>
    <col min="2532" max="2533" width="2.140625" style="59" bestFit="1" customWidth="1"/>
    <col min="2534" max="2534" width="1.7109375" style="59" bestFit="1" customWidth="1"/>
    <col min="2535" max="2535" width="0.85546875" style="59" bestFit="1" customWidth="1"/>
    <col min="2536" max="2536" width="2" style="59" bestFit="1" customWidth="1"/>
    <col min="2537" max="2537" width="2.140625" style="59" bestFit="1" customWidth="1"/>
    <col min="2538" max="2782" width="11.42578125" style="59"/>
    <col min="2783" max="2783" width="2.28515625" style="59" bestFit="1" customWidth="1"/>
    <col min="2784" max="2784" width="2.140625" style="59" bestFit="1" customWidth="1"/>
    <col min="2785" max="2785" width="1.140625" style="59" customWidth="1"/>
    <col min="2786" max="2787" width="2" style="59" bestFit="1" customWidth="1"/>
    <col min="2788" max="2789" width="2.140625" style="59" bestFit="1" customWidth="1"/>
    <col min="2790" max="2790" width="1.7109375" style="59" bestFit="1" customWidth="1"/>
    <col min="2791" max="2791" width="0.85546875" style="59" bestFit="1" customWidth="1"/>
    <col min="2792" max="2792" width="2" style="59" bestFit="1" customWidth="1"/>
    <col min="2793" max="2793" width="2.140625" style="59" bestFit="1" customWidth="1"/>
    <col min="2794" max="3038" width="11.42578125" style="59"/>
    <col min="3039" max="3039" width="2.28515625" style="59" bestFit="1" customWidth="1"/>
    <col min="3040" max="3040" width="2.140625" style="59" bestFit="1" customWidth="1"/>
    <col min="3041" max="3041" width="1.140625" style="59" customWidth="1"/>
    <col min="3042" max="3043" width="2" style="59" bestFit="1" customWidth="1"/>
    <col min="3044" max="3045" width="2.140625" style="59" bestFit="1" customWidth="1"/>
    <col min="3046" max="3046" width="1.7109375" style="59" bestFit="1" customWidth="1"/>
    <col min="3047" max="3047" width="0.85546875" style="59" bestFit="1" customWidth="1"/>
    <col min="3048" max="3048" width="2" style="59" bestFit="1" customWidth="1"/>
    <col min="3049" max="3049" width="2.140625" style="59" bestFit="1" customWidth="1"/>
    <col min="3050" max="3294" width="11.42578125" style="59"/>
    <col min="3295" max="3295" width="2.28515625" style="59" bestFit="1" customWidth="1"/>
    <col min="3296" max="3296" width="2.140625" style="59" bestFit="1" customWidth="1"/>
    <col min="3297" max="3297" width="1.140625" style="59" customWidth="1"/>
    <col min="3298" max="3299" width="2" style="59" bestFit="1" customWidth="1"/>
    <col min="3300" max="3301" width="2.140625" style="59" bestFit="1" customWidth="1"/>
    <col min="3302" max="3302" width="1.7109375" style="59" bestFit="1" customWidth="1"/>
    <col min="3303" max="3303" width="0.85546875" style="59" bestFit="1" customWidth="1"/>
    <col min="3304" max="3304" width="2" style="59" bestFit="1" customWidth="1"/>
    <col min="3305" max="3305" width="2.140625" style="59" bestFit="1" customWidth="1"/>
    <col min="3306" max="3550" width="11.42578125" style="59"/>
    <col min="3551" max="3551" width="2.28515625" style="59" bestFit="1" customWidth="1"/>
    <col min="3552" max="3552" width="2.140625" style="59" bestFit="1" customWidth="1"/>
    <col min="3553" max="3553" width="1.140625" style="59" customWidth="1"/>
    <col min="3554" max="3555" width="2" style="59" bestFit="1" customWidth="1"/>
    <col min="3556" max="3557" width="2.140625" style="59" bestFit="1" customWidth="1"/>
    <col min="3558" max="3558" width="1.7109375" style="59" bestFit="1" customWidth="1"/>
    <col min="3559" max="3559" width="0.85546875" style="59" bestFit="1" customWidth="1"/>
    <col min="3560" max="3560" width="2" style="59" bestFit="1" customWidth="1"/>
    <col min="3561" max="3561" width="2.140625" style="59" bestFit="1" customWidth="1"/>
    <col min="3562" max="3806" width="11.42578125" style="59"/>
    <col min="3807" max="3807" width="2.28515625" style="59" bestFit="1" customWidth="1"/>
    <col min="3808" max="3808" width="2.140625" style="59" bestFit="1" customWidth="1"/>
    <col min="3809" max="3809" width="1.140625" style="59" customWidth="1"/>
    <col min="3810" max="3811" width="2" style="59" bestFit="1" customWidth="1"/>
    <col min="3812" max="3813" width="2.140625" style="59" bestFit="1" customWidth="1"/>
    <col min="3814" max="3814" width="1.7109375" style="59" bestFit="1" customWidth="1"/>
    <col min="3815" max="3815" width="0.85546875" style="59" bestFit="1" customWidth="1"/>
    <col min="3816" max="3816" width="2" style="59" bestFit="1" customWidth="1"/>
    <col min="3817" max="3817" width="2.140625" style="59" bestFit="1" customWidth="1"/>
    <col min="3818" max="4062" width="11.42578125" style="59"/>
    <col min="4063" max="4063" width="2.28515625" style="59" bestFit="1" customWidth="1"/>
    <col min="4064" max="4064" width="2.140625" style="59" bestFit="1" customWidth="1"/>
    <col min="4065" max="4065" width="1.140625" style="59" customWidth="1"/>
    <col min="4066" max="4067" width="2" style="59" bestFit="1" customWidth="1"/>
    <col min="4068" max="4069" width="2.140625" style="59" bestFit="1" customWidth="1"/>
    <col min="4070" max="4070" width="1.7109375" style="59" bestFit="1" customWidth="1"/>
    <col min="4071" max="4071" width="0.85546875" style="59" bestFit="1" customWidth="1"/>
    <col min="4072" max="4072" width="2" style="59" bestFit="1" customWidth="1"/>
    <col min="4073" max="4073" width="2.140625" style="59" bestFit="1" customWidth="1"/>
    <col min="4074" max="4318" width="11.42578125" style="59"/>
    <col min="4319" max="4319" width="2.28515625" style="59" bestFit="1" customWidth="1"/>
    <col min="4320" max="4320" width="2.140625" style="59" bestFit="1" customWidth="1"/>
    <col min="4321" max="4321" width="1.140625" style="59" customWidth="1"/>
    <col min="4322" max="4323" width="2" style="59" bestFit="1" customWidth="1"/>
    <col min="4324" max="4325" width="2.140625" style="59" bestFit="1" customWidth="1"/>
    <col min="4326" max="4326" width="1.7109375" style="59" bestFit="1" customWidth="1"/>
    <col min="4327" max="4327" width="0.85546875" style="59" bestFit="1" customWidth="1"/>
    <col min="4328" max="4328" width="2" style="59" bestFit="1" customWidth="1"/>
    <col min="4329" max="4329" width="2.140625" style="59" bestFit="1" customWidth="1"/>
    <col min="4330" max="4574" width="11.42578125" style="59"/>
    <col min="4575" max="4575" width="2.28515625" style="59" bestFit="1" customWidth="1"/>
    <col min="4576" max="4576" width="2.140625" style="59" bestFit="1" customWidth="1"/>
    <col min="4577" max="4577" width="1.140625" style="59" customWidth="1"/>
    <col min="4578" max="4579" width="2" style="59" bestFit="1" customWidth="1"/>
    <col min="4580" max="4581" width="2.140625" style="59" bestFit="1" customWidth="1"/>
    <col min="4582" max="4582" width="1.7109375" style="59" bestFit="1" customWidth="1"/>
    <col min="4583" max="4583" width="0.85546875" style="59" bestFit="1" customWidth="1"/>
    <col min="4584" max="4584" width="2" style="59" bestFit="1" customWidth="1"/>
    <col min="4585" max="4585" width="2.140625" style="59" bestFit="1" customWidth="1"/>
    <col min="4586" max="4830" width="11.42578125" style="59"/>
    <col min="4831" max="4831" width="2.28515625" style="59" bestFit="1" customWidth="1"/>
    <col min="4832" max="4832" width="2.140625" style="59" bestFit="1" customWidth="1"/>
    <col min="4833" max="4833" width="1.140625" style="59" customWidth="1"/>
    <col min="4834" max="4835" width="2" style="59" bestFit="1" customWidth="1"/>
    <col min="4836" max="4837" width="2.140625" style="59" bestFit="1" customWidth="1"/>
    <col min="4838" max="4838" width="1.7109375" style="59" bestFit="1" customWidth="1"/>
    <col min="4839" max="4839" width="0.85546875" style="59" bestFit="1" customWidth="1"/>
    <col min="4840" max="4840" width="2" style="59" bestFit="1" customWidth="1"/>
    <col min="4841" max="4841" width="2.140625" style="59" bestFit="1" customWidth="1"/>
    <col min="4842" max="5086" width="11.42578125" style="59"/>
    <col min="5087" max="5087" width="2.28515625" style="59" bestFit="1" customWidth="1"/>
    <col min="5088" max="5088" width="2.140625" style="59" bestFit="1" customWidth="1"/>
    <col min="5089" max="5089" width="1.140625" style="59" customWidth="1"/>
    <col min="5090" max="5091" width="2" style="59" bestFit="1" customWidth="1"/>
    <col min="5092" max="5093" width="2.140625" style="59" bestFit="1" customWidth="1"/>
    <col min="5094" max="5094" width="1.7109375" style="59" bestFit="1" customWidth="1"/>
    <col min="5095" max="5095" width="0.85546875" style="59" bestFit="1" customWidth="1"/>
    <col min="5096" max="5096" width="2" style="59" bestFit="1" customWidth="1"/>
    <col min="5097" max="5097" width="2.140625" style="59" bestFit="1" customWidth="1"/>
    <col min="5098" max="5342" width="11.42578125" style="59"/>
    <col min="5343" max="5343" width="2.28515625" style="59" bestFit="1" customWidth="1"/>
    <col min="5344" max="5344" width="2.140625" style="59" bestFit="1" customWidth="1"/>
    <col min="5345" max="5345" width="1.140625" style="59" customWidth="1"/>
    <col min="5346" max="5347" width="2" style="59" bestFit="1" customWidth="1"/>
    <col min="5348" max="5349" width="2.140625" style="59" bestFit="1" customWidth="1"/>
    <col min="5350" max="5350" width="1.7109375" style="59" bestFit="1" customWidth="1"/>
    <col min="5351" max="5351" width="0.85546875" style="59" bestFit="1" customWidth="1"/>
    <col min="5352" max="5352" width="2" style="59" bestFit="1" customWidth="1"/>
    <col min="5353" max="5353" width="2.140625" style="59" bestFit="1" customWidth="1"/>
    <col min="5354" max="5598" width="11.42578125" style="59"/>
    <col min="5599" max="5599" width="2.28515625" style="59" bestFit="1" customWidth="1"/>
    <col min="5600" max="5600" width="2.140625" style="59" bestFit="1" customWidth="1"/>
    <col min="5601" max="5601" width="1.140625" style="59" customWidth="1"/>
    <col min="5602" max="5603" width="2" style="59" bestFit="1" customWidth="1"/>
    <col min="5604" max="5605" width="2.140625" style="59" bestFit="1" customWidth="1"/>
    <col min="5606" max="5606" width="1.7109375" style="59" bestFit="1" customWidth="1"/>
    <col min="5607" max="5607" width="0.85546875" style="59" bestFit="1" customWidth="1"/>
    <col min="5608" max="5608" width="2" style="59" bestFit="1" customWidth="1"/>
    <col min="5609" max="5609" width="2.140625" style="59" bestFit="1" customWidth="1"/>
    <col min="5610" max="5854" width="11.42578125" style="59"/>
    <col min="5855" max="5855" width="2.28515625" style="59" bestFit="1" customWidth="1"/>
    <col min="5856" max="5856" width="2.140625" style="59" bestFit="1" customWidth="1"/>
    <col min="5857" max="5857" width="1.140625" style="59" customWidth="1"/>
    <col min="5858" max="5859" width="2" style="59" bestFit="1" customWidth="1"/>
    <col min="5860" max="5861" width="2.140625" style="59" bestFit="1" customWidth="1"/>
    <col min="5862" max="5862" width="1.7109375" style="59" bestFit="1" customWidth="1"/>
    <col min="5863" max="5863" width="0.85546875" style="59" bestFit="1" customWidth="1"/>
    <col min="5864" max="5864" width="2" style="59" bestFit="1" customWidth="1"/>
    <col min="5865" max="5865" width="2.140625" style="59" bestFit="1" customWidth="1"/>
    <col min="5866" max="6110" width="11.42578125" style="59"/>
    <col min="6111" max="6111" width="2.28515625" style="59" bestFit="1" customWidth="1"/>
    <col min="6112" max="6112" width="2.140625" style="59" bestFit="1" customWidth="1"/>
    <col min="6113" max="6113" width="1.140625" style="59" customWidth="1"/>
    <col min="6114" max="6115" width="2" style="59" bestFit="1" customWidth="1"/>
    <col min="6116" max="6117" width="2.140625" style="59" bestFit="1" customWidth="1"/>
    <col min="6118" max="6118" width="1.7109375" style="59" bestFit="1" customWidth="1"/>
    <col min="6119" max="6119" width="0.85546875" style="59" bestFit="1" customWidth="1"/>
    <col min="6120" max="6120" width="2" style="59" bestFit="1" customWidth="1"/>
    <col min="6121" max="6121" width="2.140625" style="59" bestFit="1" customWidth="1"/>
    <col min="6122" max="6366" width="11.42578125" style="59"/>
    <col min="6367" max="6367" width="2.28515625" style="59" bestFit="1" customWidth="1"/>
    <col min="6368" max="6368" width="2.140625" style="59" bestFit="1" customWidth="1"/>
    <col min="6369" max="6369" width="1.140625" style="59" customWidth="1"/>
    <col min="6370" max="6371" width="2" style="59" bestFit="1" customWidth="1"/>
    <col min="6372" max="6373" width="2.140625" style="59" bestFit="1" customWidth="1"/>
    <col min="6374" max="6374" width="1.7109375" style="59" bestFit="1" customWidth="1"/>
    <col min="6375" max="6375" width="0.85546875" style="59" bestFit="1" customWidth="1"/>
    <col min="6376" max="6376" width="2" style="59" bestFit="1" customWidth="1"/>
    <col min="6377" max="6377" width="2.140625" style="59" bestFit="1" customWidth="1"/>
    <col min="6378" max="6622" width="11.42578125" style="59"/>
    <col min="6623" max="6623" width="2.28515625" style="59" bestFit="1" customWidth="1"/>
    <col min="6624" max="6624" width="2.140625" style="59" bestFit="1" customWidth="1"/>
    <col min="6625" max="6625" width="1.140625" style="59" customWidth="1"/>
    <col min="6626" max="6627" width="2" style="59" bestFit="1" customWidth="1"/>
    <col min="6628" max="6629" width="2.140625" style="59" bestFit="1" customWidth="1"/>
    <col min="6630" max="6630" width="1.7109375" style="59" bestFit="1" customWidth="1"/>
    <col min="6631" max="6631" width="0.85546875" style="59" bestFit="1" customWidth="1"/>
    <col min="6632" max="6632" width="2" style="59" bestFit="1" customWidth="1"/>
    <col min="6633" max="6633" width="2.140625" style="59" bestFit="1" customWidth="1"/>
    <col min="6634" max="6878" width="11.42578125" style="59"/>
    <col min="6879" max="6879" width="2.28515625" style="59" bestFit="1" customWidth="1"/>
    <col min="6880" max="6880" width="2.140625" style="59" bestFit="1" customWidth="1"/>
    <col min="6881" max="6881" width="1.140625" style="59" customWidth="1"/>
    <col min="6882" max="6883" width="2" style="59" bestFit="1" customWidth="1"/>
    <col min="6884" max="6885" width="2.140625" style="59" bestFit="1" customWidth="1"/>
    <col min="6886" max="6886" width="1.7109375" style="59" bestFit="1" customWidth="1"/>
    <col min="6887" max="6887" width="0.85546875" style="59" bestFit="1" customWidth="1"/>
    <col min="6888" max="6888" width="2" style="59" bestFit="1" customWidth="1"/>
    <col min="6889" max="6889" width="2.140625" style="59" bestFit="1" customWidth="1"/>
    <col min="6890" max="7134" width="11.42578125" style="59"/>
    <col min="7135" max="7135" width="2.28515625" style="59" bestFit="1" customWidth="1"/>
    <col min="7136" max="7136" width="2.140625" style="59" bestFit="1" customWidth="1"/>
    <col min="7137" max="7137" width="1.140625" style="59" customWidth="1"/>
    <col min="7138" max="7139" width="2" style="59" bestFit="1" customWidth="1"/>
    <col min="7140" max="7141" width="2.140625" style="59" bestFit="1" customWidth="1"/>
    <col min="7142" max="7142" width="1.7109375" style="59" bestFit="1" customWidth="1"/>
    <col min="7143" max="7143" width="0.85546875" style="59" bestFit="1" customWidth="1"/>
    <col min="7144" max="7144" width="2" style="59" bestFit="1" customWidth="1"/>
    <col min="7145" max="7145" width="2.140625" style="59" bestFit="1" customWidth="1"/>
    <col min="7146" max="7390" width="11.42578125" style="59"/>
    <col min="7391" max="7391" width="2.28515625" style="59" bestFit="1" customWidth="1"/>
    <col min="7392" max="7392" width="2.140625" style="59" bestFit="1" customWidth="1"/>
    <col min="7393" max="7393" width="1.140625" style="59" customWidth="1"/>
    <col min="7394" max="7395" width="2" style="59" bestFit="1" customWidth="1"/>
    <col min="7396" max="7397" width="2.140625" style="59" bestFit="1" customWidth="1"/>
    <col min="7398" max="7398" width="1.7109375" style="59" bestFit="1" customWidth="1"/>
    <col min="7399" max="7399" width="0.85546875" style="59" bestFit="1" customWidth="1"/>
    <col min="7400" max="7400" width="2" style="59" bestFit="1" customWidth="1"/>
    <col min="7401" max="7401" width="2.140625" style="59" bestFit="1" customWidth="1"/>
    <col min="7402" max="7646" width="11.42578125" style="59"/>
    <col min="7647" max="7647" width="2.28515625" style="59" bestFit="1" customWidth="1"/>
    <col min="7648" max="7648" width="2.140625" style="59" bestFit="1" customWidth="1"/>
    <col min="7649" max="7649" width="1.140625" style="59" customWidth="1"/>
    <col min="7650" max="7651" width="2" style="59" bestFit="1" customWidth="1"/>
    <col min="7652" max="7653" width="2.140625" style="59" bestFit="1" customWidth="1"/>
    <col min="7654" max="7654" width="1.7109375" style="59" bestFit="1" customWidth="1"/>
    <col min="7655" max="7655" width="0.85546875" style="59" bestFit="1" customWidth="1"/>
    <col min="7656" max="7656" width="2" style="59" bestFit="1" customWidth="1"/>
    <col min="7657" max="7657" width="2.140625" style="59" bestFit="1" customWidth="1"/>
    <col min="7658" max="7902" width="11.42578125" style="59"/>
    <col min="7903" max="7903" width="2.28515625" style="59" bestFit="1" customWidth="1"/>
    <col min="7904" max="7904" width="2.140625" style="59" bestFit="1" customWidth="1"/>
    <col min="7905" max="7905" width="1.140625" style="59" customWidth="1"/>
    <col min="7906" max="7907" width="2" style="59" bestFit="1" customWidth="1"/>
    <col min="7908" max="7909" width="2.140625" style="59" bestFit="1" customWidth="1"/>
    <col min="7910" max="7910" width="1.7109375" style="59" bestFit="1" customWidth="1"/>
    <col min="7911" max="7911" width="0.85546875" style="59" bestFit="1" customWidth="1"/>
    <col min="7912" max="7912" width="2" style="59" bestFit="1" customWidth="1"/>
    <col min="7913" max="7913" width="2.140625" style="59" bestFit="1" customWidth="1"/>
    <col min="7914" max="8158" width="11.42578125" style="59"/>
    <col min="8159" max="8159" width="2.28515625" style="59" bestFit="1" customWidth="1"/>
    <col min="8160" max="8160" width="2.140625" style="59" bestFit="1" customWidth="1"/>
    <col min="8161" max="8161" width="1.140625" style="59" customWidth="1"/>
    <col min="8162" max="8163" width="2" style="59" bestFit="1" customWidth="1"/>
    <col min="8164" max="8165" width="2.140625" style="59" bestFit="1" customWidth="1"/>
    <col min="8166" max="8166" width="1.7109375" style="59" bestFit="1" customWidth="1"/>
    <col min="8167" max="8167" width="0.85546875" style="59" bestFit="1" customWidth="1"/>
    <col min="8168" max="8168" width="2" style="59" bestFit="1" customWidth="1"/>
    <col min="8169" max="8169" width="2.140625" style="59" bestFit="1" customWidth="1"/>
    <col min="8170" max="8414" width="11.42578125" style="59"/>
    <col min="8415" max="8415" width="2.28515625" style="59" bestFit="1" customWidth="1"/>
    <col min="8416" max="8416" width="2.140625" style="59" bestFit="1" customWidth="1"/>
    <col min="8417" max="8417" width="1.140625" style="59" customWidth="1"/>
    <col min="8418" max="8419" width="2" style="59" bestFit="1" customWidth="1"/>
    <col min="8420" max="8421" width="2.140625" style="59" bestFit="1" customWidth="1"/>
    <col min="8422" max="8422" width="1.7109375" style="59" bestFit="1" customWidth="1"/>
    <col min="8423" max="8423" width="0.85546875" style="59" bestFit="1" customWidth="1"/>
    <col min="8424" max="8424" width="2" style="59" bestFit="1" customWidth="1"/>
    <col min="8425" max="8425" width="2.140625" style="59" bestFit="1" customWidth="1"/>
    <col min="8426" max="8670" width="11.42578125" style="59"/>
    <col min="8671" max="8671" width="2.28515625" style="59" bestFit="1" customWidth="1"/>
    <col min="8672" max="8672" width="2.140625" style="59" bestFit="1" customWidth="1"/>
    <col min="8673" max="8673" width="1.140625" style="59" customWidth="1"/>
    <col min="8674" max="8675" width="2" style="59" bestFit="1" customWidth="1"/>
    <col min="8676" max="8677" width="2.140625" style="59" bestFit="1" customWidth="1"/>
    <col min="8678" max="8678" width="1.7109375" style="59" bestFit="1" customWidth="1"/>
    <col min="8679" max="8679" width="0.85546875" style="59" bestFit="1" customWidth="1"/>
    <col min="8680" max="8680" width="2" style="59" bestFit="1" customWidth="1"/>
    <col min="8681" max="8681" width="2.140625" style="59" bestFit="1" customWidth="1"/>
    <col min="8682" max="8926" width="11.42578125" style="59"/>
    <col min="8927" max="8927" width="2.28515625" style="59" bestFit="1" customWidth="1"/>
    <col min="8928" max="8928" width="2.140625" style="59" bestFit="1" customWidth="1"/>
    <col min="8929" max="8929" width="1.140625" style="59" customWidth="1"/>
    <col min="8930" max="8931" width="2" style="59" bestFit="1" customWidth="1"/>
    <col min="8932" max="8933" width="2.140625" style="59" bestFit="1" customWidth="1"/>
    <col min="8934" max="8934" width="1.7109375" style="59" bestFit="1" customWidth="1"/>
    <col min="8935" max="8935" width="0.85546875" style="59" bestFit="1" customWidth="1"/>
    <col min="8936" max="8936" width="2" style="59" bestFit="1" customWidth="1"/>
    <col min="8937" max="8937" width="2.140625" style="59" bestFit="1" customWidth="1"/>
    <col min="8938" max="9182" width="11.42578125" style="59"/>
    <col min="9183" max="9183" width="2.28515625" style="59" bestFit="1" customWidth="1"/>
    <col min="9184" max="9184" width="2.140625" style="59" bestFit="1" customWidth="1"/>
    <col min="9185" max="9185" width="1.140625" style="59" customWidth="1"/>
    <col min="9186" max="9187" width="2" style="59" bestFit="1" customWidth="1"/>
    <col min="9188" max="9189" width="2.140625" style="59" bestFit="1" customWidth="1"/>
    <col min="9190" max="9190" width="1.7109375" style="59" bestFit="1" customWidth="1"/>
    <col min="9191" max="9191" width="0.85546875" style="59" bestFit="1" customWidth="1"/>
    <col min="9192" max="9192" width="2" style="59" bestFit="1" customWidth="1"/>
    <col min="9193" max="9193" width="2.140625" style="59" bestFit="1" customWidth="1"/>
    <col min="9194" max="9438" width="11.42578125" style="59"/>
    <col min="9439" max="9439" width="2.28515625" style="59" bestFit="1" customWidth="1"/>
    <col min="9440" max="9440" width="2.140625" style="59" bestFit="1" customWidth="1"/>
    <col min="9441" max="9441" width="1.140625" style="59" customWidth="1"/>
    <col min="9442" max="9443" width="2" style="59" bestFit="1" customWidth="1"/>
    <col min="9444" max="9445" width="2.140625" style="59" bestFit="1" customWidth="1"/>
    <col min="9446" max="9446" width="1.7109375" style="59" bestFit="1" customWidth="1"/>
    <col min="9447" max="9447" width="0.85546875" style="59" bestFit="1" customWidth="1"/>
    <col min="9448" max="9448" width="2" style="59" bestFit="1" customWidth="1"/>
    <col min="9449" max="9449" width="2.140625" style="59" bestFit="1" customWidth="1"/>
    <col min="9450" max="9694" width="11.42578125" style="59"/>
    <col min="9695" max="9695" width="2.28515625" style="59" bestFit="1" customWidth="1"/>
    <col min="9696" max="9696" width="2.140625" style="59" bestFit="1" customWidth="1"/>
    <col min="9697" max="9697" width="1.140625" style="59" customWidth="1"/>
    <col min="9698" max="9699" width="2" style="59" bestFit="1" customWidth="1"/>
    <col min="9700" max="9701" width="2.140625" style="59" bestFit="1" customWidth="1"/>
    <col min="9702" max="9702" width="1.7109375" style="59" bestFit="1" customWidth="1"/>
    <col min="9703" max="9703" width="0.85546875" style="59" bestFit="1" customWidth="1"/>
    <col min="9704" max="9704" width="2" style="59" bestFit="1" customWidth="1"/>
    <col min="9705" max="9705" width="2.140625" style="59" bestFit="1" customWidth="1"/>
    <col min="9706" max="9950" width="11.42578125" style="59"/>
    <col min="9951" max="9951" width="2.28515625" style="59" bestFit="1" customWidth="1"/>
    <col min="9952" max="9952" width="2.140625" style="59" bestFit="1" customWidth="1"/>
    <col min="9953" max="9953" width="1.140625" style="59" customWidth="1"/>
    <col min="9954" max="9955" width="2" style="59" bestFit="1" customWidth="1"/>
    <col min="9956" max="9957" width="2.140625" style="59" bestFit="1" customWidth="1"/>
    <col min="9958" max="9958" width="1.7109375" style="59" bestFit="1" customWidth="1"/>
    <col min="9959" max="9959" width="0.85546875" style="59" bestFit="1" customWidth="1"/>
    <col min="9960" max="9960" width="2" style="59" bestFit="1" customWidth="1"/>
    <col min="9961" max="9961" width="2.140625" style="59" bestFit="1" customWidth="1"/>
    <col min="9962" max="10206" width="11.42578125" style="59"/>
    <col min="10207" max="10207" width="2.28515625" style="59" bestFit="1" customWidth="1"/>
    <col min="10208" max="10208" width="2.140625" style="59" bestFit="1" customWidth="1"/>
    <col min="10209" max="10209" width="1.140625" style="59" customWidth="1"/>
    <col min="10210" max="10211" width="2" style="59" bestFit="1" customWidth="1"/>
    <col min="10212" max="10213" width="2.140625" style="59" bestFit="1" customWidth="1"/>
    <col min="10214" max="10214" width="1.7109375" style="59" bestFit="1" customWidth="1"/>
    <col min="10215" max="10215" width="0.85546875" style="59" bestFit="1" customWidth="1"/>
    <col min="10216" max="10216" width="2" style="59" bestFit="1" customWidth="1"/>
    <col min="10217" max="10217" width="2.140625" style="59" bestFit="1" customWidth="1"/>
    <col min="10218" max="10462" width="11.42578125" style="59"/>
    <col min="10463" max="10463" width="2.28515625" style="59" bestFit="1" customWidth="1"/>
    <col min="10464" max="10464" width="2.140625" style="59" bestFit="1" customWidth="1"/>
    <col min="10465" max="10465" width="1.140625" style="59" customWidth="1"/>
    <col min="10466" max="10467" width="2" style="59" bestFit="1" customWidth="1"/>
    <col min="10468" max="10469" width="2.140625" style="59" bestFit="1" customWidth="1"/>
    <col min="10470" max="10470" width="1.7109375" style="59" bestFit="1" customWidth="1"/>
    <col min="10471" max="10471" width="0.85546875" style="59" bestFit="1" customWidth="1"/>
    <col min="10472" max="10472" width="2" style="59" bestFit="1" customWidth="1"/>
    <col min="10473" max="10473" width="2.140625" style="59" bestFit="1" customWidth="1"/>
    <col min="10474" max="10718" width="11.42578125" style="59"/>
    <col min="10719" max="10719" width="2.28515625" style="59" bestFit="1" customWidth="1"/>
    <col min="10720" max="10720" width="2.140625" style="59" bestFit="1" customWidth="1"/>
    <col min="10721" max="10721" width="1.140625" style="59" customWidth="1"/>
    <col min="10722" max="10723" width="2" style="59" bestFit="1" customWidth="1"/>
    <col min="10724" max="10725" width="2.140625" style="59" bestFit="1" customWidth="1"/>
    <col min="10726" max="10726" width="1.7109375" style="59" bestFit="1" customWidth="1"/>
    <col min="10727" max="10727" width="0.85546875" style="59" bestFit="1" customWidth="1"/>
    <col min="10728" max="10728" width="2" style="59" bestFit="1" customWidth="1"/>
    <col min="10729" max="10729" width="2.140625" style="59" bestFit="1" customWidth="1"/>
    <col min="10730" max="10974" width="11.42578125" style="59"/>
    <col min="10975" max="10975" width="2.28515625" style="59" bestFit="1" customWidth="1"/>
    <col min="10976" max="10976" width="2.140625" style="59" bestFit="1" customWidth="1"/>
    <col min="10977" max="10977" width="1.140625" style="59" customWidth="1"/>
    <col min="10978" max="10979" width="2" style="59" bestFit="1" customWidth="1"/>
    <col min="10980" max="10981" width="2.140625" style="59" bestFit="1" customWidth="1"/>
    <col min="10982" max="10982" width="1.7109375" style="59" bestFit="1" customWidth="1"/>
    <col min="10983" max="10983" width="0.85546875" style="59" bestFit="1" customWidth="1"/>
    <col min="10984" max="10984" width="2" style="59" bestFit="1" customWidth="1"/>
    <col min="10985" max="10985" width="2.140625" style="59" bestFit="1" customWidth="1"/>
    <col min="10986" max="11230" width="11.42578125" style="59"/>
    <col min="11231" max="11231" width="2.28515625" style="59" bestFit="1" customWidth="1"/>
    <col min="11232" max="11232" width="2.140625" style="59" bestFit="1" customWidth="1"/>
    <col min="11233" max="11233" width="1.140625" style="59" customWidth="1"/>
    <col min="11234" max="11235" width="2" style="59" bestFit="1" customWidth="1"/>
    <col min="11236" max="11237" width="2.140625" style="59" bestFit="1" customWidth="1"/>
    <col min="11238" max="11238" width="1.7109375" style="59" bestFit="1" customWidth="1"/>
    <col min="11239" max="11239" width="0.85546875" style="59" bestFit="1" customWidth="1"/>
    <col min="11240" max="11240" width="2" style="59" bestFit="1" customWidth="1"/>
    <col min="11241" max="11241" width="2.140625" style="59" bestFit="1" customWidth="1"/>
    <col min="11242" max="11486" width="11.42578125" style="59"/>
    <col min="11487" max="11487" width="2.28515625" style="59" bestFit="1" customWidth="1"/>
    <col min="11488" max="11488" width="2.140625" style="59" bestFit="1" customWidth="1"/>
    <col min="11489" max="11489" width="1.140625" style="59" customWidth="1"/>
    <col min="11490" max="11491" width="2" style="59" bestFit="1" customWidth="1"/>
    <col min="11492" max="11493" width="2.140625" style="59" bestFit="1" customWidth="1"/>
    <col min="11494" max="11494" width="1.7109375" style="59" bestFit="1" customWidth="1"/>
    <col min="11495" max="11495" width="0.85546875" style="59" bestFit="1" customWidth="1"/>
    <col min="11496" max="11496" width="2" style="59" bestFit="1" customWidth="1"/>
    <col min="11497" max="11497" width="2.140625" style="59" bestFit="1" customWidth="1"/>
    <col min="11498" max="11742" width="11.42578125" style="59"/>
    <col min="11743" max="11743" width="2.28515625" style="59" bestFit="1" customWidth="1"/>
    <col min="11744" max="11744" width="2.140625" style="59" bestFit="1" customWidth="1"/>
    <col min="11745" max="11745" width="1.140625" style="59" customWidth="1"/>
    <col min="11746" max="11747" width="2" style="59" bestFit="1" customWidth="1"/>
    <col min="11748" max="11749" width="2.140625" style="59" bestFit="1" customWidth="1"/>
    <col min="11750" max="11750" width="1.7109375" style="59" bestFit="1" customWidth="1"/>
    <col min="11751" max="11751" width="0.85546875" style="59" bestFit="1" customWidth="1"/>
    <col min="11752" max="11752" width="2" style="59" bestFit="1" customWidth="1"/>
    <col min="11753" max="11753" width="2.140625" style="59" bestFit="1" customWidth="1"/>
    <col min="11754" max="11998" width="11.42578125" style="59"/>
    <col min="11999" max="11999" width="2.28515625" style="59" bestFit="1" customWidth="1"/>
    <col min="12000" max="12000" width="2.140625" style="59" bestFit="1" customWidth="1"/>
    <col min="12001" max="12001" width="1.140625" style="59" customWidth="1"/>
    <col min="12002" max="12003" width="2" style="59" bestFit="1" customWidth="1"/>
    <col min="12004" max="12005" width="2.140625" style="59" bestFit="1" customWidth="1"/>
    <col min="12006" max="12006" width="1.7109375" style="59" bestFit="1" customWidth="1"/>
    <col min="12007" max="12007" width="0.85546875" style="59" bestFit="1" customWidth="1"/>
    <col min="12008" max="12008" width="2" style="59" bestFit="1" customWidth="1"/>
    <col min="12009" max="12009" width="2.140625" style="59" bestFit="1" customWidth="1"/>
    <col min="12010" max="12254" width="11.42578125" style="59"/>
    <col min="12255" max="12255" width="2.28515625" style="59" bestFit="1" customWidth="1"/>
    <col min="12256" max="12256" width="2.140625" style="59" bestFit="1" customWidth="1"/>
    <col min="12257" max="12257" width="1.140625" style="59" customWidth="1"/>
    <col min="12258" max="12259" width="2" style="59" bestFit="1" customWidth="1"/>
    <col min="12260" max="12261" width="2.140625" style="59" bestFit="1" customWidth="1"/>
    <col min="12262" max="12262" width="1.7109375" style="59" bestFit="1" customWidth="1"/>
    <col min="12263" max="12263" width="0.85546875" style="59" bestFit="1" customWidth="1"/>
    <col min="12264" max="12264" width="2" style="59" bestFit="1" customWidth="1"/>
    <col min="12265" max="12265" width="2.140625" style="59" bestFit="1" customWidth="1"/>
    <col min="12266" max="12510" width="11.42578125" style="59"/>
    <col min="12511" max="12511" width="2.28515625" style="59" bestFit="1" customWidth="1"/>
    <col min="12512" max="12512" width="2.140625" style="59" bestFit="1" customWidth="1"/>
    <col min="12513" max="12513" width="1.140625" style="59" customWidth="1"/>
    <col min="12514" max="12515" width="2" style="59" bestFit="1" customWidth="1"/>
    <col min="12516" max="12517" width="2.140625" style="59" bestFit="1" customWidth="1"/>
    <col min="12518" max="12518" width="1.7109375" style="59" bestFit="1" customWidth="1"/>
    <col min="12519" max="12519" width="0.85546875" style="59" bestFit="1" customWidth="1"/>
    <col min="12520" max="12520" width="2" style="59" bestFit="1" customWidth="1"/>
    <col min="12521" max="12521" width="2.140625" style="59" bestFit="1" customWidth="1"/>
    <col min="12522" max="12766" width="11.42578125" style="59"/>
    <col min="12767" max="12767" width="2.28515625" style="59" bestFit="1" customWidth="1"/>
    <col min="12768" max="12768" width="2.140625" style="59" bestFit="1" customWidth="1"/>
    <col min="12769" max="12769" width="1.140625" style="59" customWidth="1"/>
    <col min="12770" max="12771" width="2" style="59" bestFit="1" customWidth="1"/>
    <col min="12772" max="12773" width="2.140625" style="59" bestFit="1" customWidth="1"/>
    <col min="12774" max="12774" width="1.7109375" style="59" bestFit="1" customWidth="1"/>
    <col min="12775" max="12775" width="0.85546875" style="59" bestFit="1" customWidth="1"/>
    <col min="12776" max="12776" width="2" style="59" bestFit="1" customWidth="1"/>
    <col min="12777" max="12777" width="2.140625" style="59" bestFit="1" customWidth="1"/>
    <col min="12778" max="13022" width="11.42578125" style="59"/>
    <col min="13023" max="13023" width="2.28515625" style="59" bestFit="1" customWidth="1"/>
    <col min="13024" max="13024" width="2.140625" style="59" bestFit="1" customWidth="1"/>
    <col min="13025" max="13025" width="1.140625" style="59" customWidth="1"/>
    <col min="13026" max="13027" width="2" style="59" bestFit="1" customWidth="1"/>
    <col min="13028" max="13029" width="2.140625" style="59" bestFit="1" customWidth="1"/>
    <col min="13030" max="13030" width="1.7109375" style="59" bestFit="1" customWidth="1"/>
    <col min="13031" max="13031" width="0.85546875" style="59" bestFit="1" customWidth="1"/>
    <col min="13032" max="13032" width="2" style="59" bestFit="1" customWidth="1"/>
    <col min="13033" max="13033" width="2.140625" style="59" bestFit="1" customWidth="1"/>
    <col min="13034" max="13278" width="11.42578125" style="59"/>
    <col min="13279" max="13279" width="2.28515625" style="59" bestFit="1" customWidth="1"/>
    <col min="13280" max="13280" width="2.140625" style="59" bestFit="1" customWidth="1"/>
    <col min="13281" max="13281" width="1.140625" style="59" customWidth="1"/>
    <col min="13282" max="13283" width="2" style="59" bestFit="1" customWidth="1"/>
    <col min="13284" max="13285" width="2.140625" style="59" bestFit="1" customWidth="1"/>
    <col min="13286" max="13286" width="1.7109375" style="59" bestFit="1" customWidth="1"/>
    <col min="13287" max="13287" width="0.85546875" style="59" bestFit="1" customWidth="1"/>
    <col min="13288" max="13288" width="2" style="59" bestFit="1" customWidth="1"/>
    <col min="13289" max="13289" width="2.140625" style="59" bestFit="1" customWidth="1"/>
    <col min="13290" max="13534" width="11.42578125" style="59"/>
    <col min="13535" max="13535" width="2.28515625" style="59" bestFit="1" customWidth="1"/>
    <col min="13536" max="13536" width="2.140625" style="59" bestFit="1" customWidth="1"/>
    <col min="13537" max="13537" width="1.140625" style="59" customWidth="1"/>
    <col min="13538" max="13539" width="2" style="59" bestFit="1" customWidth="1"/>
    <col min="13540" max="13541" width="2.140625" style="59" bestFit="1" customWidth="1"/>
    <col min="13542" max="13542" width="1.7109375" style="59" bestFit="1" customWidth="1"/>
    <col min="13543" max="13543" width="0.85546875" style="59" bestFit="1" customWidth="1"/>
    <col min="13544" max="13544" width="2" style="59" bestFit="1" customWidth="1"/>
    <col min="13545" max="13545" width="2.140625" style="59" bestFit="1" customWidth="1"/>
    <col min="13546" max="13790" width="11.42578125" style="59"/>
    <col min="13791" max="13791" width="2.28515625" style="59" bestFit="1" customWidth="1"/>
    <col min="13792" max="13792" width="2.140625" style="59" bestFit="1" customWidth="1"/>
    <col min="13793" max="13793" width="1.140625" style="59" customWidth="1"/>
    <col min="13794" max="13795" width="2" style="59" bestFit="1" customWidth="1"/>
    <col min="13796" max="13797" width="2.140625" style="59" bestFit="1" customWidth="1"/>
    <col min="13798" max="13798" width="1.7109375" style="59" bestFit="1" customWidth="1"/>
    <col min="13799" max="13799" width="0.85546875" style="59" bestFit="1" customWidth="1"/>
    <col min="13800" max="13800" width="2" style="59" bestFit="1" customWidth="1"/>
    <col min="13801" max="13801" width="2.140625" style="59" bestFit="1" customWidth="1"/>
    <col min="13802" max="14046" width="11.42578125" style="59"/>
    <col min="14047" max="14047" width="2.28515625" style="59" bestFit="1" customWidth="1"/>
    <col min="14048" max="14048" width="2.140625" style="59" bestFit="1" customWidth="1"/>
    <col min="14049" max="14049" width="1.140625" style="59" customWidth="1"/>
    <col min="14050" max="14051" width="2" style="59" bestFit="1" customWidth="1"/>
    <col min="14052" max="14053" width="2.140625" style="59" bestFit="1" customWidth="1"/>
    <col min="14054" max="14054" width="1.7109375" style="59" bestFit="1" customWidth="1"/>
    <col min="14055" max="14055" width="0.85546875" style="59" bestFit="1" customWidth="1"/>
    <col min="14056" max="14056" width="2" style="59" bestFit="1" customWidth="1"/>
    <col min="14057" max="14057" width="2.140625" style="59" bestFit="1" customWidth="1"/>
    <col min="14058" max="14302" width="11.42578125" style="59"/>
    <col min="14303" max="14303" width="2.28515625" style="59" bestFit="1" customWidth="1"/>
    <col min="14304" max="14304" width="2.140625" style="59" bestFit="1" customWidth="1"/>
    <col min="14305" max="14305" width="1.140625" style="59" customWidth="1"/>
    <col min="14306" max="14307" width="2" style="59" bestFit="1" customWidth="1"/>
    <col min="14308" max="14309" width="2.140625" style="59" bestFit="1" customWidth="1"/>
    <col min="14310" max="14310" width="1.7109375" style="59" bestFit="1" customWidth="1"/>
    <col min="14311" max="14311" width="0.85546875" style="59" bestFit="1" customWidth="1"/>
    <col min="14312" max="14312" width="2" style="59" bestFit="1" customWidth="1"/>
    <col min="14313" max="14313" width="2.140625" style="59" bestFit="1" customWidth="1"/>
    <col min="14314" max="14558" width="11.42578125" style="59"/>
    <col min="14559" max="14559" width="2.28515625" style="59" bestFit="1" customWidth="1"/>
    <col min="14560" max="14560" width="2.140625" style="59" bestFit="1" customWidth="1"/>
    <col min="14561" max="14561" width="1.140625" style="59" customWidth="1"/>
    <col min="14562" max="14563" width="2" style="59" bestFit="1" customWidth="1"/>
    <col min="14564" max="14565" width="2.140625" style="59" bestFit="1" customWidth="1"/>
    <col min="14566" max="14566" width="1.7109375" style="59" bestFit="1" customWidth="1"/>
    <col min="14567" max="14567" width="0.85546875" style="59" bestFit="1" customWidth="1"/>
    <col min="14568" max="14568" width="2" style="59" bestFit="1" customWidth="1"/>
    <col min="14569" max="14569" width="2.140625" style="59" bestFit="1" customWidth="1"/>
    <col min="14570" max="14814" width="11.42578125" style="59"/>
    <col min="14815" max="14815" width="2.28515625" style="59" bestFit="1" customWidth="1"/>
    <col min="14816" max="14816" width="2.140625" style="59" bestFit="1" customWidth="1"/>
    <col min="14817" max="14817" width="1.140625" style="59" customWidth="1"/>
    <col min="14818" max="14819" width="2" style="59" bestFit="1" customWidth="1"/>
    <col min="14820" max="14821" width="2.140625" style="59" bestFit="1" customWidth="1"/>
    <col min="14822" max="14822" width="1.7109375" style="59" bestFit="1" customWidth="1"/>
    <col min="14823" max="14823" width="0.85546875" style="59" bestFit="1" customWidth="1"/>
    <col min="14824" max="14824" width="2" style="59" bestFit="1" customWidth="1"/>
    <col min="14825" max="14825" width="2.140625" style="59" bestFit="1" customWidth="1"/>
    <col min="14826" max="15070" width="11.42578125" style="59"/>
    <col min="15071" max="15071" width="2.28515625" style="59" bestFit="1" customWidth="1"/>
    <col min="15072" max="15072" width="2.140625" style="59" bestFit="1" customWidth="1"/>
    <col min="15073" max="15073" width="1.140625" style="59" customWidth="1"/>
    <col min="15074" max="15075" width="2" style="59" bestFit="1" customWidth="1"/>
    <col min="15076" max="15077" width="2.140625" style="59" bestFit="1" customWidth="1"/>
    <col min="15078" max="15078" width="1.7109375" style="59" bestFit="1" customWidth="1"/>
    <col min="15079" max="15079" width="0.85546875" style="59" bestFit="1" customWidth="1"/>
    <col min="15080" max="15080" width="2" style="59" bestFit="1" customWidth="1"/>
    <col min="15081" max="15081" width="2.140625" style="59" bestFit="1" customWidth="1"/>
    <col min="15082" max="15326" width="11.42578125" style="59"/>
    <col min="15327" max="15327" width="2.28515625" style="59" bestFit="1" customWidth="1"/>
    <col min="15328" max="15328" width="2.140625" style="59" bestFit="1" customWidth="1"/>
    <col min="15329" max="15329" width="1.140625" style="59" customWidth="1"/>
    <col min="15330" max="15331" width="2" style="59" bestFit="1" customWidth="1"/>
    <col min="15332" max="15333" width="2.140625" style="59" bestFit="1" customWidth="1"/>
    <col min="15334" max="15334" width="1.7109375" style="59" bestFit="1" customWidth="1"/>
    <col min="15335" max="15335" width="0.85546875" style="59" bestFit="1" customWidth="1"/>
    <col min="15336" max="15336" width="2" style="59" bestFit="1" customWidth="1"/>
    <col min="15337" max="15337" width="2.140625" style="59" bestFit="1" customWidth="1"/>
    <col min="15338" max="15582" width="11.42578125" style="59"/>
    <col min="15583" max="15583" width="2.28515625" style="59" bestFit="1" customWidth="1"/>
    <col min="15584" max="15584" width="2.140625" style="59" bestFit="1" customWidth="1"/>
    <col min="15585" max="15585" width="1.140625" style="59" customWidth="1"/>
    <col min="15586" max="15587" width="2" style="59" bestFit="1" customWidth="1"/>
    <col min="15588" max="15589" width="2.140625" style="59" bestFit="1" customWidth="1"/>
    <col min="15590" max="15590" width="1.7109375" style="59" bestFit="1" customWidth="1"/>
    <col min="15591" max="15591" width="0.85546875" style="59" bestFit="1" customWidth="1"/>
    <col min="15592" max="15592" width="2" style="59" bestFit="1" customWidth="1"/>
    <col min="15593" max="15593" width="2.140625" style="59" bestFit="1" customWidth="1"/>
    <col min="15594" max="15838" width="11.42578125" style="59"/>
    <col min="15839" max="15839" width="2.28515625" style="59" bestFit="1" customWidth="1"/>
    <col min="15840" max="15840" width="2.140625" style="59" bestFit="1" customWidth="1"/>
    <col min="15841" max="15841" width="1.140625" style="59" customWidth="1"/>
    <col min="15842" max="15843" width="2" style="59" bestFit="1" customWidth="1"/>
    <col min="15844" max="15845" width="2.140625" style="59" bestFit="1" customWidth="1"/>
    <col min="15846" max="15846" width="1.7109375" style="59" bestFit="1" customWidth="1"/>
    <col min="15847" max="15847" width="0.85546875" style="59" bestFit="1" customWidth="1"/>
    <col min="15848" max="15848" width="2" style="59" bestFit="1" customWidth="1"/>
    <col min="15849" max="15849" width="2.140625" style="59" bestFit="1" customWidth="1"/>
    <col min="15850" max="16094" width="11.42578125" style="59"/>
    <col min="16095" max="16095" width="2.28515625" style="59" bestFit="1" customWidth="1"/>
    <col min="16096" max="16096" width="2.140625" style="59" bestFit="1" customWidth="1"/>
    <col min="16097" max="16097" width="1.140625" style="59" customWidth="1"/>
    <col min="16098" max="16099" width="2" style="59" bestFit="1" customWidth="1"/>
    <col min="16100" max="16101" width="2.140625" style="59" bestFit="1" customWidth="1"/>
    <col min="16102" max="16102" width="1.7109375" style="59" bestFit="1" customWidth="1"/>
    <col min="16103" max="16103" width="0.85546875" style="59" bestFit="1" customWidth="1"/>
    <col min="16104" max="16104" width="2" style="59" bestFit="1" customWidth="1"/>
    <col min="16105" max="16105" width="2.140625" style="59" bestFit="1" customWidth="1"/>
    <col min="16106" max="16384" width="11.42578125" style="59"/>
  </cols>
  <sheetData>
    <row r="1" spans="1:14" ht="13.5" thickBot="1">
      <c r="E1" s="98"/>
      <c r="F1" s="98"/>
    </row>
    <row r="2" spans="1:14" ht="42" customHeight="1">
      <c r="B2" s="298" t="s">
        <v>540</v>
      </c>
      <c r="C2" s="299"/>
      <c r="E2" s="303" t="s">
        <v>568</v>
      </c>
      <c r="F2" s="304"/>
      <c r="G2" s="304"/>
      <c r="H2" s="304"/>
      <c r="I2" s="304"/>
      <c r="J2" s="305"/>
    </row>
    <row r="3" spans="1:14" ht="38.25">
      <c r="A3" s="116" t="s">
        <v>0</v>
      </c>
      <c r="B3" s="117" t="s">
        <v>142</v>
      </c>
      <c r="C3" s="118" t="s">
        <v>542</v>
      </c>
      <c r="D3" s="119" t="s">
        <v>543</v>
      </c>
      <c r="E3" s="120" t="s">
        <v>569</v>
      </c>
      <c r="F3" s="121" t="s">
        <v>476</v>
      </c>
      <c r="G3" s="122" t="s">
        <v>544</v>
      </c>
      <c r="H3" s="122" t="s">
        <v>558</v>
      </c>
      <c r="I3" s="123" t="s">
        <v>545</v>
      </c>
      <c r="J3" s="124" t="s">
        <v>475</v>
      </c>
    </row>
    <row r="4" spans="1:14" ht="15">
      <c r="A4" s="82" t="str">
        <f>RESUMEN!A4</f>
        <v>OSORNO</v>
      </c>
      <c r="B4" s="104">
        <f>RESUMEN!B4</f>
        <v>99806268411.398911</v>
      </c>
      <c r="C4" s="105">
        <f>B4/B$10</f>
        <v>0.19510347847883644</v>
      </c>
      <c r="D4" s="125">
        <f>RESUMEN!C4</f>
        <v>17299582711</v>
      </c>
      <c r="E4" s="126">
        <f>RESUMEN!D4</f>
        <v>4827977318</v>
      </c>
      <c r="F4" s="127">
        <f>RESUMEN!E4</f>
        <v>20120308705.398922</v>
      </c>
      <c r="G4" s="128">
        <f>RESUMEN!F4</f>
        <v>24948286023.398922</v>
      </c>
      <c r="H4" s="129">
        <f t="shared" ref="H4:H10" si="0">E4/G4</f>
        <v>0.19351939902692533</v>
      </c>
      <c r="I4" s="278">
        <f>G4/G$10</f>
        <v>0.22468458441764863</v>
      </c>
      <c r="J4" s="86">
        <f>RESUMEN!G4</f>
        <v>57558399677</v>
      </c>
      <c r="K4" s="60">
        <v>22126741578</v>
      </c>
      <c r="M4" s="60"/>
      <c r="N4" s="60"/>
    </row>
    <row r="5" spans="1:14" ht="15">
      <c r="A5" s="82" t="str">
        <f>RESUMEN!A5</f>
        <v>LLANQUIHUE</v>
      </c>
      <c r="B5" s="104">
        <f>RESUMEN!B5</f>
        <v>145308938574</v>
      </c>
      <c r="C5" s="105">
        <f t="shared" ref="C5:C9" si="1">B5/B$10</f>
        <v>0.28405309427055064</v>
      </c>
      <c r="D5" s="125">
        <f>RESUMEN!C5</f>
        <v>48251123583</v>
      </c>
      <c r="E5" s="126">
        <f>RESUMEN!D5</f>
        <v>5539508585</v>
      </c>
      <c r="F5" s="127">
        <f>RESUMEN!E5</f>
        <v>20286341808.114529</v>
      </c>
      <c r="G5" s="128">
        <f>RESUMEN!F5</f>
        <v>25825850393.114529</v>
      </c>
      <c r="H5" s="129">
        <f t="shared" si="0"/>
        <v>0.21449472140041892</v>
      </c>
      <c r="I5" s="278">
        <f t="shared" ref="I5:I10" si="2">G5/G$10</f>
        <v>0.23258794040468345</v>
      </c>
      <c r="J5" s="86">
        <f>RESUMEN!G5</f>
        <v>71231964597.885483</v>
      </c>
      <c r="K5" s="60">
        <v>23947149319</v>
      </c>
      <c r="M5" s="60"/>
      <c r="N5" s="60"/>
    </row>
    <row r="6" spans="1:14" ht="15">
      <c r="A6" s="82" t="str">
        <f>RESUMEN!A6</f>
        <v>CHILOE</v>
      </c>
      <c r="B6" s="104">
        <f>RESUMEN!B6</f>
        <v>105081558889.39893</v>
      </c>
      <c r="C6" s="105">
        <f t="shared" si="1"/>
        <v>0.20541573179344427</v>
      </c>
      <c r="D6" s="125">
        <f>RESUMEN!C6</f>
        <v>31079750849</v>
      </c>
      <c r="E6" s="126">
        <f>RESUMEN!D6</f>
        <v>6999420565</v>
      </c>
      <c r="F6" s="127">
        <f>RESUMEN!E6</f>
        <v>18601818025.565586</v>
      </c>
      <c r="G6" s="128">
        <f>RESUMEN!F6</f>
        <v>25601238590.565586</v>
      </c>
      <c r="H6" s="129">
        <f t="shared" si="0"/>
        <v>0.27340163798088207</v>
      </c>
      <c r="I6" s="278">
        <f t="shared" si="2"/>
        <v>0.23056508362551731</v>
      </c>
      <c r="J6" s="86">
        <f>RESUMEN!G6</f>
        <v>48400569449.833336</v>
      </c>
      <c r="K6" s="60">
        <v>23132841009</v>
      </c>
      <c r="M6" s="60"/>
      <c r="N6" s="60"/>
    </row>
    <row r="7" spans="1:14" ht="15">
      <c r="A7" s="82" t="str">
        <f>RESUMEN!A7</f>
        <v>PALENA</v>
      </c>
      <c r="B7" s="104">
        <f>RESUMEN!B7</f>
        <v>102540001965.39893</v>
      </c>
      <c r="C7" s="105">
        <f t="shared" si="1"/>
        <v>0.20044744067789608</v>
      </c>
      <c r="D7" s="125">
        <f>RESUMEN!C7</f>
        <v>29541980043</v>
      </c>
      <c r="E7" s="126">
        <f>RESUMEN!D7</f>
        <v>7558526636</v>
      </c>
      <c r="F7" s="127">
        <f>RESUMEN!E7</f>
        <v>7366325852.7322521</v>
      </c>
      <c r="G7" s="128">
        <f>RESUMEN!F7</f>
        <v>14924852488.732252</v>
      </c>
      <c r="H7" s="129">
        <f t="shared" si="0"/>
        <v>0.50643895085103363</v>
      </c>
      <c r="I7" s="278">
        <f t="shared" si="2"/>
        <v>0.1344134132413099</v>
      </c>
      <c r="J7" s="86">
        <f>RESUMEN!G7</f>
        <v>58073169433.666672</v>
      </c>
      <c r="K7" s="60">
        <v>22009223558</v>
      </c>
      <c r="M7" s="60"/>
      <c r="N7" s="60"/>
    </row>
    <row r="8" spans="1:14" ht="15">
      <c r="A8" s="130" t="str">
        <f>RESUMEN!A8</f>
        <v>FOMENTO</v>
      </c>
      <c r="B8" s="104">
        <f>RESUMEN!B8</f>
        <v>44268141487</v>
      </c>
      <c r="C8" s="105">
        <f t="shared" si="1"/>
        <v>8.6536332109983696E-2</v>
      </c>
      <c r="D8" s="125">
        <f>RESUMEN!C8</f>
        <v>12720732706</v>
      </c>
      <c r="E8" s="126">
        <f>RESUMEN!D8</f>
        <v>920726413</v>
      </c>
      <c r="F8" s="127">
        <f>RESUMEN!E8</f>
        <v>12377649094.333332</v>
      </c>
      <c r="G8" s="128">
        <f>RESUMEN!F8</f>
        <v>13298375507.333332</v>
      </c>
      <c r="H8" s="129">
        <f t="shared" si="0"/>
        <v>6.9236006495099298E-2</v>
      </c>
      <c r="I8" s="278">
        <f t="shared" si="2"/>
        <v>0.11976534065276657</v>
      </c>
      <c r="J8" s="86">
        <f>RESUMEN!G8</f>
        <v>18249033273.666668</v>
      </c>
      <c r="K8" s="60">
        <v>4121687000</v>
      </c>
      <c r="M8" s="60"/>
      <c r="N8" s="60"/>
    </row>
    <row r="9" spans="1:14" ht="15">
      <c r="A9" s="130" t="str">
        <f>RESUMEN!A9</f>
        <v>REGIONAL</v>
      </c>
      <c r="B9" s="104">
        <f>RESUMEN!B9</f>
        <v>14550646676</v>
      </c>
      <c r="C9" s="105">
        <f t="shared" si="1"/>
        <v>2.8443922669288867E-2</v>
      </c>
      <c r="D9" s="125">
        <f>RESUMEN!C9</f>
        <v>995670000</v>
      </c>
      <c r="E9" s="126">
        <f>RESUMEN!D9</f>
        <v>497730000</v>
      </c>
      <c r="F9" s="127">
        <f>RESUMEN!E9</f>
        <v>5940595000</v>
      </c>
      <c r="G9" s="128">
        <f>RESUMEN!F9</f>
        <v>6438325000</v>
      </c>
      <c r="H9" s="129">
        <f t="shared" si="0"/>
        <v>7.7307374200587892E-2</v>
      </c>
      <c r="I9" s="278">
        <f t="shared" si="2"/>
        <v>5.7983637658074107E-2</v>
      </c>
      <c r="J9" s="86">
        <f>RESUMEN!G9</f>
        <v>7116651676</v>
      </c>
      <c r="K9" s="60"/>
      <c r="M9" s="60"/>
      <c r="N9" s="60"/>
    </row>
    <row r="10" spans="1:14" ht="15.75" thickBot="1">
      <c r="A10" s="287" t="s">
        <v>217</v>
      </c>
      <c r="B10" s="280">
        <f>RESUMEN!B10</f>
        <v>511555556003.19678</v>
      </c>
      <c r="C10" s="281">
        <f>B10/B$10</f>
        <v>1</v>
      </c>
      <c r="D10" s="119">
        <f>RESUMEN!C10</f>
        <v>139888839892</v>
      </c>
      <c r="E10" s="280">
        <f>RESUMEN!D10</f>
        <v>26343889517</v>
      </c>
      <c r="F10" s="282">
        <f>RESUMEN!E10</f>
        <v>84693038486.144623</v>
      </c>
      <c r="G10" s="283">
        <f>RESUMEN!F10</f>
        <v>111036928003.14462</v>
      </c>
      <c r="H10" s="284">
        <f t="shared" si="0"/>
        <v>0.23725340740923531</v>
      </c>
      <c r="I10" s="285">
        <f t="shared" si="2"/>
        <v>1</v>
      </c>
      <c r="J10" s="286">
        <f>RESUMEN!G10</f>
        <v>260629788108.05215</v>
      </c>
      <c r="K10" s="60">
        <v>5390362000</v>
      </c>
      <c r="M10" s="60"/>
      <c r="N10" s="60"/>
    </row>
    <row r="11" spans="1:14">
      <c r="B11" s="306" t="s">
        <v>559</v>
      </c>
      <c r="C11" s="306"/>
      <c r="D11" s="306"/>
      <c r="E11" s="306"/>
      <c r="F11" s="306"/>
      <c r="G11" s="306"/>
      <c r="H11" s="306"/>
    </row>
    <row r="12" spans="1:14" ht="10.5" customHeight="1">
      <c r="B12" s="306"/>
      <c r="C12" s="306"/>
      <c r="D12" s="306"/>
      <c r="E12" s="306"/>
      <c r="F12" s="306"/>
      <c r="G12" s="306"/>
      <c r="H12" s="306"/>
    </row>
    <row r="13" spans="1:14" hidden="1">
      <c r="B13" s="306"/>
      <c r="C13" s="306"/>
      <c r="D13" s="306"/>
      <c r="E13" s="306"/>
      <c r="F13" s="306"/>
      <c r="G13" s="306"/>
      <c r="H13" s="306"/>
    </row>
  </sheetData>
  <mergeCells count="3">
    <mergeCell ref="B2:C2"/>
    <mergeCell ref="E2:J2"/>
    <mergeCell ref="B11:H13"/>
  </mergeCells>
  <printOptions horizontalCentered="1" verticalCentered="1"/>
  <pageMargins left="1.1023622047244095" right="0.23622047244094491" top="1.3779527559055118" bottom="0.23622047244094491" header="0.74803149606299213" footer="0"/>
  <pageSetup paperSize="5" scale="85" orientation="landscape" r:id="rId1"/>
  <headerFooter>
    <oddHeader>&amp;L                            &amp;G    &amp;14          &amp;C&amp;"-,Negrita"ESTADO DE SITUACIÓN  MES JUNIO POR PROVINCIA&amp;R&amp;8DIVISION DE PRESUPUESTO E 
INVERSION REGIONAL
&amp;D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3"/>
  <sheetViews>
    <sheetView workbookViewId="0">
      <selection activeCell="M17" sqref="M17"/>
    </sheetView>
  </sheetViews>
  <sheetFormatPr baseColWidth="10" defaultColWidth="11.42578125" defaultRowHeight="12.75"/>
  <cols>
    <col min="1" max="1" width="15.140625" style="59" customWidth="1"/>
    <col min="2" max="2" width="15.42578125" style="59" customWidth="1"/>
    <col min="3" max="3" width="7.85546875" style="59" bestFit="1" customWidth="1"/>
    <col min="4" max="4" width="15.85546875" style="59" customWidth="1"/>
    <col min="5" max="5" width="16.42578125" style="59" customWidth="1"/>
    <col min="6" max="6" width="14.7109375" style="59" customWidth="1"/>
    <col min="7" max="7" width="14.7109375" style="59" bestFit="1" customWidth="1"/>
    <col min="8" max="8" width="14.28515625" style="59" bestFit="1" customWidth="1"/>
    <col min="9" max="9" width="14.42578125" style="59" customWidth="1"/>
    <col min="10" max="10" width="16.140625" style="59" customWidth="1"/>
    <col min="11" max="11" width="15.42578125" style="59" customWidth="1"/>
    <col min="12" max="12" width="13.7109375" style="59" bestFit="1" customWidth="1"/>
    <col min="13" max="13" width="14.7109375" style="59" bestFit="1" customWidth="1"/>
    <col min="14" max="14" width="14.28515625" style="60" bestFit="1" customWidth="1"/>
    <col min="15" max="15" width="15.7109375" style="59" customWidth="1"/>
    <col min="16" max="16" width="11.42578125" style="59"/>
    <col min="17" max="17" width="11.5703125" style="59" bestFit="1" customWidth="1"/>
    <col min="18" max="239" width="11.42578125" style="59"/>
    <col min="240" max="240" width="2.42578125" style="59" customWidth="1"/>
    <col min="241" max="241" width="2.140625" style="59" bestFit="1" customWidth="1"/>
    <col min="242" max="242" width="0.85546875" style="59" bestFit="1" customWidth="1"/>
    <col min="243" max="243" width="2" style="59" customWidth="1"/>
    <col min="244" max="244" width="2" style="59" bestFit="1" customWidth="1"/>
    <col min="245" max="245" width="1.28515625" style="59" bestFit="1" customWidth="1"/>
    <col min="246" max="246" width="2" style="59" bestFit="1" customWidth="1"/>
    <col min="247" max="247" width="2.140625" style="59" customWidth="1"/>
    <col min="248" max="248" width="1.140625" style="59" customWidth="1"/>
    <col min="249" max="249" width="0" style="59" hidden="1" customWidth="1"/>
    <col min="250" max="250" width="2" style="59" bestFit="1" customWidth="1"/>
    <col min="251" max="251" width="2.140625" style="59" customWidth="1"/>
    <col min="252" max="252" width="2" style="59" customWidth="1"/>
    <col min="253" max="253" width="2.28515625" style="59" customWidth="1"/>
    <col min="254" max="254" width="11.42578125" style="59"/>
    <col min="255" max="255" width="2" style="59" bestFit="1" customWidth="1"/>
    <col min="256" max="495" width="11.42578125" style="59"/>
    <col min="496" max="496" width="2.42578125" style="59" customWidth="1"/>
    <col min="497" max="497" width="2.140625" style="59" bestFit="1" customWidth="1"/>
    <col min="498" max="498" width="0.85546875" style="59" bestFit="1" customWidth="1"/>
    <col min="499" max="499" width="2" style="59" customWidth="1"/>
    <col min="500" max="500" width="2" style="59" bestFit="1" customWidth="1"/>
    <col min="501" max="501" width="1.28515625" style="59" bestFit="1" customWidth="1"/>
    <col min="502" max="502" width="2" style="59" bestFit="1" customWidth="1"/>
    <col min="503" max="503" width="2.140625" style="59" customWidth="1"/>
    <col min="504" max="504" width="1.140625" style="59" customWidth="1"/>
    <col min="505" max="505" width="0" style="59" hidden="1" customWidth="1"/>
    <col min="506" max="506" width="2" style="59" bestFit="1" customWidth="1"/>
    <col min="507" max="507" width="2.140625" style="59" customWidth="1"/>
    <col min="508" max="508" width="2" style="59" customWidth="1"/>
    <col min="509" max="509" width="2.28515625" style="59" customWidth="1"/>
    <col min="510" max="510" width="11.42578125" style="59"/>
    <col min="511" max="511" width="2" style="59" bestFit="1" customWidth="1"/>
    <col min="512" max="751" width="11.42578125" style="59"/>
    <col min="752" max="752" width="2.42578125" style="59" customWidth="1"/>
    <col min="753" max="753" width="2.140625" style="59" bestFit="1" customWidth="1"/>
    <col min="754" max="754" width="0.85546875" style="59" bestFit="1" customWidth="1"/>
    <col min="755" max="755" width="2" style="59" customWidth="1"/>
    <col min="756" max="756" width="2" style="59" bestFit="1" customWidth="1"/>
    <col min="757" max="757" width="1.28515625" style="59" bestFit="1" customWidth="1"/>
    <col min="758" max="758" width="2" style="59" bestFit="1" customWidth="1"/>
    <col min="759" max="759" width="2.140625" style="59" customWidth="1"/>
    <col min="760" max="760" width="1.140625" style="59" customWidth="1"/>
    <col min="761" max="761" width="0" style="59" hidden="1" customWidth="1"/>
    <col min="762" max="762" width="2" style="59" bestFit="1" customWidth="1"/>
    <col min="763" max="763" width="2.140625" style="59" customWidth="1"/>
    <col min="764" max="764" width="2" style="59" customWidth="1"/>
    <col min="765" max="765" width="2.28515625" style="59" customWidth="1"/>
    <col min="766" max="766" width="11.42578125" style="59"/>
    <col min="767" max="767" width="2" style="59" bestFit="1" customWidth="1"/>
    <col min="768" max="1007" width="11.42578125" style="59"/>
    <col min="1008" max="1008" width="2.42578125" style="59" customWidth="1"/>
    <col min="1009" max="1009" width="2.140625" style="59" bestFit="1" customWidth="1"/>
    <col min="1010" max="1010" width="0.85546875" style="59" bestFit="1" customWidth="1"/>
    <col min="1011" max="1011" width="2" style="59" customWidth="1"/>
    <col min="1012" max="1012" width="2" style="59" bestFit="1" customWidth="1"/>
    <col min="1013" max="1013" width="1.28515625" style="59" bestFit="1" customWidth="1"/>
    <col min="1014" max="1014" width="2" style="59" bestFit="1" customWidth="1"/>
    <col min="1015" max="1015" width="2.140625" style="59" customWidth="1"/>
    <col min="1016" max="1016" width="1.140625" style="59" customWidth="1"/>
    <col min="1017" max="1017" width="0" style="59" hidden="1" customWidth="1"/>
    <col min="1018" max="1018" width="2" style="59" bestFit="1" customWidth="1"/>
    <col min="1019" max="1019" width="2.140625" style="59" customWidth="1"/>
    <col min="1020" max="1020" width="2" style="59" customWidth="1"/>
    <col min="1021" max="1021" width="2.28515625" style="59" customWidth="1"/>
    <col min="1022" max="1022" width="11.42578125" style="59"/>
    <col min="1023" max="1023" width="2" style="59" bestFit="1" customWidth="1"/>
    <col min="1024" max="1263" width="11.42578125" style="59"/>
    <col min="1264" max="1264" width="2.42578125" style="59" customWidth="1"/>
    <col min="1265" max="1265" width="2.140625" style="59" bestFit="1" customWidth="1"/>
    <col min="1266" max="1266" width="0.85546875" style="59" bestFit="1" customWidth="1"/>
    <col min="1267" max="1267" width="2" style="59" customWidth="1"/>
    <col min="1268" max="1268" width="2" style="59" bestFit="1" customWidth="1"/>
    <col min="1269" max="1269" width="1.28515625" style="59" bestFit="1" customWidth="1"/>
    <col min="1270" max="1270" width="2" style="59" bestFit="1" customWidth="1"/>
    <col min="1271" max="1271" width="2.140625" style="59" customWidth="1"/>
    <col min="1272" max="1272" width="1.140625" style="59" customWidth="1"/>
    <col min="1273" max="1273" width="0" style="59" hidden="1" customWidth="1"/>
    <col min="1274" max="1274" width="2" style="59" bestFit="1" customWidth="1"/>
    <col min="1275" max="1275" width="2.140625" style="59" customWidth="1"/>
    <col min="1276" max="1276" width="2" style="59" customWidth="1"/>
    <col min="1277" max="1277" width="2.28515625" style="59" customWidth="1"/>
    <col min="1278" max="1278" width="11.42578125" style="59"/>
    <col min="1279" max="1279" width="2" style="59" bestFit="1" customWidth="1"/>
    <col min="1280" max="1519" width="11.42578125" style="59"/>
    <col min="1520" max="1520" width="2.42578125" style="59" customWidth="1"/>
    <col min="1521" max="1521" width="2.140625" style="59" bestFit="1" customWidth="1"/>
    <col min="1522" max="1522" width="0.85546875" style="59" bestFit="1" customWidth="1"/>
    <col min="1523" max="1523" width="2" style="59" customWidth="1"/>
    <col min="1524" max="1524" width="2" style="59" bestFit="1" customWidth="1"/>
    <col min="1525" max="1525" width="1.28515625" style="59" bestFit="1" customWidth="1"/>
    <col min="1526" max="1526" width="2" style="59" bestFit="1" customWidth="1"/>
    <col min="1527" max="1527" width="2.140625" style="59" customWidth="1"/>
    <col min="1528" max="1528" width="1.140625" style="59" customWidth="1"/>
    <col min="1529" max="1529" width="0" style="59" hidden="1" customWidth="1"/>
    <col min="1530" max="1530" width="2" style="59" bestFit="1" customWidth="1"/>
    <col min="1531" max="1531" width="2.140625" style="59" customWidth="1"/>
    <col min="1532" max="1532" width="2" style="59" customWidth="1"/>
    <col min="1533" max="1533" width="2.28515625" style="59" customWidth="1"/>
    <col min="1534" max="1534" width="11.42578125" style="59"/>
    <col min="1535" max="1535" width="2" style="59" bestFit="1" customWidth="1"/>
    <col min="1536" max="1775" width="11.42578125" style="59"/>
    <col min="1776" max="1776" width="2.42578125" style="59" customWidth="1"/>
    <col min="1777" max="1777" width="2.140625" style="59" bestFit="1" customWidth="1"/>
    <col min="1778" max="1778" width="0.85546875" style="59" bestFit="1" customWidth="1"/>
    <col min="1779" max="1779" width="2" style="59" customWidth="1"/>
    <col min="1780" max="1780" width="2" style="59" bestFit="1" customWidth="1"/>
    <col min="1781" max="1781" width="1.28515625" style="59" bestFit="1" customWidth="1"/>
    <col min="1782" max="1782" width="2" style="59" bestFit="1" customWidth="1"/>
    <col min="1783" max="1783" width="2.140625" style="59" customWidth="1"/>
    <col min="1784" max="1784" width="1.140625" style="59" customWidth="1"/>
    <col min="1785" max="1785" width="0" style="59" hidden="1" customWidth="1"/>
    <col min="1786" max="1786" width="2" style="59" bestFit="1" customWidth="1"/>
    <col min="1787" max="1787" width="2.140625" style="59" customWidth="1"/>
    <col min="1788" max="1788" width="2" style="59" customWidth="1"/>
    <col min="1789" max="1789" width="2.28515625" style="59" customWidth="1"/>
    <col min="1790" max="1790" width="11.42578125" style="59"/>
    <col min="1791" max="1791" width="2" style="59" bestFit="1" customWidth="1"/>
    <col min="1792" max="2031" width="11.42578125" style="59"/>
    <col min="2032" max="2032" width="2.42578125" style="59" customWidth="1"/>
    <col min="2033" max="2033" width="2.140625" style="59" bestFit="1" customWidth="1"/>
    <col min="2034" max="2034" width="0.85546875" style="59" bestFit="1" customWidth="1"/>
    <col min="2035" max="2035" width="2" style="59" customWidth="1"/>
    <col min="2036" max="2036" width="2" style="59" bestFit="1" customWidth="1"/>
    <col min="2037" max="2037" width="1.28515625" style="59" bestFit="1" customWidth="1"/>
    <col min="2038" max="2038" width="2" style="59" bestFit="1" customWidth="1"/>
    <col min="2039" max="2039" width="2.140625" style="59" customWidth="1"/>
    <col min="2040" max="2040" width="1.140625" style="59" customWidth="1"/>
    <col min="2041" max="2041" width="0" style="59" hidden="1" customWidth="1"/>
    <col min="2042" max="2042" width="2" style="59" bestFit="1" customWidth="1"/>
    <col min="2043" max="2043" width="2.140625" style="59" customWidth="1"/>
    <col min="2044" max="2044" width="2" style="59" customWidth="1"/>
    <col min="2045" max="2045" width="2.28515625" style="59" customWidth="1"/>
    <col min="2046" max="2046" width="11.42578125" style="59"/>
    <col min="2047" max="2047" width="2" style="59" bestFit="1" customWidth="1"/>
    <col min="2048" max="2287" width="11.42578125" style="59"/>
    <col min="2288" max="2288" width="2.42578125" style="59" customWidth="1"/>
    <col min="2289" max="2289" width="2.140625" style="59" bestFit="1" customWidth="1"/>
    <col min="2290" max="2290" width="0.85546875" style="59" bestFit="1" customWidth="1"/>
    <col min="2291" max="2291" width="2" style="59" customWidth="1"/>
    <col min="2292" max="2292" width="2" style="59" bestFit="1" customWidth="1"/>
    <col min="2293" max="2293" width="1.28515625" style="59" bestFit="1" customWidth="1"/>
    <col min="2294" max="2294" width="2" style="59" bestFit="1" customWidth="1"/>
    <col min="2295" max="2295" width="2.140625" style="59" customWidth="1"/>
    <col min="2296" max="2296" width="1.140625" style="59" customWidth="1"/>
    <col min="2297" max="2297" width="0" style="59" hidden="1" customWidth="1"/>
    <col min="2298" max="2298" width="2" style="59" bestFit="1" customWidth="1"/>
    <col min="2299" max="2299" width="2.140625" style="59" customWidth="1"/>
    <col min="2300" max="2300" width="2" style="59" customWidth="1"/>
    <col min="2301" max="2301" width="2.28515625" style="59" customWidth="1"/>
    <col min="2302" max="2302" width="11.42578125" style="59"/>
    <col min="2303" max="2303" width="2" style="59" bestFit="1" customWidth="1"/>
    <col min="2304" max="2543" width="11.42578125" style="59"/>
    <col min="2544" max="2544" width="2.42578125" style="59" customWidth="1"/>
    <col min="2545" max="2545" width="2.140625" style="59" bestFit="1" customWidth="1"/>
    <col min="2546" max="2546" width="0.85546875" style="59" bestFit="1" customWidth="1"/>
    <col min="2547" max="2547" width="2" style="59" customWidth="1"/>
    <col min="2548" max="2548" width="2" style="59" bestFit="1" customWidth="1"/>
    <col min="2549" max="2549" width="1.28515625" style="59" bestFit="1" customWidth="1"/>
    <col min="2550" max="2550" width="2" style="59" bestFit="1" customWidth="1"/>
    <col min="2551" max="2551" width="2.140625" style="59" customWidth="1"/>
    <col min="2552" max="2552" width="1.140625" style="59" customWidth="1"/>
    <col min="2553" max="2553" width="0" style="59" hidden="1" customWidth="1"/>
    <col min="2554" max="2554" width="2" style="59" bestFit="1" customWidth="1"/>
    <col min="2555" max="2555" width="2.140625" style="59" customWidth="1"/>
    <col min="2556" max="2556" width="2" style="59" customWidth="1"/>
    <col min="2557" max="2557" width="2.28515625" style="59" customWidth="1"/>
    <col min="2558" max="2558" width="11.42578125" style="59"/>
    <col min="2559" max="2559" width="2" style="59" bestFit="1" customWidth="1"/>
    <col min="2560" max="2799" width="11.42578125" style="59"/>
    <col min="2800" max="2800" width="2.42578125" style="59" customWidth="1"/>
    <col min="2801" max="2801" width="2.140625" style="59" bestFit="1" customWidth="1"/>
    <col min="2802" max="2802" width="0.85546875" style="59" bestFit="1" customWidth="1"/>
    <col min="2803" max="2803" width="2" style="59" customWidth="1"/>
    <col min="2804" max="2804" width="2" style="59" bestFit="1" customWidth="1"/>
    <col min="2805" max="2805" width="1.28515625" style="59" bestFit="1" customWidth="1"/>
    <col min="2806" max="2806" width="2" style="59" bestFit="1" customWidth="1"/>
    <col min="2807" max="2807" width="2.140625" style="59" customWidth="1"/>
    <col min="2808" max="2808" width="1.140625" style="59" customWidth="1"/>
    <col min="2809" max="2809" width="0" style="59" hidden="1" customWidth="1"/>
    <col min="2810" max="2810" width="2" style="59" bestFit="1" customWidth="1"/>
    <col min="2811" max="2811" width="2.140625" style="59" customWidth="1"/>
    <col min="2812" max="2812" width="2" style="59" customWidth="1"/>
    <col min="2813" max="2813" width="2.28515625" style="59" customWidth="1"/>
    <col min="2814" max="2814" width="11.42578125" style="59"/>
    <col min="2815" max="2815" width="2" style="59" bestFit="1" customWidth="1"/>
    <col min="2816" max="3055" width="11.42578125" style="59"/>
    <col min="3056" max="3056" width="2.42578125" style="59" customWidth="1"/>
    <col min="3057" max="3057" width="2.140625" style="59" bestFit="1" customWidth="1"/>
    <col min="3058" max="3058" width="0.85546875" style="59" bestFit="1" customWidth="1"/>
    <col min="3059" max="3059" width="2" style="59" customWidth="1"/>
    <col min="3060" max="3060" width="2" style="59" bestFit="1" customWidth="1"/>
    <col min="3061" max="3061" width="1.28515625" style="59" bestFit="1" customWidth="1"/>
    <col min="3062" max="3062" width="2" style="59" bestFit="1" customWidth="1"/>
    <col min="3063" max="3063" width="2.140625" style="59" customWidth="1"/>
    <col min="3064" max="3064" width="1.140625" style="59" customWidth="1"/>
    <col min="3065" max="3065" width="0" style="59" hidden="1" customWidth="1"/>
    <col min="3066" max="3066" width="2" style="59" bestFit="1" customWidth="1"/>
    <col min="3067" max="3067" width="2.140625" style="59" customWidth="1"/>
    <col min="3068" max="3068" width="2" style="59" customWidth="1"/>
    <col min="3069" max="3069" width="2.28515625" style="59" customWidth="1"/>
    <col min="3070" max="3070" width="11.42578125" style="59"/>
    <col min="3071" max="3071" width="2" style="59" bestFit="1" customWidth="1"/>
    <col min="3072" max="3311" width="11.42578125" style="59"/>
    <col min="3312" max="3312" width="2.42578125" style="59" customWidth="1"/>
    <col min="3313" max="3313" width="2.140625" style="59" bestFit="1" customWidth="1"/>
    <col min="3314" max="3314" width="0.85546875" style="59" bestFit="1" customWidth="1"/>
    <col min="3315" max="3315" width="2" style="59" customWidth="1"/>
    <col min="3316" max="3316" width="2" style="59" bestFit="1" customWidth="1"/>
    <col min="3317" max="3317" width="1.28515625" style="59" bestFit="1" customWidth="1"/>
    <col min="3318" max="3318" width="2" style="59" bestFit="1" customWidth="1"/>
    <col min="3319" max="3319" width="2.140625" style="59" customWidth="1"/>
    <col min="3320" max="3320" width="1.140625" style="59" customWidth="1"/>
    <col min="3321" max="3321" width="0" style="59" hidden="1" customWidth="1"/>
    <col min="3322" max="3322" width="2" style="59" bestFit="1" customWidth="1"/>
    <col min="3323" max="3323" width="2.140625" style="59" customWidth="1"/>
    <col min="3324" max="3324" width="2" style="59" customWidth="1"/>
    <col min="3325" max="3325" width="2.28515625" style="59" customWidth="1"/>
    <col min="3326" max="3326" width="11.42578125" style="59"/>
    <col min="3327" max="3327" width="2" style="59" bestFit="1" customWidth="1"/>
    <col min="3328" max="3567" width="11.42578125" style="59"/>
    <col min="3568" max="3568" width="2.42578125" style="59" customWidth="1"/>
    <col min="3569" max="3569" width="2.140625" style="59" bestFit="1" customWidth="1"/>
    <col min="3570" max="3570" width="0.85546875" style="59" bestFit="1" customWidth="1"/>
    <col min="3571" max="3571" width="2" style="59" customWidth="1"/>
    <col min="3572" max="3572" width="2" style="59" bestFit="1" customWidth="1"/>
    <col min="3573" max="3573" width="1.28515625" style="59" bestFit="1" customWidth="1"/>
    <col min="3574" max="3574" width="2" style="59" bestFit="1" customWidth="1"/>
    <col min="3575" max="3575" width="2.140625" style="59" customWidth="1"/>
    <col min="3576" max="3576" width="1.140625" style="59" customWidth="1"/>
    <col min="3577" max="3577" width="0" style="59" hidden="1" customWidth="1"/>
    <col min="3578" max="3578" width="2" style="59" bestFit="1" customWidth="1"/>
    <col min="3579" max="3579" width="2.140625" style="59" customWidth="1"/>
    <col min="3580" max="3580" width="2" style="59" customWidth="1"/>
    <col min="3581" max="3581" width="2.28515625" style="59" customWidth="1"/>
    <col min="3582" max="3582" width="11.42578125" style="59"/>
    <col min="3583" max="3583" width="2" style="59" bestFit="1" customWidth="1"/>
    <col min="3584" max="3823" width="11.42578125" style="59"/>
    <col min="3824" max="3824" width="2.42578125" style="59" customWidth="1"/>
    <col min="3825" max="3825" width="2.140625" style="59" bestFit="1" customWidth="1"/>
    <col min="3826" max="3826" width="0.85546875" style="59" bestFit="1" customWidth="1"/>
    <col min="3827" max="3827" width="2" style="59" customWidth="1"/>
    <col min="3828" max="3828" width="2" style="59" bestFit="1" customWidth="1"/>
    <col min="3829" max="3829" width="1.28515625" style="59" bestFit="1" customWidth="1"/>
    <col min="3830" max="3830" width="2" style="59" bestFit="1" customWidth="1"/>
    <col min="3831" max="3831" width="2.140625" style="59" customWidth="1"/>
    <col min="3832" max="3832" width="1.140625" style="59" customWidth="1"/>
    <col min="3833" max="3833" width="0" style="59" hidden="1" customWidth="1"/>
    <col min="3834" max="3834" width="2" style="59" bestFit="1" customWidth="1"/>
    <col min="3835" max="3835" width="2.140625" style="59" customWidth="1"/>
    <col min="3836" max="3836" width="2" style="59" customWidth="1"/>
    <col min="3837" max="3837" width="2.28515625" style="59" customWidth="1"/>
    <col min="3838" max="3838" width="11.42578125" style="59"/>
    <col min="3839" max="3839" width="2" style="59" bestFit="1" customWidth="1"/>
    <col min="3840" max="4079" width="11.42578125" style="59"/>
    <col min="4080" max="4080" width="2.42578125" style="59" customWidth="1"/>
    <col min="4081" max="4081" width="2.140625" style="59" bestFit="1" customWidth="1"/>
    <col min="4082" max="4082" width="0.85546875" style="59" bestFit="1" customWidth="1"/>
    <col min="4083" max="4083" width="2" style="59" customWidth="1"/>
    <col min="4084" max="4084" width="2" style="59" bestFit="1" customWidth="1"/>
    <col min="4085" max="4085" width="1.28515625" style="59" bestFit="1" customWidth="1"/>
    <col min="4086" max="4086" width="2" style="59" bestFit="1" customWidth="1"/>
    <col min="4087" max="4087" width="2.140625" style="59" customWidth="1"/>
    <col min="4088" max="4088" width="1.140625" style="59" customWidth="1"/>
    <col min="4089" max="4089" width="0" style="59" hidden="1" customWidth="1"/>
    <col min="4090" max="4090" width="2" style="59" bestFit="1" customWidth="1"/>
    <col min="4091" max="4091" width="2.140625" style="59" customWidth="1"/>
    <col min="4092" max="4092" width="2" style="59" customWidth="1"/>
    <col min="4093" max="4093" width="2.28515625" style="59" customWidth="1"/>
    <col min="4094" max="4094" width="11.42578125" style="59"/>
    <col min="4095" max="4095" width="2" style="59" bestFit="1" customWidth="1"/>
    <col min="4096" max="4335" width="11.42578125" style="59"/>
    <col min="4336" max="4336" width="2.42578125" style="59" customWidth="1"/>
    <col min="4337" max="4337" width="2.140625" style="59" bestFit="1" customWidth="1"/>
    <col min="4338" max="4338" width="0.85546875" style="59" bestFit="1" customWidth="1"/>
    <col min="4339" max="4339" width="2" style="59" customWidth="1"/>
    <col min="4340" max="4340" width="2" style="59" bestFit="1" customWidth="1"/>
    <col min="4341" max="4341" width="1.28515625" style="59" bestFit="1" customWidth="1"/>
    <col min="4342" max="4342" width="2" style="59" bestFit="1" customWidth="1"/>
    <col min="4343" max="4343" width="2.140625" style="59" customWidth="1"/>
    <col min="4344" max="4344" width="1.140625" style="59" customWidth="1"/>
    <col min="4345" max="4345" width="0" style="59" hidden="1" customWidth="1"/>
    <col min="4346" max="4346" width="2" style="59" bestFit="1" customWidth="1"/>
    <col min="4347" max="4347" width="2.140625" style="59" customWidth="1"/>
    <col min="4348" max="4348" width="2" style="59" customWidth="1"/>
    <col min="4349" max="4349" width="2.28515625" style="59" customWidth="1"/>
    <col min="4350" max="4350" width="11.42578125" style="59"/>
    <col min="4351" max="4351" width="2" style="59" bestFit="1" customWidth="1"/>
    <col min="4352" max="4591" width="11.42578125" style="59"/>
    <col min="4592" max="4592" width="2.42578125" style="59" customWidth="1"/>
    <col min="4593" max="4593" width="2.140625" style="59" bestFit="1" customWidth="1"/>
    <col min="4594" max="4594" width="0.85546875" style="59" bestFit="1" customWidth="1"/>
    <col min="4595" max="4595" width="2" style="59" customWidth="1"/>
    <col min="4596" max="4596" width="2" style="59" bestFit="1" customWidth="1"/>
    <col min="4597" max="4597" width="1.28515625" style="59" bestFit="1" customWidth="1"/>
    <col min="4598" max="4598" width="2" style="59" bestFit="1" customWidth="1"/>
    <col min="4599" max="4599" width="2.140625" style="59" customWidth="1"/>
    <col min="4600" max="4600" width="1.140625" style="59" customWidth="1"/>
    <col min="4601" max="4601" width="0" style="59" hidden="1" customWidth="1"/>
    <col min="4602" max="4602" width="2" style="59" bestFit="1" customWidth="1"/>
    <col min="4603" max="4603" width="2.140625" style="59" customWidth="1"/>
    <col min="4604" max="4604" width="2" style="59" customWidth="1"/>
    <col min="4605" max="4605" width="2.28515625" style="59" customWidth="1"/>
    <col min="4606" max="4606" width="11.42578125" style="59"/>
    <col min="4607" max="4607" width="2" style="59" bestFit="1" customWidth="1"/>
    <col min="4608" max="4847" width="11.42578125" style="59"/>
    <col min="4848" max="4848" width="2.42578125" style="59" customWidth="1"/>
    <col min="4849" max="4849" width="2.140625" style="59" bestFit="1" customWidth="1"/>
    <col min="4850" max="4850" width="0.85546875" style="59" bestFit="1" customWidth="1"/>
    <col min="4851" max="4851" width="2" style="59" customWidth="1"/>
    <col min="4852" max="4852" width="2" style="59" bestFit="1" customWidth="1"/>
    <col min="4853" max="4853" width="1.28515625" style="59" bestFit="1" customWidth="1"/>
    <col min="4854" max="4854" width="2" style="59" bestFit="1" customWidth="1"/>
    <col min="4855" max="4855" width="2.140625" style="59" customWidth="1"/>
    <col min="4856" max="4856" width="1.140625" style="59" customWidth="1"/>
    <col min="4857" max="4857" width="0" style="59" hidden="1" customWidth="1"/>
    <col min="4858" max="4858" width="2" style="59" bestFit="1" customWidth="1"/>
    <col min="4859" max="4859" width="2.140625" style="59" customWidth="1"/>
    <col min="4860" max="4860" width="2" style="59" customWidth="1"/>
    <col min="4861" max="4861" width="2.28515625" style="59" customWidth="1"/>
    <col min="4862" max="4862" width="11.42578125" style="59"/>
    <col min="4863" max="4863" width="2" style="59" bestFit="1" customWidth="1"/>
    <col min="4864" max="5103" width="11.42578125" style="59"/>
    <col min="5104" max="5104" width="2.42578125" style="59" customWidth="1"/>
    <col min="5105" max="5105" width="2.140625" style="59" bestFit="1" customWidth="1"/>
    <col min="5106" max="5106" width="0.85546875" style="59" bestFit="1" customWidth="1"/>
    <col min="5107" max="5107" width="2" style="59" customWidth="1"/>
    <col min="5108" max="5108" width="2" style="59" bestFit="1" customWidth="1"/>
    <col min="5109" max="5109" width="1.28515625" style="59" bestFit="1" customWidth="1"/>
    <col min="5110" max="5110" width="2" style="59" bestFit="1" customWidth="1"/>
    <col min="5111" max="5111" width="2.140625" style="59" customWidth="1"/>
    <col min="5112" max="5112" width="1.140625" style="59" customWidth="1"/>
    <col min="5113" max="5113" width="0" style="59" hidden="1" customWidth="1"/>
    <col min="5114" max="5114" width="2" style="59" bestFit="1" customWidth="1"/>
    <col min="5115" max="5115" width="2.140625" style="59" customWidth="1"/>
    <col min="5116" max="5116" width="2" style="59" customWidth="1"/>
    <col min="5117" max="5117" width="2.28515625" style="59" customWidth="1"/>
    <col min="5118" max="5118" width="11.42578125" style="59"/>
    <col min="5119" max="5119" width="2" style="59" bestFit="1" customWidth="1"/>
    <col min="5120" max="5359" width="11.42578125" style="59"/>
    <col min="5360" max="5360" width="2.42578125" style="59" customWidth="1"/>
    <col min="5361" max="5361" width="2.140625" style="59" bestFit="1" customWidth="1"/>
    <col min="5362" max="5362" width="0.85546875" style="59" bestFit="1" customWidth="1"/>
    <col min="5363" max="5363" width="2" style="59" customWidth="1"/>
    <col min="5364" max="5364" width="2" style="59" bestFit="1" customWidth="1"/>
    <col min="5365" max="5365" width="1.28515625" style="59" bestFit="1" customWidth="1"/>
    <col min="5366" max="5366" width="2" style="59" bestFit="1" customWidth="1"/>
    <col min="5367" max="5367" width="2.140625" style="59" customWidth="1"/>
    <col min="5368" max="5368" width="1.140625" style="59" customWidth="1"/>
    <col min="5369" max="5369" width="0" style="59" hidden="1" customWidth="1"/>
    <col min="5370" max="5370" width="2" style="59" bestFit="1" customWidth="1"/>
    <col min="5371" max="5371" width="2.140625" style="59" customWidth="1"/>
    <col min="5372" max="5372" width="2" style="59" customWidth="1"/>
    <col min="5373" max="5373" width="2.28515625" style="59" customWidth="1"/>
    <col min="5374" max="5374" width="11.42578125" style="59"/>
    <col min="5375" max="5375" width="2" style="59" bestFit="1" customWidth="1"/>
    <col min="5376" max="5615" width="11.42578125" style="59"/>
    <col min="5616" max="5616" width="2.42578125" style="59" customWidth="1"/>
    <col min="5617" max="5617" width="2.140625" style="59" bestFit="1" customWidth="1"/>
    <col min="5618" max="5618" width="0.85546875" style="59" bestFit="1" customWidth="1"/>
    <col min="5619" max="5619" width="2" style="59" customWidth="1"/>
    <col min="5620" max="5620" width="2" style="59" bestFit="1" customWidth="1"/>
    <col min="5621" max="5621" width="1.28515625" style="59" bestFit="1" customWidth="1"/>
    <col min="5622" max="5622" width="2" style="59" bestFit="1" customWidth="1"/>
    <col min="5623" max="5623" width="2.140625" style="59" customWidth="1"/>
    <col min="5624" max="5624" width="1.140625" style="59" customWidth="1"/>
    <col min="5625" max="5625" width="0" style="59" hidden="1" customWidth="1"/>
    <col min="5626" max="5626" width="2" style="59" bestFit="1" customWidth="1"/>
    <col min="5627" max="5627" width="2.140625" style="59" customWidth="1"/>
    <col min="5628" max="5628" width="2" style="59" customWidth="1"/>
    <col min="5629" max="5629" width="2.28515625" style="59" customWidth="1"/>
    <col min="5630" max="5630" width="11.42578125" style="59"/>
    <col min="5631" max="5631" width="2" style="59" bestFit="1" customWidth="1"/>
    <col min="5632" max="5871" width="11.42578125" style="59"/>
    <col min="5872" max="5872" width="2.42578125" style="59" customWidth="1"/>
    <col min="5873" max="5873" width="2.140625" style="59" bestFit="1" customWidth="1"/>
    <col min="5874" max="5874" width="0.85546875" style="59" bestFit="1" customWidth="1"/>
    <col min="5875" max="5875" width="2" style="59" customWidth="1"/>
    <col min="5876" max="5876" width="2" style="59" bestFit="1" customWidth="1"/>
    <col min="5877" max="5877" width="1.28515625" style="59" bestFit="1" customWidth="1"/>
    <col min="5878" max="5878" width="2" style="59" bestFit="1" customWidth="1"/>
    <col min="5879" max="5879" width="2.140625" style="59" customWidth="1"/>
    <col min="5880" max="5880" width="1.140625" style="59" customWidth="1"/>
    <col min="5881" max="5881" width="0" style="59" hidden="1" customWidth="1"/>
    <col min="5882" max="5882" width="2" style="59" bestFit="1" customWidth="1"/>
    <col min="5883" max="5883" width="2.140625" style="59" customWidth="1"/>
    <col min="5884" max="5884" width="2" style="59" customWidth="1"/>
    <col min="5885" max="5885" width="2.28515625" style="59" customWidth="1"/>
    <col min="5886" max="5886" width="11.42578125" style="59"/>
    <col min="5887" max="5887" width="2" style="59" bestFit="1" customWidth="1"/>
    <col min="5888" max="6127" width="11.42578125" style="59"/>
    <col min="6128" max="6128" width="2.42578125" style="59" customWidth="1"/>
    <col min="6129" max="6129" width="2.140625" style="59" bestFit="1" customWidth="1"/>
    <col min="6130" max="6130" width="0.85546875" style="59" bestFit="1" customWidth="1"/>
    <col min="6131" max="6131" width="2" style="59" customWidth="1"/>
    <col min="6132" max="6132" width="2" style="59" bestFit="1" customWidth="1"/>
    <col min="6133" max="6133" width="1.28515625" style="59" bestFit="1" customWidth="1"/>
    <col min="6134" max="6134" width="2" style="59" bestFit="1" customWidth="1"/>
    <col min="6135" max="6135" width="2.140625" style="59" customWidth="1"/>
    <col min="6136" max="6136" width="1.140625" style="59" customWidth="1"/>
    <col min="6137" max="6137" width="0" style="59" hidden="1" customWidth="1"/>
    <col min="6138" max="6138" width="2" style="59" bestFit="1" customWidth="1"/>
    <col min="6139" max="6139" width="2.140625" style="59" customWidth="1"/>
    <col min="6140" max="6140" width="2" style="59" customWidth="1"/>
    <col min="6141" max="6141" width="2.28515625" style="59" customWidth="1"/>
    <col min="6142" max="6142" width="11.42578125" style="59"/>
    <col min="6143" max="6143" width="2" style="59" bestFit="1" customWidth="1"/>
    <col min="6144" max="6383" width="11.42578125" style="59"/>
    <col min="6384" max="6384" width="2.42578125" style="59" customWidth="1"/>
    <col min="6385" max="6385" width="2.140625" style="59" bestFit="1" customWidth="1"/>
    <col min="6386" max="6386" width="0.85546875" style="59" bestFit="1" customWidth="1"/>
    <col min="6387" max="6387" width="2" style="59" customWidth="1"/>
    <col min="6388" max="6388" width="2" style="59" bestFit="1" customWidth="1"/>
    <col min="6389" max="6389" width="1.28515625" style="59" bestFit="1" customWidth="1"/>
    <col min="6390" max="6390" width="2" style="59" bestFit="1" customWidth="1"/>
    <col min="6391" max="6391" width="2.140625" style="59" customWidth="1"/>
    <col min="6392" max="6392" width="1.140625" style="59" customWidth="1"/>
    <col min="6393" max="6393" width="0" style="59" hidden="1" customWidth="1"/>
    <col min="6394" max="6394" width="2" style="59" bestFit="1" customWidth="1"/>
    <col min="6395" max="6395" width="2.140625" style="59" customWidth="1"/>
    <col min="6396" max="6396" width="2" style="59" customWidth="1"/>
    <col min="6397" max="6397" width="2.28515625" style="59" customWidth="1"/>
    <col min="6398" max="6398" width="11.42578125" style="59"/>
    <col min="6399" max="6399" width="2" style="59" bestFit="1" customWidth="1"/>
    <col min="6400" max="6639" width="11.42578125" style="59"/>
    <col min="6640" max="6640" width="2.42578125" style="59" customWidth="1"/>
    <col min="6641" max="6641" width="2.140625" style="59" bestFit="1" customWidth="1"/>
    <col min="6642" max="6642" width="0.85546875" style="59" bestFit="1" customWidth="1"/>
    <col min="6643" max="6643" width="2" style="59" customWidth="1"/>
    <col min="6644" max="6644" width="2" style="59" bestFit="1" customWidth="1"/>
    <col min="6645" max="6645" width="1.28515625" style="59" bestFit="1" customWidth="1"/>
    <col min="6646" max="6646" width="2" style="59" bestFit="1" customWidth="1"/>
    <col min="6647" max="6647" width="2.140625" style="59" customWidth="1"/>
    <col min="6648" max="6648" width="1.140625" style="59" customWidth="1"/>
    <col min="6649" max="6649" width="0" style="59" hidden="1" customWidth="1"/>
    <col min="6650" max="6650" width="2" style="59" bestFit="1" customWidth="1"/>
    <col min="6651" max="6651" width="2.140625" style="59" customWidth="1"/>
    <col min="6652" max="6652" width="2" style="59" customWidth="1"/>
    <col min="6653" max="6653" width="2.28515625" style="59" customWidth="1"/>
    <col min="6654" max="6654" width="11.42578125" style="59"/>
    <col min="6655" max="6655" width="2" style="59" bestFit="1" customWidth="1"/>
    <col min="6656" max="6895" width="11.42578125" style="59"/>
    <col min="6896" max="6896" width="2.42578125" style="59" customWidth="1"/>
    <col min="6897" max="6897" width="2.140625" style="59" bestFit="1" customWidth="1"/>
    <col min="6898" max="6898" width="0.85546875" style="59" bestFit="1" customWidth="1"/>
    <col min="6899" max="6899" width="2" style="59" customWidth="1"/>
    <col min="6900" max="6900" width="2" style="59" bestFit="1" customWidth="1"/>
    <col min="6901" max="6901" width="1.28515625" style="59" bestFit="1" customWidth="1"/>
    <col min="6902" max="6902" width="2" style="59" bestFit="1" customWidth="1"/>
    <col min="6903" max="6903" width="2.140625" style="59" customWidth="1"/>
    <col min="6904" max="6904" width="1.140625" style="59" customWidth="1"/>
    <col min="6905" max="6905" width="0" style="59" hidden="1" customWidth="1"/>
    <col min="6906" max="6906" width="2" style="59" bestFit="1" customWidth="1"/>
    <col min="6907" max="6907" width="2.140625" style="59" customWidth="1"/>
    <col min="6908" max="6908" width="2" style="59" customWidth="1"/>
    <col min="6909" max="6909" width="2.28515625" style="59" customWidth="1"/>
    <col min="6910" max="6910" width="11.42578125" style="59"/>
    <col min="6911" max="6911" width="2" style="59" bestFit="1" customWidth="1"/>
    <col min="6912" max="7151" width="11.42578125" style="59"/>
    <col min="7152" max="7152" width="2.42578125" style="59" customWidth="1"/>
    <col min="7153" max="7153" width="2.140625" style="59" bestFit="1" customWidth="1"/>
    <col min="7154" max="7154" width="0.85546875" style="59" bestFit="1" customWidth="1"/>
    <col min="7155" max="7155" width="2" style="59" customWidth="1"/>
    <col min="7156" max="7156" width="2" style="59" bestFit="1" customWidth="1"/>
    <col min="7157" max="7157" width="1.28515625" style="59" bestFit="1" customWidth="1"/>
    <col min="7158" max="7158" width="2" style="59" bestFit="1" customWidth="1"/>
    <col min="7159" max="7159" width="2.140625" style="59" customWidth="1"/>
    <col min="7160" max="7160" width="1.140625" style="59" customWidth="1"/>
    <col min="7161" max="7161" width="0" style="59" hidden="1" customWidth="1"/>
    <col min="7162" max="7162" width="2" style="59" bestFit="1" customWidth="1"/>
    <col min="7163" max="7163" width="2.140625" style="59" customWidth="1"/>
    <col min="7164" max="7164" width="2" style="59" customWidth="1"/>
    <col min="7165" max="7165" width="2.28515625" style="59" customWidth="1"/>
    <col min="7166" max="7166" width="11.42578125" style="59"/>
    <col min="7167" max="7167" width="2" style="59" bestFit="1" customWidth="1"/>
    <col min="7168" max="7407" width="11.42578125" style="59"/>
    <col min="7408" max="7408" width="2.42578125" style="59" customWidth="1"/>
    <col min="7409" max="7409" width="2.140625" style="59" bestFit="1" customWidth="1"/>
    <col min="7410" max="7410" width="0.85546875" style="59" bestFit="1" customWidth="1"/>
    <col min="7411" max="7411" width="2" style="59" customWidth="1"/>
    <col min="7412" max="7412" width="2" style="59" bestFit="1" customWidth="1"/>
    <col min="7413" max="7413" width="1.28515625" style="59" bestFit="1" customWidth="1"/>
    <col min="7414" max="7414" width="2" style="59" bestFit="1" customWidth="1"/>
    <col min="7415" max="7415" width="2.140625" style="59" customWidth="1"/>
    <col min="7416" max="7416" width="1.140625" style="59" customWidth="1"/>
    <col min="7417" max="7417" width="0" style="59" hidden="1" customWidth="1"/>
    <col min="7418" max="7418" width="2" style="59" bestFit="1" customWidth="1"/>
    <col min="7419" max="7419" width="2.140625" style="59" customWidth="1"/>
    <col min="7420" max="7420" width="2" style="59" customWidth="1"/>
    <col min="7421" max="7421" width="2.28515625" style="59" customWidth="1"/>
    <col min="7422" max="7422" width="11.42578125" style="59"/>
    <col min="7423" max="7423" width="2" style="59" bestFit="1" customWidth="1"/>
    <col min="7424" max="7663" width="11.42578125" style="59"/>
    <col min="7664" max="7664" width="2.42578125" style="59" customWidth="1"/>
    <col min="7665" max="7665" width="2.140625" style="59" bestFit="1" customWidth="1"/>
    <col min="7666" max="7666" width="0.85546875" style="59" bestFit="1" customWidth="1"/>
    <col min="7667" max="7667" width="2" style="59" customWidth="1"/>
    <col min="7668" max="7668" width="2" style="59" bestFit="1" customWidth="1"/>
    <col min="7669" max="7669" width="1.28515625" style="59" bestFit="1" customWidth="1"/>
    <col min="7670" max="7670" width="2" style="59" bestFit="1" customWidth="1"/>
    <col min="7671" max="7671" width="2.140625" style="59" customWidth="1"/>
    <col min="7672" max="7672" width="1.140625" style="59" customWidth="1"/>
    <col min="7673" max="7673" width="0" style="59" hidden="1" customWidth="1"/>
    <col min="7674" max="7674" width="2" style="59" bestFit="1" customWidth="1"/>
    <col min="7675" max="7675" width="2.140625" style="59" customWidth="1"/>
    <col min="7676" max="7676" width="2" style="59" customWidth="1"/>
    <col min="7677" max="7677" width="2.28515625" style="59" customWidth="1"/>
    <col min="7678" max="7678" width="11.42578125" style="59"/>
    <col min="7679" max="7679" width="2" style="59" bestFit="1" customWidth="1"/>
    <col min="7680" max="7919" width="11.42578125" style="59"/>
    <col min="7920" max="7920" width="2.42578125" style="59" customWidth="1"/>
    <col min="7921" max="7921" width="2.140625" style="59" bestFit="1" customWidth="1"/>
    <col min="7922" max="7922" width="0.85546875" style="59" bestFit="1" customWidth="1"/>
    <col min="7923" max="7923" width="2" style="59" customWidth="1"/>
    <col min="7924" max="7924" width="2" style="59" bestFit="1" customWidth="1"/>
    <col min="7925" max="7925" width="1.28515625" style="59" bestFit="1" customWidth="1"/>
    <col min="7926" max="7926" width="2" style="59" bestFit="1" customWidth="1"/>
    <col min="7927" max="7927" width="2.140625" style="59" customWidth="1"/>
    <col min="7928" max="7928" width="1.140625" style="59" customWidth="1"/>
    <col min="7929" max="7929" width="0" style="59" hidden="1" customWidth="1"/>
    <col min="7930" max="7930" width="2" style="59" bestFit="1" customWidth="1"/>
    <col min="7931" max="7931" width="2.140625" style="59" customWidth="1"/>
    <col min="7932" max="7932" width="2" style="59" customWidth="1"/>
    <col min="7933" max="7933" width="2.28515625" style="59" customWidth="1"/>
    <col min="7934" max="7934" width="11.42578125" style="59"/>
    <col min="7935" max="7935" width="2" style="59" bestFit="1" customWidth="1"/>
    <col min="7936" max="8175" width="11.42578125" style="59"/>
    <col min="8176" max="8176" width="2.42578125" style="59" customWidth="1"/>
    <col min="8177" max="8177" width="2.140625" style="59" bestFit="1" customWidth="1"/>
    <col min="8178" max="8178" width="0.85546875" style="59" bestFit="1" customWidth="1"/>
    <col min="8179" max="8179" width="2" style="59" customWidth="1"/>
    <col min="8180" max="8180" width="2" style="59" bestFit="1" customWidth="1"/>
    <col min="8181" max="8181" width="1.28515625" style="59" bestFit="1" customWidth="1"/>
    <col min="8182" max="8182" width="2" style="59" bestFit="1" customWidth="1"/>
    <col min="8183" max="8183" width="2.140625" style="59" customWidth="1"/>
    <col min="8184" max="8184" width="1.140625" style="59" customWidth="1"/>
    <col min="8185" max="8185" width="0" style="59" hidden="1" customWidth="1"/>
    <col min="8186" max="8186" width="2" style="59" bestFit="1" customWidth="1"/>
    <col min="8187" max="8187" width="2.140625" style="59" customWidth="1"/>
    <col min="8188" max="8188" width="2" style="59" customWidth="1"/>
    <col min="8189" max="8189" width="2.28515625" style="59" customWidth="1"/>
    <col min="8190" max="8190" width="11.42578125" style="59"/>
    <col min="8191" max="8191" width="2" style="59" bestFit="1" customWidth="1"/>
    <col min="8192" max="8431" width="11.42578125" style="59"/>
    <col min="8432" max="8432" width="2.42578125" style="59" customWidth="1"/>
    <col min="8433" max="8433" width="2.140625" style="59" bestFit="1" customWidth="1"/>
    <col min="8434" max="8434" width="0.85546875" style="59" bestFit="1" customWidth="1"/>
    <col min="8435" max="8435" width="2" style="59" customWidth="1"/>
    <col min="8436" max="8436" width="2" style="59" bestFit="1" customWidth="1"/>
    <col min="8437" max="8437" width="1.28515625" style="59" bestFit="1" customWidth="1"/>
    <col min="8438" max="8438" width="2" style="59" bestFit="1" customWidth="1"/>
    <col min="8439" max="8439" width="2.140625" style="59" customWidth="1"/>
    <col min="8440" max="8440" width="1.140625" style="59" customWidth="1"/>
    <col min="8441" max="8441" width="0" style="59" hidden="1" customWidth="1"/>
    <col min="8442" max="8442" width="2" style="59" bestFit="1" customWidth="1"/>
    <col min="8443" max="8443" width="2.140625" style="59" customWidth="1"/>
    <col min="8444" max="8444" width="2" style="59" customWidth="1"/>
    <col min="8445" max="8445" width="2.28515625" style="59" customWidth="1"/>
    <col min="8446" max="8446" width="11.42578125" style="59"/>
    <col min="8447" max="8447" width="2" style="59" bestFit="1" customWidth="1"/>
    <col min="8448" max="8687" width="11.42578125" style="59"/>
    <col min="8688" max="8688" width="2.42578125" style="59" customWidth="1"/>
    <col min="8689" max="8689" width="2.140625" style="59" bestFit="1" customWidth="1"/>
    <col min="8690" max="8690" width="0.85546875" style="59" bestFit="1" customWidth="1"/>
    <col min="8691" max="8691" width="2" style="59" customWidth="1"/>
    <col min="8692" max="8692" width="2" style="59" bestFit="1" customWidth="1"/>
    <col min="8693" max="8693" width="1.28515625" style="59" bestFit="1" customWidth="1"/>
    <col min="8694" max="8694" width="2" style="59" bestFit="1" customWidth="1"/>
    <col min="8695" max="8695" width="2.140625" style="59" customWidth="1"/>
    <col min="8696" max="8696" width="1.140625" style="59" customWidth="1"/>
    <col min="8697" max="8697" width="0" style="59" hidden="1" customWidth="1"/>
    <col min="8698" max="8698" width="2" style="59" bestFit="1" customWidth="1"/>
    <col min="8699" max="8699" width="2.140625" style="59" customWidth="1"/>
    <col min="8700" max="8700" width="2" style="59" customWidth="1"/>
    <col min="8701" max="8701" width="2.28515625" style="59" customWidth="1"/>
    <col min="8702" max="8702" width="11.42578125" style="59"/>
    <col min="8703" max="8703" width="2" style="59" bestFit="1" customWidth="1"/>
    <col min="8704" max="8943" width="11.42578125" style="59"/>
    <col min="8944" max="8944" width="2.42578125" style="59" customWidth="1"/>
    <col min="8945" max="8945" width="2.140625" style="59" bestFit="1" customWidth="1"/>
    <col min="8946" max="8946" width="0.85546875" style="59" bestFit="1" customWidth="1"/>
    <col min="8947" max="8947" width="2" style="59" customWidth="1"/>
    <col min="8948" max="8948" width="2" style="59" bestFit="1" customWidth="1"/>
    <col min="8949" max="8949" width="1.28515625" style="59" bestFit="1" customWidth="1"/>
    <col min="8950" max="8950" width="2" style="59" bestFit="1" customWidth="1"/>
    <col min="8951" max="8951" width="2.140625" style="59" customWidth="1"/>
    <col min="8952" max="8952" width="1.140625" style="59" customWidth="1"/>
    <col min="8953" max="8953" width="0" style="59" hidden="1" customWidth="1"/>
    <col min="8954" max="8954" width="2" style="59" bestFit="1" customWidth="1"/>
    <col min="8955" max="8955" width="2.140625" style="59" customWidth="1"/>
    <col min="8956" max="8956" width="2" style="59" customWidth="1"/>
    <col min="8957" max="8957" width="2.28515625" style="59" customWidth="1"/>
    <col min="8958" max="8958" width="11.42578125" style="59"/>
    <col min="8959" max="8959" width="2" style="59" bestFit="1" customWidth="1"/>
    <col min="8960" max="9199" width="11.42578125" style="59"/>
    <col min="9200" max="9200" width="2.42578125" style="59" customWidth="1"/>
    <col min="9201" max="9201" width="2.140625" style="59" bestFit="1" customWidth="1"/>
    <col min="9202" max="9202" width="0.85546875" style="59" bestFit="1" customWidth="1"/>
    <col min="9203" max="9203" width="2" style="59" customWidth="1"/>
    <col min="9204" max="9204" width="2" style="59" bestFit="1" customWidth="1"/>
    <col min="9205" max="9205" width="1.28515625" style="59" bestFit="1" customWidth="1"/>
    <col min="9206" max="9206" width="2" style="59" bestFit="1" customWidth="1"/>
    <col min="9207" max="9207" width="2.140625" style="59" customWidth="1"/>
    <col min="9208" max="9208" width="1.140625" style="59" customWidth="1"/>
    <col min="9209" max="9209" width="0" style="59" hidden="1" customWidth="1"/>
    <col min="9210" max="9210" width="2" style="59" bestFit="1" customWidth="1"/>
    <col min="9211" max="9211" width="2.140625" style="59" customWidth="1"/>
    <col min="9212" max="9212" width="2" style="59" customWidth="1"/>
    <col min="9213" max="9213" width="2.28515625" style="59" customWidth="1"/>
    <col min="9214" max="9214" width="11.42578125" style="59"/>
    <col min="9215" max="9215" width="2" style="59" bestFit="1" customWidth="1"/>
    <col min="9216" max="9455" width="11.42578125" style="59"/>
    <col min="9456" max="9456" width="2.42578125" style="59" customWidth="1"/>
    <col min="9457" max="9457" width="2.140625" style="59" bestFit="1" customWidth="1"/>
    <col min="9458" max="9458" width="0.85546875" style="59" bestFit="1" customWidth="1"/>
    <col min="9459" max="9459" width="2" style="59" customWidth="1"/>
    <col min="9460" max="9460" width="2" style="59" bestFit="1" customWidth="1"/>
    <col min="9461" max="9461" width="1.28515625" style="59" bestFit="1" customWidth="1"/>
    <col min="9462" max="9462" width="2" style="59" bestFit="1" customWidth="1"/>
    <col min="9463" max="9463" width="2.140625" style="59" customWidth="1"/>
    <col min="9464" max="9464" width="1.140625" style="59" customWidth="1"/>
    <col min="9465" max="9465" width="0" style="59" hidden="1" customWidth="1"/>
    <col min="9466" max="9466" width="2" style="59" bestFit="1" customWidth="1"/>
    <col min="9467" max="9467" width="2.140625" style="59" customWidth="1"/>
    <col min="9468" max="9468" width="2" style="59" customWidth="1"/>
    <col min="9469" max="9469" width="2.28515625" style="59" customWidth="1"/>
    <col min="9470" max="9470" width="11.42578125" style="59"/>
    <col min="9471" max="9471" width="2" style="59" bestFit="1" customWidth="1"/>
    <col min="9472" max="9711" width="11.42578125" style="59"/>
    <col min="9712" max="9712" width="2.42578125" style="59" customWidth="1"/>
    <col min="9713" max="9713" width="2.140625" style="59" bestFit="1" customWidth="1"/>
    <col min="9714" max="9714" width="0.85546875" style="59" bestFit="1" customWidth="1"/>
    <col min="9715" max="9715" width="2" style="59" customWidth="1"/>
    <col min="9716" max="9716" width="2" style="59" bestFit="1" customWidth="1"/>
    <col min="9717" max="9717" width="1.28515625" style="59" bestFit="1" customWidth="1"/>
    <col min="9718" max="9718" width="2" style="59" bestFit="1" customWidth="1"/>
    <col min="9719" max="9719" width="2.140625" style="59" customWidth="1"/>
    <col min="9720" max="9720" width="1.140625" style="59" customWidth="1"/>
    <col min="9721" max="9721" width="0" style="59" hidden="1" customWidth="1"/>
    <col min="9722" max="9722" width="2" style="59" bestFit="1" customWidth="1"/>
    <col min="9723" max="9723" width="2.140625" style="59" customWidth="1"/>
    <col min="9724" max="9724" width="2" style="59" customWidth="1"/>
    <col min="9725" max="9725" width="2.28515625" style="59" customWidth="1"/>
    <col min="9726" max="9726" width="11.42578125" style="59"/>
    <col min="9727" max="9727" width="2" style="59" bestFit="1" customWidth="1"/>
    <col min="9728" max="9967" width="11.42578125" style="59"/>
    <col min="9968" max="9968" width="2.42578125" style="59" customWidth="1"/>
    <col min="9969" max="9969" width="2.140625" style="59" bestFit="1" customWidth="1"/>
    <col min="9970" max="9970" width="0.85546875" style="59" bestFit="1" customWidth="1"/>
    <col min="9971" max="9971" width="2" style="59" customWidth="1"/>
    <col min="9972" max="9972" width="2" style="59" bestFit="1" customWidth="1"/>
    <col min="9973" max="9973" width="1.28515625" style="59" bestFit="1" customWidth="1"/>
    <col min="9974" max="9974" width="2" style="59" bestFit="1" customWidth="1"/>
    <col min="9975" max="9975" width="2.140625" style="59" customWidth="1"/>
    <col min="9976" max="9976" width="1.140625" style="59" customWidth="1"/>
    <col min="9977" max="9977" width="0" style="59" hidden="1" customWidth="1"/>
    <col min="9978" max="9978" width="2" style="59" bestFit="1" customWidth="1"/>
    <col min="9979" max="9979" width="2.140625" style="59" customWidth="1"/>
    <col min="9980" max="9980" width="2" style="59" customWidth="1"/>
    <col min="9981" max="9981" width="2.28515625" style="59" customWidth="1"/>
    <col min="9982" max="9982" width="11.42578125" style="59"/>
    <col min="9983" max="9983" width="2" style="59" bestFit="1" customWidth="1"/>
    <col min="9984" max="10223" width="11.42578125" style="59"/>
    <col min="10224" max="10224" width="2.42578125" style="59" customWidth="1"/>
    <col min="10225" max="10225" width="2.140625" style="59" bestFit="1" customWidth="1"/>
    <col min="10226" max="10226" width="0.85546875" style="59" bestFit="1" customWidth="1"/>
    <col min="10227" max="10227" width="2" style="59" customWidth="1"/>
    <col min="10228" max="10228" width="2" style="59" bestFit="1" customWidth="1"/>
    <col min="10229" max="10229" width="1.28515625" style="59" bestFit="1" customWidth="1"/>
    <col min="10230" max="10230" width="2" style="59" bestFit="1" customWidth="1"/>
    <col min="10231" max="10231" width="2.140625" style="59" customWidth="1"/>
    <col min="10232" max="10232" width="1.140625" style="59" customWidth="1"/>
    <col min="10233" max="10233" width="0" style="59" hidden="1" customWidth="1"/>
    <col min="10234" max="10234" width="2" style="59" bestFit="1" customWidth="1"/>
    <col min="10235" max="10235" width="2.140625" style="59" customWidth="1"/>
    <col min="10236" max="10236" width="2" style="59" customWidth="1"/>
    <col min="10237" max="10237" width="2.28515625" style="59" customWidth="1"/>
    <col min="10238" max="10238" width="11.42578125" style="59"/>
    <col min="10239" max="10239" width="2" style="59" bestFit="1" customWidth="1"/>
    <col min="10240" max="10479" width="11.42578125" style="59"/>
    <col min="10480" max="10480" width="2.42578125" style="59" customWidth="1"/>
    <col min="10481" max="10481" width="2.140625" style="59" bestFit="1" customWidth="1"/>
    <col min="10482" max="10482" width="0.85546875" style="59" bestFit="1" customWidth="1"/>
    <col min="10483" max="10483" width="2" style="59" customWidth="1"/>
    <col min="10484" max="10484" width="2" style="59" bestFit="1" customWidth="1"/>
    <col min="10485" max="10485" width="1.28515625" style="59" bestFit="1" customWidth="1"/>
    <col min="10486" max="10486" width="2" style="59" bestFit="1" customWidth="1"/>
    <col min="10487" max="10487" width="2.140625" style="59" customWidth="1"/>
    <col min="10488" max="10488" width="1.140625" style="59" customWidth="1"/>
    <col min="10489" max="10489" width="0" style="59" hidden="1" customWidth="1"/>
    <col min="10490" max="10490" width="2" style="59" bestFit="1" customWidth="1"/>
    <col min="10491" max="10491" width="2.140625" style="59" customWidth="1"/>
    <col min="10492" max="10492" width="2" style="59" customWidth="1"/>
    <col min="10493" max="10493" width="2.28515625" style="59" customWidth="1"/>
    <col min="10494" max="10494" width="11.42578125" style="59"/>
    <col min="10495" max="10495" width="2" style="59" bestFit="1" customWidth="1"/>
    <col min="10496" max="10735" width="11.42578125" style="59"/>
    <col min="10736" max="10736" width="2.42578125" style="59" customWidth="1"/>
    <col min="10737" max="10737" width="2.140625" style="59" bestFit="1" customWidth="1"/>
    <col min="10738" max="10738" width="0.85546875" style="59" bestFit="1" customWidth="1"/>
    <col min="10739" max="10739" width="2" style="59" customWidth="1"/>
    <col min="10740" max="10740" width="2" style="59" bestFit="1" customWidth="1"/>
    <col min="10741" max="10741" width="1.28515625" style="59" bestFit="1" customWidth="1"/>
    <col min="10742" max="10742" width="2" style="59" bestFit="1" customWidth="1"/>
    <col min="10743" max="10743" width="2.140625" style="59" customWidth="1"/>
    <col min="10744" max="10744" width="1.140625" style="59" customWidth="1"/>
    <col min="10745" max="10745" width="0" style="59" hidden="1" customWidth="1"/>
    <col min="10746" max="10746" width="2" style="59" bestFit="1" customWidth="1"/>
    <col min="10747" max="10747" width="2.140625" style="59" customWidth="1"/>
    <col min="10748" max="10748" width="2" style="59" customWidth="1"/>
    <col min="10749" max="10749" width="2.28515625" style="59" customWidth="1"/>
    <col min="10750" max="10750" width="11.42578125" style="59"/>
    <col min="10751" max="10751" width="2" style="59" bestFit="1" customWidth="1"/>
    <col min="10752" max="10991" width="11.42578125" style="59"/>
    <col min="10992" max="10992" width="2.42578125" style="59" customWidth="1"/>
    <col min="10993" max="10993" width="2.140625" style="59" bestFit="1" customWidth="1"/>
    <col min="10994" max="10994" width="0.85546875" style="59" bestFit="1" customWidth="1"/>
    <col min="10995" max="10995" width="2" style="59" customWidth="1"/>
    <col min="10996" max="10996" width="2" style="59" bestFit="1" customWidth="1"/>
    <col min="10997" max="10997" width="1.28515625" style="59" bestFit="1" customWidth="1"/>
    <col min="10998" max="10998" width="2" style="59" bestFit="1" customWidth="1"/>
    <col min="10999" max="10999" width="2.140625" style="59" customWidth="1"/>
    <col min="11000" max="11000" width="1.140625" style="59" customWidth="1"/>
    <col min="11001" max="11001" width="0" style="59" hidden="1" customWidth="1"/>
    <col min="11002" max="11002" width="2" style="59" bestFit="1" customWidth="1"/>
    <col min="11003" max="11003" width="2.140625" style="59" customWidth="1"/>
    <col min="11004" max="11004" width="2" style="59" customWidth="1"/>
    <col min="11005" max="11005" width="2.28515625" style="59" customWidth="1"/>
    <col min="11006" max="11006" width="11.42578125" style="59"/>
    <col min="11007" max="11007" width="2" style="59" bestFit="1" customWidth="1"/>
    <col min="11008" max="11247" width="11.42578125" style="59"/>
    <col min="11248" max="11248" width="2.42578125" style="59" customWidth="1"/>
    <col min="11249" max="11249" width="2.140625" style="59" bestFit="1" customWidth="1"/>
    <col min="11250" max="11250" width="0.85546875" style="59" bestFit="1" customWidth="1"/>
    <col min="11251" max="11251" width="2" style="59" customWidth="1"/>
    <col min="11252" max="11252" width="2" style="59" bestFit="1" customWidth="1"/>
    <col min="11253" max="11253" width="1.28515625" style="59" bestFit="1" customWidth="1"/>
    <col min="11254" max="11254" width="2" style="59" bestFit="1" customWidth="1"/>
    <col min="11255" max="11255" width="2.140625" style="59" customWidth="1"/>
    <col min="11256" max="11256" width="1.140625" style="59" customWidth="1"/>
    <col min="11257" max="11257" width="0" style="59" hidden="1" customWidth="1"/>
    <col min="11258" max="11258" width="2" style="59" bestFit="1" customWidth="1"/>
    <col min="11259" max="11259" width="2.140625" style="59" customWidth="1"/>
    <col min="11260" max="11260" width="2" style="59" customWidth="1"/>
    <col min="11261" max="11261" width="2.28515625" style="59" customWidth="1"/>
    <col min="11262" max="11262" width="11.42578125" style="59"/>
    <col min="11263" max="11263" width="2" style="59" bestFit="1" customWidth="1"/>
    <col min="11264" max="11503" width="11.42578125" style="59"/>
    <col min="11504" max="11504" width="2.42578125" style="59" customWidth="1"/>
    <col min="11505" max="11505" width="2.140625" style="59" bestFit="1" customWidth="1"/>
    <col min="11506" max="11506" width="0.85546875" style="59" bestFit="1" customWidth="1"/>
    <col min="11507" max="11507" width="2" style="59" customWidth="1"/>
    <col min="11508" max="11508" width="2" style="59" bestFit="1" customWidth="1"/>
    <col min="11509" max="11509" width="1.28515625" style="59" bestFit="1" customWidth="1"/>
    <col min="11510" max="11510" width="2" style="59" bestFit="1" customWidth="1"/>
    <col min="11511" max="11511" width="2.140625" style="59" customWidth="1"/>
    <col min="11512" max="11512" width="1.140625" style="59" customWidth="1"/>
    <col min="11513" max="11513" width="0" style="59" hidden="1" customWidth="1"/>
    <col min="11514" max="11514" width="2" style="59" bestFit="1" customWidth="1"/>
    <col min="11515" max="11515" width="2.140625" style="59" customWidth="1"/>
    <col min="11516" max="11516" width="2" style="59" customWidth="1"/>
    <col min="11517" max="11517" width="2.28515625" style="59" customWidth="1"/>
    <col min="11518" max="11518" width="11.42578125" style="59"/>
    <col min="11519" max="11519" width="2" style="59" bestFit="1" customWidth="1"/>
    <col min="11520" max="11759" width="11.42578125" style="59"/>
    <col min="11760" max="11760" width="2.42578125" style="59" customWidth="1"/>
    <col min="11761" max="11761" width="2.140625" style="59" bestFit="1" customWidth="1"/>
    <col min="11762" max="11762" width="0.85546875" style="59" bestFit="1" customWidth="1"/>
    <col min="11763" max="11763" width="2" style="59" customWidth="1"/>
    <col min="11764" max="11764" width="2" style="59" bestFit="1" customWidth="1"/>
    <col min="11765" max="11765" width="1.28515625" style="59" bestFit="1" customWidth="1"/>
    <col min="11766" max="11766" width="2" style="59" bestFit="1" customWidth="1"/>
    <col min="11767" max="11767" width="2.140625" style="59" customWidth="1"/>
    <col min="11768" max="11768" width="1.140625" style="59" customWidth="1"/>
    <col min="11769" max="11769" width="0" style="59" hidden="1" customWidth="1"/>
    <col min="11770" max="11770" width="2" style="59" bestFit="1" customWidth="1"/>
    <col min="11771" max="11771" width="2.140625" style="59" customWidth="1"/>
    <col min="11772" max="11772" width="2" style="59" customWidth="1"/>
    <col min="11773" max="11773" width="2.28515625" style="59" customWidth="1"/>
    <col min="11774" max="11774" width="11.42578125" style="59"/>
    <col min="11775" max="11775" width="2" style="59" bestFit="1" customWidth="1"/>
    <col min="11776" max="12015" width="11.42578125" style="59"/>
    <col min="12016" max="12016" width="2.42578125" style="59" customWidth="1"/>
    <col min="12017" max="12017" width="2.140625" style="59" bestFit="1" customWidth="1"/>
    <col min="12018" max="12018" width="0.85546875" style="59" bestFit="1" customWidth="1"/>
    <col min="12019" max="12019" width="2" style="59" customWidth="1"/>
    <col min="12020" max="12020" width="2" style="59" bestFit="1" customWidth="1"/>
    <col min="12021" max="12021" width="1.28515625" style="59" bestFit="1" customWidth="1"/>
    <col min="12022" max="12022" width="2" style="59" bestFit="1" customWidth="1"/>
    <col min="12023" max="12023" width="2.140625" style="59" customWidth="1"/>
    <col min="12024" max="12024" width="1.140625" style="59" customWidth="1"/>
    <col min="12025" max="12025" width="0" style="59" hidden="1" customWidth="1"/>
    <col min="12026" max="12026" width="2" style="59" bestFit="1" customWidth="1"/>
    <col min="12027" max="12027" width="2.140625" style="59" customWidth="1"/>
    <col min="12028" max="12028" width="2" style="59" customWidth="1"/>
    <col min="12029" max="12029" width="2.28515625" style="59" customWidth="1"/>
    <col min="12030" max="12030" width="11.42578125" style="59"/>
    <col min="12031" max="12031" width="2" style="59" bestFit="1" customWidth="1"/>
    <col min="12032" max="12271" width="11.42578125" style="59"/>
    <col min="12272" max="12272" width="2.42578125" style="59" customWidth="1"/>
    <col min="12273" max="12273" width="2.140625" style="59" bestFit="1" customWidth="1"/>
    <col min="12274" max="12274" width="0.85546875" style="59" bestFit="1" customWidth="1"/>
    <col min="12275" max="12275" width="2" style="59" customWidth="1"/>
    <col min="12276" max="12276" width="2" style="59" bestFit="1" customWidth="1"/>
    <col min="12277" max="12277" width="1.28515625" style="59" bestFit="1" customWidth="1"/>
    <col min="12278" max="12278" width="2" style="59" bestFit="1" customWidth="1"/>
    <col min="12279" max="12279" width="2.140625" style="59" customWidth="1"/>
    <col min="12280" max="12280" width="1.140625" style="59" customWidth="1"/>
    <col min="12281" max="12281" width="0" style="59" hidden="1" customWidth="1"/>
    <col min="12282" max="12282" width="2" style="59" bestFit="1" customWidth="1"/>
    <col min="12283" max="12283" width="2.140625" style="59" customWidth="1"/>
    <col min="12284" max="12284" width="2" style="59" customWidth="1"/>
    <col min="12285" max="12285" width="2.28515625" style="59" customWidth="1"/>
    <col min="12286" max="12286" width="11.42578125" style="59"/>
    <col min="12287" max="12287" width="2" style="59" bestFit="1" customWidth="1"/>
    <col min="12288" max="12527" width="11.42578125" style="59"/>
    <col min="12528" max="12528" width="2.42578125" style="59" customWidth="1"/>
    <col min="12529" max="12529" width="2.140625" style="59" bestFit="1" customWidth="1"/>
    <col min="12530" max="12530" width="0.85546875" style="59" bestFit="1" customWidth="1"/>
    <col min="12531" max="12531" width="2" style="59" customWidth="1"/>
    <col min="12532" max="12532" width="2" style="59" bestFit="1" customWidth="1"/>
    <col min="12533" max="12533" width="1.28515625" style="59" bestFit="1" customWidth="1"/>
    <col min="12534" max="12534" width="2" style="59" bestFit="1" customWidth="1"/>
    <col min="12535" max="12535" width="2.140625" style="59" customWidth="1"/>
    <col min="12536" max="12536" width="1.140625" style="59" customWidth="1"/>
    <col min="12537" max="12537" width="0" style="59" hidden="1" customWidth="1"/>
    <col min="12538" max="12538" width="2" style="59" bestFit="1" customWidth="1"/>
    <col min="12539" max="12539" width="2.140625" style="59" customWidth="1"/>
    <col min="12540" max="12540" width="2" style="59" customWidth="1"/>
    <col min="12541" max="12541" width="2.28515625" style="59" customWidth="1"/>
    <col min="12542" max="12542" width="11.42578125" style="59"/>
    <col min="12543" max="12543" width="2" style="59" bestFit="1" customWidth="1"/>
    <col min="12544" max="12783" width="11.42578125" style="59"/>
    <col min="12784" max="12784" width="2.42578125" style="59" customWidth="1"/>
    <col min="12785" max="12785" width="2.140625" style="59" bestFit="1" customWidth="1"/>
    <col min="12786" max="12786" width="0.85546875" style="59" bestFit="1" customWidth="1"/>
    <col min="12787" max="12787" width="2" style="59" customWidth="1"/>
    <col min="12788" max="12788" width="2" style="59" bestFit="1" customWidth="1"/>
    <col min="12789" max="12789" width="1.28515625" style="59" bestFit="1" customWidth="1"/>
    <col min="12790" max="12790" width="2" style="59" bestFit="1" customWidth="1"/>
    <col min="12791" max="12791" width="2.140625" style="59" customWidth="1"/>
    <col min="12792" max="12792" width="1.140625" style="59" customWidth="1"/>
    <col min="12793" max="12793" width="0" style="59" hidden="1" customWidth="1"/>
    <col min="12794" max="12794" width="2" style="59" bestFit="1" customWidth="1"/>
    <col min="12795" max="12795" width="2.140625" style="59" customWidth="1"/>
    <col min="12796" max="12796" width="2" style="59" customWidth="1"/>
    <col min="12797" max="12797" width="2.28515625" style="59" customWidth="1"/>
    <col min="12798" max="12798" width="11.42578125" style="59"/>
    <col min="12799" max="12799" width="2" style="59" bestFit="1" customWidth="1"/>
    <col min="12800" max="13039" width="11.42578125" style="59"/>
    <col min="13040" max="13040" width="2.42578125" style="59" customWidth="1"/>
    <col min="13041" max="13041" width="2.140625" style="59" bestFit="1" customWidth="1"/>
    <col min="13042" max="13042" width="0.85546875" style="59" bestFit="1" customWidth="1"/>
    <col min="13043" max="13043" width="2" style="59" customWidth="1"/>
    <col min="13044" max="13044" width="2" style="59" bestFit="1" customWidth="1"/>
    <col min="13045" max="13045" width="1.28515625" style="59" bestFit="1" customWidth="1"/>
    <col min="13046" max="13046" width="2" style="59" bestFit="1" customWidth="1"/>
    <col min="13047" max="13047" width="2.140625" style="59" customWidth="1"/>
    <col min="13048" max="13048" width="1.140625" style="59" customWidth="1"/>
    <col min="13049" max="13049" width="0" style="59" hidden="1" customWidth="1"/>
    <col min="13050" max="13050" width="2" style="59" bestFit="1" customWidth="1"/>
    <col min="13051" max="13051" width="2.140625" style="59" customWidth="1"/>
    <col min="13052" max="13052" width="2" style="59" customWidth="1"/>
    <col min="13053" max="13053" width="2.28515625" style="59" customWidth="1"/>
    <col min="13054" max="13054" width="11.42578125" style="59"/>
    <col min="13055" max="13055" width="2" style="59" bestFit="1" customWidth="1"/>
    <col min="13056" max="13295" width="11.42578125" style="59"/>
    <col min="13296" max="13296" width="2.42578125" style="59" customWidth="1"/>
    <col min="13297" max="13297" width="2.140625" style="59" bestFit="1" customWidth="1"/>
    <col min="13298" max="13298" width="0.85546875" style="59" bestFit="1" customWidth="1"/>
    <col min="13299" max="13299" width="2" style="59" customWidth="1"/>
    <col min="13300" max="13300" width="2" style="59" bestFit="1" customWidth="1"/>
    <col min="13301" max="13301" width="1.28515625" style="59" bestFit="1" customWidth="1"/>
    <col min="13302" max="13302" width="2" style="59" bestFit="1" customWidth="1"/>
    <col min="13303" max="13303" width="2.140625" style="59" customWidth="1"/>
    <col min="13304" max="13304" width="1.140625" style="59" customWidth="1"/>
    <col min="13305" max="13305" width="0" style="59" hidden="1" customWidth="1"/>
    <col min="13306" max="13306" width="2" style="59" bestFit="1" customWidth="1"/>
    <col min="13307" max="13307" width="2.140625" style="59" customWidth="1"/>
    <col min="13308" max="13308" width="2" style="59" customWidth="1"/>
    <col min="13309" max="13309" width="2.28515625" style="59" customWidth="1"/>
    <col min="13310" max="13310" width="11.42578125" style="59"/>
    <col min="13311" max="13311" width="2" style="59" bestFit="1" customWidth="1"/>
    <col min="13312" max="13551" width="11.42578125" style="59"/>
    <col min="13552" max="13552" width="2.42578125" style="59" customWidth="1"/>
    <col min="13553" max="13553" width="2.140625" style="59" bestFit="1" customWidth="1"/>
    <col min="13554" max="13554" width="0.85546875" style="59" bestFit="1" customWidth="1"/>
    <col min="13555" max="13555" width="2" style="59" customWidth="1"/>
    <col min="13556" max="13556" width="2" style="59" bestFit="1" customWidth="1"/>
    <col min="13557" max="13557" width="1.28515625" style="59" bestFit="1" customWidth="1"/>
    <col min="13558" max="13558" width="2" style="59" bestFit="1" customWidth="1"/>
    <col min="13559" max="13559" width="2.140625" style="59" customWidth="1"/>
    <col min="13560" max="13560" width="1.140625" style="59" customWidth="1"/>
    <col min="13561" max="13561" width="0" style="59" hidden="1" customWidth="1"/>
    <col min="13562" max="13562" width="2" style="59" bestFit="1" customWidth="1"/>
    <col min="13563" max="13563" width="2.140625" style="59" customWidth="1"/>
    <col min="13564" max="13564" width="2" style="59" customWidth="1"/>
    <col min="13565" max="13565" width="2.28515625" style="59" customWidth="1"/>
    <col min="13566" max="13566" width="11.42578125" style="59"/>
    <col min="13567" max="13567" width="2" style="59" bestFit="1" customWidth="1"/>
    <col min="13568" max="13807" width="11.42578125" style="59"/>
    <col min="13808" max="13808" width="2.42578125" style="59" customWidth="1"/>
    <col min="13809" max="13809" width="2.140625" style="59" bestFit="1" customWidth="1"/>
    <col min="13810" max="13810" width="0.85546875" style="59" bestFit="1" customWidth="1"/>
    <col min="13811" max="13811" width="2" style="59" customWidth="1"/>
    <col min="13812" max="13812" width="2" style="59" bestFit="1" customWidth="1"/>
    <col min="13813" max="13813" width="1.28515625" style="59" bestFit="1" customWidth="1"/>
    <col min="13814" max="13814" width="2" style="59" bestFit="1" customWidth="1"/>
    <col min="13815" max="13815" width="2.140625" style="59" customWidth="1"/>
    <col min="13816" max="13816" width="1.140625" style="59" customWidth="1"/>
    <col min="13817" max="13817" width="0" style="59" hidden="1" customWidth="1"/>
    <col min="13818" max="13818" width="2" style="59" bestFit="1" customWidth="1"/>
    <col min="13819" max="13819" width="2.140625" style="59" customWidth="1"/>
    <col min="13820" max="13820" width="2" style="59" customWidth="1"/>
    <col min="13821" max="13821" width="2.28515625" style="59" customWidth="1"/>
    <col min="13822" max="13822" width="11.42578125" style="59"/>
    <col min="13823" max="13823" width="2" style="59" bestFit="1" customWidth="1"/>
    <col min="13824" max="14063" width="11.42578125" style="59"/>
    <col min="14064" max="14064" width="2.42578125" style="59" customWidth="1"/>
    <col min="14065" max="14065" width="2.140625" style="59" bestFit="1" customWidth="1"/>
    <col min="14066" max="14066" width="0.85546875" style="59" bestFit="1" customWidth="1"/>
    <col min="14067" max="14067" width="2" style="59" customWidth="1"/>
    <col min="14068" max="14068" width="2" style="59" bestFit="1" customWidth="1"/>
    <col min="14069" max="14069" width="1.28515625" style="59" bestFit="1" customWidth="1"/>
    <col min="14070" max="14070" width="2" style="59" bestFit="1" customWidth="1"/>
    <col min="14071" max="14071" width="2.140625" style="59" customWidth="1"/>
    <col min="14072" max="14072" width="1.140625" style="59" customWidth="1"/>
    <col min="14073" max="14073" width="0" style="59" hidden="1" customWidth="1"/>
    <col min="14074" max="14074" width="2" style="59" bestFit="1" customWidth="1"/>
    <col min="14075" max="14075" width="2.140625" style="59" customWidth="1"/>
    <col min="14076" max="14076" width="2" style="59" customWidth="1"/>
    <col min="14077" max="14077" width="2.28515625" style="59" customWidth="1"/>
    <col min="14078" max="14078" width="11.42578125" style="59"/>
    <col min="14079" max="14079" width="2" style="59" bestFit="1" customWidth="1"/>
    <col min="14080" max="14319" width="11.42578125" style="59"/>
    <col min="14320" max="14320" width="2.42578125" style="59" customWidth="1"/>
    <col min="14321" max="14321" width="2.140625" style="59" bestFit="1" customWidth="1"/>
    <col min="14322" max="14322" width="0.85546875" style="59" bestFit="1" customWidth="1"/>
    <col min="14323" max="14323" width="2" style="59" customWidth="1"/>
    <col min="14324" max="14324" width="2" style="59" bestFit="1" customWidth="1"/>
    <col min="14325" max="14325" width="1.28515625" style="59" bestFit="1" customWidth="1"/>
    <col min="14326" max="14326" width="2" style="59" bestFit="1" customWidth="1"/>
    <col min="14327" max="14327" width="2.140625" style="59" customWidth="1"/>
    <col min="14328" max="14328" width="1.140625" style="59" customWidth="1"/>
    <col min="14329" max="14329" width="0" style="59" hidden="1" customWidth="1"/>
    <col min="14330" max="14330" width="2" style="59" bestFit="1" customWidth="1"/>
    <col min="14331" max="14331" width="2.140625" style="59" customWidth="1"/>
    <col min="14332" max="14332" width="2" style="59" customWidth="1"/>
    <col min="14333" max="14333" width="2.28515625" style="59" customWidth="1"/>
    <col min="14334" max="14334" width="11.42578125" style="59"/>
    <col min="14335" max="14335" width="2" style="59" bestFit="1" customWidth="1"/>
    <col min="14336" max="14575" width="11.42578125" style="59"/>
    <col min="14576" max="14576" width="2.42578125" style="59" customWidth="1"/>
    <col min="14577" max="14577" width="2.140625" style="59" bestFit="1" customWidth="1"/>
    <col min="14578" max="14578" width="0.85546875" style="59" bestFit="1" customWidth="1"/>
    <col min="14579" max="14579" width="2" style="59" customWidth="1"/>
    <col min="14580" max="14580" width="2" style="59" bestFit="1" customWidth="1"/>
    <col min="14581" max="14581" width="1.28515625" style="59" bestFit="1" customWidth="1"/>
    <col min="14582" max="14582" width="2" style="59" bestFit="1" customWidth="1"/>
    <col min="14583" max="14583" width="2.140625" style="59" customWidth="1"/>
    <col min="14584" max="14584" width="1.140625" style="59" customWidth="1"/>
    <col min="14585" max="14585" width="0" style="59" hidden="1" customWidth="1"/>
    <col min="14586" max="14586" width="2" style="59" bestFit="1" customWidth="1"/>
    <col min="14587" max="14587" width="2.140625" style="59" customWidth="1"/>
    <col min="14588" max="14588" width="2" style="59" customWidth="1"/>
    <col min="14589" max="14589" width="2.28515625" style="59" customWidth="1"/>
    <col min="14590" max="14590" width="11.42578125" style="59"/>
    <col min="14591" max="14591" width="2" style="59" bestFit="1" customWidth="1"/>
    <col min="14592" max="14831" width="11.42578125" style="59"/>
    <col min="14832" max="14832" width="2.42578125" style="59" customWidth="1"/>
    <col min="14833" max="14833" width="2.140625" style="59" bestFit="1" customWidth="1"/>
    <col min="14834" max="14834" width="0.85546875" style="59" bestFit="1" customWidth="1"/>
    <col min="14835" max="14835" width="2" style="59" customWidth="1"/>
    <col min="14836" max="14836" width="2" style="59" bestFit="1" customWidth="1"/>
    <col min="14837" max="14837" width="1.28515625" style="59" bestFit="1" customWidth="1"/>
    <col min="14838" max="14838" width="2" style="59" bestFit="1" customWidth="1"/>
    <col min="14839" max="14839" width="2.140625" style="59" customWidth="1"/>
    <col min="14840" max="14840" width="1.140625" style="59" customWidth="1"/>
    <col min="14841" max="14841" width="0" style="59" hidden="1" customWidth="1"/>
    <col min="14842" max="14842" width="2" style="59" bestFit="1" customWidth="1"/>
    <col min="14843" max="14843" width="2.140625" style="59" customWidth="1"/>
    <col min="14844" max="14844" width="2" style="59" customWidth="1"/>
    <col min="14845" max="14845" width="2.28515625" style="59" customWidth="1"/>
    <col min="14846" max="14846" width="11.42578125" style="59"/>
    <col min="14847" max="14847" width="2" style="59" bestFit="1" customWidth="1"/>
    <col min="14848" max="15087" width="11.42578125" style="59"/>
    <col min="15088" max="15088" width="2.42578125" style="59" customWidth="1"/>
    <col min="15089" max="15089" width="2.140625" style="59" bestFit="1" customWidth="1"/>
    <col min="15090" max="15090" width="0.85546875" style="59" bestFit="1" customWidth="1"/>
    <col min="15091" max="15091" width="2" style="59" customWidth="1"/>
    <col min="15092" max="15092" width="2" style="59" bestFit="1" customWidth="1"/>
    <col min="15093" max="15093" width="1.28515625" style="59" bestFit="1" customWidth="1"/>
    <col min="15094" max="15094" width="2" style="59" bestFit="1" customWidth="1"/>
    <col min="15095" max="15095" width="2.140625" style="59" customWidth="1"/>
    <col min="15096" max="15096" width="1.140625" style="59" customWidth="1"/>
    <col min="15097" max="15097" width="0" style="59" hidden="1" customWidth="1"/>
    <col min="15098" max="15098" width="2" style="59" bestFit="1" customWidth="1"/>
    <col min="15099" max="15099" width="2.140625" style="59" customWidth="1"/>
    <col min="15100" max="15100" width="2" style="59" customWidth="1"/>
    <col min="15101" max="15101" width="2.28515625" style="59" customWidth="1"/>
    <col min="15102" max="15102" width="11.42578125" style="59"/>
    <col min="15103" max="15103" width="2" style="59" bestFit="1" customWidth="1"/>
    <col min="15104" max="15343" width="11.42578125" style="59"/>
    <col min="15344" max="15344" width="2.42578125" style="59" customWidth="1"/>
    <col min="15345" max="15345" width="2.140625" style="59" bestFit="1" customWidth="1"/>
    <col min="15346" max="15346" width="0.85546875" style="59" bestFit="1" customWidth="1"/>
    <col min="15347" max="15347" width="2" style="59" customWidth="1"/>
    <col min="15348" max="15348" width="2" style="59" bestFit="1" customWidth="1"/>
    <col min="15349" max="15349" width="1.28515625" style="59" bestFit="1" customWidth="1"/>
    <col min="15350" max="15350" width="2" style="59" bestFit="1" customWidth="1"/>
    <col min="15351" max="15351" width="2.140625" style="59" customWidth="1"/>
    <col min="15352" max="15352" width="1.140625" style="59" customWidth="1"/>
    <col min="15353" max="15353" width="0" style="59" hidden="1" customWidth="1"/>
    <col min="15354" max="15354" width="2" style="59" bestFit="1" customWidth="1"/>
    <col min="15355" max="15355" width="2.140625" style="59" customWidth="1"/>
    <col min="15356" max="15356" width="2" style="59" customWidth="1"/>
    <col min="15357" max="15357" width="2.28515625" style="59" customWidth="1"/>
    <col min="15358" max="15358" width="11.42578125" style="59"/>
    <col min="15359" max="15359" width="2" style="59" bestFit="1" customWidth="1"/>
    <col min="15360" max="15599" width="11.42578125" style="59"/>
    <col min="15600" max="15600" width="2.42578125" style="59" customWidth="1"/>
    <col min="15601" max="15601" width="2.140625" style="59" bestFit="1" customWidth="1"/>
    <col min="15602" max="15602" width="0.85546875" style="59" bestFit="1" customWidth="1"/>
    <col min="15603" max="15603" width="2" style="59" customWidth="1"/>
    <col min="15604" max="15604" width="2" style="59" bestFit="1" customWidth="1"/>
    <col min="15605" max="15605" width="1.28515625" style="59" bestFit="1" customWidth="1"/>
    <col min="15606" max="15606" width="2" style="59" bestFit="1" customWidth="1"/>
    <col min="15607" max="15607" width="2.140625" style="59" customWidth="1"/>
    <col min="15608" max="15608" width="1.140625" style="59" customWidth="1"/>
    <col min="15609" max="15609" width="0" style="59" hidden="1" customWidth="1"/>
    <col min="15610" max="15610" width="2" style="59" bestFit="1" customWidth="1"/>
    <col min="15611" max="15611" width="2.140625" style="59" customWidth="1"/>
    <col min="15612" max="15612" width="2" style="59" customWidth="1"/>
    <col min="15613" max="15613" width="2.28515625" style="59" customWidth="1"/>
    <col min="15614" max="15614" width="11.42578125" style="59"/>
    <col min="15615" max="15615" width="2" style="59" bestFit="1" customWidth="1"/>
    <col min="15616" max="15855" width="11.42578125" style="59"/>
    <col min="15856" max="15856" width="2.42578125" style="59" customWidth="1"/>
    <col min="15857" max="15857" width="2.140625" style="59" bestFit="1" customWidth="1"/>
    <col min="15858" max="15858" width="0.85546875" style="59" bestFit="1" customWidth="1"/>
    <col min="15859" max="15859" width="2" style="59" customWidth="1"/>
    <col min="15860" max="15860" width="2" style="59" bestFit="1" customWidth="1"/>
    <col min="15861" max="15861" width="1.28515625" style="59" bestFit="1" customWidth="1"/>
    <col min="15862" max="15862" width="2" style="59" bestFit="1" customWidth="1"/>
    <col min="15863" max="15863" width="2.140625" style="59" customWidth="1"/>
    <col min="15864" max="15864" width="1.140625" style="59" customWidth="1"/>
    <col min="15865" max="15865" width="0" style="59" hidden="1" customWidth="1"/>
    <col min="15866" max="15866" width="2" style="59" bestFit="1" customWidth="1"/>
    <col min="15867" max="15867" width="2.140625" style="59" customWidth="1"/>
    <col min="15868" max="15868" width="2" style="59" customWidth="1"/>
    <col min="15869" max="15869" width="2.28515625" style="59" customWidth="1"/>
    <col min="15870" max="15870" width="11.42578125" style="59"/>
    <col min="15871" max="15871" width="2" style="59" bestFit="1" customWidth="1"/>
    <col min="15872" max="16111" width="11.42578125" style="59"/>
    <col min="16112" max="16112" width="2.42578125" style="59" customWidth="1"/>
    <col min="16113" max="16113" width="2.140625" style="59" bestFit="1" customWidth="1"/>
    <col min="16114" max="16114" width="0.85546875" style="59" bestFit="1" customWidth="1"/>
    <col min="16115" max="16115" width="2" style="59" customWidth="1"/>
    <col min="16116" max="16116" width="2" style="59" bestFit="1" customWidth="1"/>
    <col min="16117" max="16117" width="1.28515625" style="59" bestFit="1" customWidth="1"/>
    <col min="16118" max="16118" width="2" style="59" bestFit="1" customWidth="1"/>
    <col min="16119" max="16119" width="2.140625" style="59" customWidth="1"/>
    <col min="16120" max="16120" width="1.140625" style="59" customWidth="1"/>
    <col min="16121" max="16121" width="0" style="59" hidden="1" customWidth="1"/>
    <col min="16122" max="16122" width="2" style="59" bestFit="1" customWidth="1"/>
    <col min="16123" max="16123" width="2.140625" style="59" customWidth="1"/>
    <col min="16124" max="16124" width="2" style="59" customWidth="1"/>
    <col min="16125" max="16125" width="2.28515625" style="59" customWidth="1"/>
    <col min="16126" max="16126" width="11.42578125" style="59"/>
    <col min="16127" max="16127" width="2" style="59" bestFit="1" customWidth="1"/>
    <col min="16128" max="16384" width="11.42578125" style="59"/>
  </cols>
  <sheetData>
    <row r="1" spans="1:24" ht="13.5" thickBot="1">
      <c r="C1" s="61"/>
    </row>
    <row r="2" spans="1:24" ht="18">
      <c r="B2" s="298" t="s">
        <v>540</v>
      </c>
      <c r="C2" s="299"/>
      <c r="E2" s="303" t="s">
        <v>568</v>
      </c>
      <c r="F2" s="304"/>
      <c r="G2" s="304"/>
      <c r="H2" s="304"/>
      <c r="I2" s="304"/>
      <c r="J2" s="304"/>
      <c r="K2" s="305"/>
    </row>
    <row r="3" spans="1:24" ht="39" customHeight="1">
      <c r="A3" s="62" t="s">
        <v>541</v>
      </c>
      <c r="B3" s="63" t="s">
        <v>142</v>
      </c>
      <c r="C3" s="64" t="s">
        <v>542</v>
      </c>
      <c r="D3" s="65" t="s">
        <v>543</v>
      </c>
      <c r="E3" s="66" t="s">
        <v>570</v>
      </c>
      <c r="F3" s="67" t="s">
        <v>476</v>
      </c>
      <c r="G3" s="68" t="s">
        <v>544</v>
      </c>
      <c r="H3" s="68" t="s">
        <v>545</v>
      </c>
      <c r="I3" s="68" t="s">
        <v>546</v>
      </c>
      <c r="J3" s="68" t="s">
        <v>547</v>
      </c>
      <c r="K3" s="69" t="s">
        <v>475</v>
      </c>
    </row>
    <row r="4" spans="1:24" s="81" customFormat="1" ht="14.1" customHeight="1">
      <c r="A4" s="70" t="str">
        <f>RESUMEN!A15</f>
        <v>LIBRE</v>
      </c>
      <c r="B4" s="71">
        <f>RESUMEN!B15</f>
        <v>191038768097.19672</v>
      </c>
      <c r="C4" s="72">
        <f>B4/B$15</f>
        <v>0.37344676615339684</v>
      </c>
      <c r="D4" s="73">
        <f>RESUMEN!C15</f>
        <v>35346340699</v>
      </c>
      <c r="E4" s="74">
        <f>RESUMEN!D15</f>
        <v>3994245977</v>
      </c>
      <c r="F4" s="75">
        <f>RESUMEN!E15</f>
        <v>38728375726.311302</v>
      </c>
      <c r="G4" s="75">
        <f>RESUMEN!F15</f>
        <v>42722621703.31131</v>
      </c>
      <c r="H4" s="76">
        <f>G4/G$15</f>
        <v>0.38476047988378587</v>
      </c>
      <c r="I4" s="77">
        <f>35193856000-633940000-161000000-480000000-620000000-345746743</f>
        <v>32953169257</v>
      </c>
      <c r="J4" s="77">
        <f t="shared" ref="J4:J12" si="0">I4-G4</f>
        <v>-9769452446.3113098</v>
      </c>
      <c r="K4" s="78">
        <f>RESUMEN!G15</f>
        <v>112969805694.88547</v>
      </c>
      <c r="L4" s="79"/>
      <c r="M4" s="80"/>
      <c r="N4" s="80"/>
      <c r="O4" s="80"/>
      <c r="P4" s="80"/>
      <c r="R4" s="80"/>
      <c r="S4" s="80"/>
      <c r="T4" s="80"/>
      <c r="U4" s="80"/>
      <c r="W4" s="80"/>
      <c r="X4" s="175"/>
    </row>
    <row r="5" spans="1:24" ht="14.1" customHeight="1">
      <c r="A5" s="82" t="str">
        <f>RESUMEN!A16</f>
        <v>ENERGIZACION</v>
      </c>
      <c r="B5" s="71">
        <f>RESUMEN!B16</f>
        <v>21220803570</v>
      </c>
      <c r="C5" s="72">
        <f t="shared" ref="C5:C14" si="1">B5/B$15</f>
        <v>4.1482891390720013E-2</v>
      </c>
      <c r="D5" s="83">
        <f>RESUMEN!C16</f>
        <v>10495183053</v>
      </c>
      <c r="E5" s="84">
        <f>RESUMEN!D16</f>
        <v>1560936298</v>
      </c>
      <c r="F5" s="75">
        <f>RESUMEN!E16</f>
        <v>9846227130</v>
      </c>
      <c r="G5" s="75">
        <f>RESUMEN!F16</f>
        <v>11407163428</v>
      </c>
      <c r="H5" s="76">
        <f t="shared" ref="H5:H14" si="2">G5/G$15</f>
        <v>0.10273306037138331</v>
      </c>
      <c r="I5" s="85">
        <f>3693600000+1401052000</f>
        <v>5094652000</v>
      </c>
      <c r="J5" s="77">
        <f t="shared" si="0"/>
        <v>-6312511428</v>
      </c>
      <c r="K5" s="279">
        <f>RESUMEN!G16</f>
        <v>-681542911</v>
      </c>
      <c r="L5" s="79"/>
      <c r="M5" s="80"/>
    </row>
    <row r="6" spans="1:24" ht="14.1" customHeight="1">
      <c r="A6" s="82" t="str">
        <f>RESUMEN!A17</f>
        <v>FIE</v>
      </c>
      <c r="B6" s="71">
        <f>RESUMEN!B17</f>
        <v>58479737046</v>
      </c>
      <c r="C6" s="72">
        <f t="shared" si="1"/>
        <v>0.11431747023315403</v>
      </c>
      <c r="D6" s="83">
        <f>RESUMEN!C17</f>
        <v>26090469857</v>
      </c>
      <c r="E6" s="84">
        <f>RESUMEN!D17</f>
        <v>3687932651</v>
      </c>
      <c r="F6" s="75">
        <f>RESUMEN!E17</f>
        <v>3542898494.5</v>
      </c>
      <c r="G6" s="75">
        <f>RESUMEN!F17</f>
        <v>7230831145.5</v>
      </c>
      <c r="H6" s="76">
        <f t="shared" si="2"/>
        <v>6.5120958185147362E-2</v>
      </c>
      <c r="I6" s="85">
        <v>2565000000</v>
      </c>
      <c r="J6" s="77">
        <f t="shared" si="0"/>
        <v>-4665831145.5</v>
      </c>
      <c r="K6" s="86">
        <f>RESUMEN!G17</f>
        <v>25158436043.5</v>
      </c>
      <c r="L6" s="79"/>
      <c r="M6" s="80"/>
    </row>
    <row r="7" spans="1:24" ht="14.1" customHeight="1">
      <c r="A7" s="82" t="str">
        <f>RESUMEN!A18</f>
        <v>SS</v>
      </c>
      <c r="B7" s="71">
        <f>RESUMEN!B18</f>
        <v>22228837263</v>
      </c>
      <c r="C7" s="72">
        <f t="shared" si="1"/>
        <v>4.3453417721967022E-2</v>
      </c>
      <c r="D7" s="83">
        <f>RESUMEN!C18</f>
        <v>5158632974</v>
      </c>
      <c r="E7" s="84">
        <f>RESUMEN!D18</f>
        <v>454783327</v>
      </c>
      <c r="F7" s="75">
        <f>RESUMEN!E18</f>
        <v>1495406924</v>
      </c>
      <c r="G7" s="75">
        <f>RESUMEN!F18</f>
        <v>1950190251</v>
      </c>
      <c r="H7" s="76">
        <f t="shared" si="2"/>
        <v>1.7563438453059233E-2</v>
      </c>
      <c r="I7" s="85">
        <v>1109619000</v>
      </c>
      <c r="J7" s="77">
        <f t="shared" si="0"/>
        <v>-840571251</v>
      </c>
      <c r="K7" s="86">
        <f>RESUMEN!G18</f>
        <v>15120014038</v>
      </c>
      <c r="L7" s="79"/>
      <c r="M7" s="80"/>
      <c r="N7" s="87"/>
    </row>
    <row r="8" spans="1:24" ht="14.1" customHeight="1">
      <c r="A8" s="82" t="str">
        <f>RESUMEN!A19</f>
        <v>FIC</v>
      </c>
      <c r="B8" s="71">
        <f>RESUMEN!B19</f>
        <v>1990433000</v>
      </c>
      <c r="C8" s="72">
        <f t="shared" si="1"/>
        <v>3.8909420035456751E-3</v>
      </c>
      <c r="D8" s="83">
        <f>RESUMEN!C19</f>
        <v>0</v>
      </c>
      <c r="E8" s="84">
        <f>RESUMEN!D19</f>
        <v>0</v>
      </c>
      <c r="F8" s="75">
        <f>RESUMEN!E19</f>
        <v>1990433000</v>
      </c>
      <c r="G8" s="75">
        <f>RESUMEN!F19</f>
        <v>1990433000</v>
      </c>
      <c r="H8" s="76">
        <f t="shared" si="2"/>
        <v>1.7925865167520032E-2</v>
      </c>
      <c r="I8" s="85">
        <v>1990433000</v>
      </c>
      <c r="J8" s="77">
        <f t="shared" si="0"/>
        <v>0</v>
      </c>
      <c r="K8" s="86">
        <f>RESUMEN!G19</f>
        <v>0</v>
      </c>
      <c r="L8" s="79"/>
      <c r="M8" s="80"/>
      <c r="O8" s="60"/>
    </row>
    <row r="9" spans="1:24" ht="14.1" customHeight="1">
      <c r="A9" s="82" t="str">
        <f>RESUMEN!A20</f>
        <v>RSD</v>
      </c>
      <c r="B9" s="71">
        <f>RESUMEN!B20</f>
        <v>18611123259</v>
      </c>
      <c r="C9" s="72">
        <f t="shared" si="1"/>
        <v>3.6381431186886963E-2</v>
      </c>
      <c r="D9" s="83">
        <f>RESUMEN!C20</f>
        <v>4817369480</v>
      </c>
      <c r="E9" s="84">
        <f>RESUMEN!D20</f>
        <v>559084156</v>
      </c>
      <c r="F9" s="75">
        <f>RESUMEN!E20</f>
        <v>5331776501</v>
      </c>
      <c r="G9" s="75">
        <f>RESUMEN!F20</f>
        <v>5890860657</v>
      </c>
      <c r="H9" s="76">
        <f t="shared" si="2"/>
        <v>5.3053166752174259E-2</v>
      </c>
      <c r="I9" s="85">
        <v>236893000</v>
      </c>
      <c r="J9" s="77">
        <f t="shared" si="0"/>
        <v>-5653967657</v>
      </c>
      <c r="K9" s="86">
        <f>RESUMEN!G20</f>
        <v>7902893122</v>
      </c>
      <c r="L9" s="79"/>
      <c r="M9" s="80"/>
    </row>
    <row r="10" spans="1:24" ht="14.1" customHeight="1">
      <c r="A10" s="82" t="str">
        <f>RESUMEN!A21</f>
        <v>PIR</v>
      </c>
      <c r="B10" s="71">
        <f>RESUMEN!B21</f>
        <v>4305877941</v>
      </c>
      <c r="C10" s="72">
        <f t="shared" si="1"/>
        <v>8.4172244646153211E-3</v>
      </c>
      <c r="D10" s="83">
        <f>RESUMEN!C21</f>
        <v>1518265115</v>
      </c>
      <c r="E10" s="84">
        <f>RESUMEN!D21</f>
        <v>454336365</v>
      </c>
      <c r="F10" s="75">
        <f>RESUMEN!E21</f>
        <v>1060015433</v>
      </c>
      <c r="G10" s="75">
        <f>RESUMEN!F21</f>
        <v>1514351798</v>
      </c>
      <c r="H10" s="76">
        <f t="shared" si="2"/>
        <v>1.3638271746469E-2</v>
      </c>
      <c r="I10" s="85">
        <f>367301000+380748000</f>
        <v>748049000</v>
      </c>
      <c r="J10" s="77">
        <f t="shared" si="0"/>
        <v>-766302798</v>
      </c>
      <c r="K10" s="86">
        <f>RESUMEN!G21</f>
        <v>1273261028</v>
      </c>
      <c r="L10" s="79"/>
      <c r="M10" s="80"/>
    </row>
    <row r="11" spans="1:24" ht="14.1" customHeight="1">
      <c r="A11" s="82" t="str">
        <f>RESUMEN!A22</f>
        <v>PVP</v>
      </c>
      <c r="B11" s="71">
        <f>RESUMEN!B22</f>
        <v>4773825000</v>
      </c>
      <c r="C11" s="72">
        <f t="shared" si="1"/>
        <v>9.3319776199834066E-3</v>
      </c>
      <c r="D11" s="83">
        <f>RESUMEN!C22</f>
        <v>93439000</v>
      </c>
      <c r="E11" s="84">
        <f>RESUMEN!D22</f>
        <v>0</v>
      </c>
      <c r="F11" s="75">
        <f>RESUMEN!E22</f>
        <v>291556295</v>
      </c>
      <c r="G11" s="75">
        <f>RESUMEN!F22</f>
        <v>291556295</v>
      </c>
      <c r="H11" s="76">
        <f t="shared" si="2"/>
        <v>2.6257597381633517E-3</v>
      </c>
      <c r="I11" s="88">
        <v>0</v>
      </c>
      <c r="J11" s="77">
        <f t="shared" si="0"/>
        <v>-291556295</v>
      </c>
      <c r="K11" s="86">
        <f>RESUMEN!G22</f>
        <v>4388829705</v>
      </c>
      <c r="L11" s="79"/>
      <c r="M11" s="80"/>
    </row>
    <row r="12" spans="1:24" ht="14.1" customHeight="1">
      <c r="A12" s="70" t="str">
        <f>RESUMEN!A23</f>
        <v>PV</v>
      </c>
      <c r="B12" s="71">
        <f>RESUMEN!B23</f>
        <v>109061275795</v>
      </c>
      <c r="C12" s="72">
        <f t="shared" si="1"/>
        <v>0.2131953695256483</v>
      </c>
      <c r="D12" s="83">
        <f>RESUMEN!C23</f>
        <v>31516413978</v>
      </c>
      <c r="E12" s="84">
        <f>RESUMEN!D23</f>
        <v>7025140337</v>
      </c>
      <c r="F12" s="75">
        <f>RESUMEN!E23</f>
        <v>9736357991.333334</v>
      </c>
      <c r="G12" s="75">
        <f>RESUMEN!F23</f>
        <v>16761498328.333334</v>
      </c>
      <c r="H12" s="76">
        <f t="shared" si="2"/>
        <v>0.15095426926669511</v>
      </c>
      <c r="I12" s="85">
        <f>3491224000+7903054000</f>
        <v>11394278000</v>
      </c>
      <c r="J12" s="77">
        <f t="shared" si="0"/>
        <v>-5367220328.333334</v>
      </c>
      <c r="K12" s="86">
        <f>RESUMEN!G23</f>
        <v>60783363488.666672</v>
      </c>
      <c r="L12" s="79"/>
      <c r="M12" s="80"/>
    </row>
    <row r="13" spans="1:24" s="81" customFormat="1" ht="14.1" customHeight="1">
      <c r="A13" s="70" t="str">
        <f>RESUMEN!A24</f>
        <v>FAR</v>
      </c>
      <c r="B13" s="71">
        <f>RESUMEN!B24</f>
        <v>74530194190</v>
      </c>
      <c r="C13" s="72">
        <f t="shared" si="1"/>
        <v>0.14569325523958196</v>
      </c>
      <c r="D13" s="73">
        <f>RESUMEN!C24</f>
        <v>24852725736</v>
      </c>
      <c r="E13" s="74">
        <f>RESUMEN!D24</f>
        <v>4240058668</v>
      </c>
      <c r="F13" s="75">
        <f>RESUMEN!E24</f>
        <v>11722681887</v>
      </c>
      <c r="G13" s="75">
        <f>RESUMEN!F24</f>
        <v>15962740555</v>
      </c>
      <c r="H13" s="76">
        <f t="shared" si="2"/>
        <v>0.14376064649904513</v>
      </c>
      <c r="I13" s="85">
        <v>18928756000</v>
      </c>
      <c r="J13" s="77">
        <f>I13-G13</f>
        <v>2966015445</v>
      </c>
      <c r="K13" s="78">
        <f>RESUMEN!G24</f>
        <v>33714727899</v>
      </c>
      <c r="L13" s="79"/>
      <c r="M13" s="80"/>
      <c r="N13" s="60"/>
      <c r="O13" s="80"/>
    </row>
    <row r="14" spans="1:24" ht="14.1" customHeight="1">
      <c r="A14" s="70" t="str">
        <f>RESUMEN!A25</f>
        <v>FRIL</v>
      </c>
      <c r="B14" s="71">
        <f>RESUMEN!B25</f>
        <v>5314680842</v>
      </c>
      <c r="C14" s="72">
        <f t="shared" si="1"/>
        <v>1.0389254460500451E-2</v>
      </c>
      <c r="D14" s="83">
        <f>RESUMEN!C25</f>
        <v>0</v>
      </c>
      <c r="E14" s="84">
        <f>RESUMEN!D25</f>
        <v>4367371738</v>
      </c>
      <c r="F14" s="75">
        <f>RESUMEN!E25</f>
        <v>947309104</v>
      </c>
      <c r="G14" s="75">
        <f>RESUMEN!F25</f>
        <v>5314680842</v>
      </c>
      <c r="H14" s="76">
        <f t="shared" si="2"/>
        <v>4.7864083936557437E-2</v>
      </c>
      <c r="I14" s="85">
        <v>5314680000</v>
      </c>
      <c r="J14" s="77">
        <f>I14-G14</f>
        <v>-842</v>
      </c>
      <c r="K14" s="86">
        <f>RESUMEN!G25</f>
        <v>0</v>
      </c>
      <c r="L14" s="79"/>
      <c r="M14" s="80"/>
    </row>
    <row r="15" spans="1:24" ht="13.5" thickBot="1">
      <c r="A15" s="62" t="s">
        <v>217</v>
      </c>
      <c r="B15" s="89">
        <f t="shared" ref="B15:K15" si="3">SUM(B4:B14)</f>
        <v>511555556003.19672</v>
      </c>
      <c r="C15" s="90">
        <f t="shared" si="3"/>
        <v>1</v>
      </c>
      <c r="D15" s="91">
        <f t="shared" si="3"/>
        <v>139888839892</v>
      </c>
      <c r="E15" s="89">
        <f t="shared" si="3"/>
        <v>26343889517</v>
      </c>
      <c r="F15" s="92">
        <f t="shared" si="3"/>
        <v>84693038486.144638</v>
      </c>
      <c r="G15" s="92">
        <f t="shared" si="3"/>
        <v>111036928003.14464</v>
      </c>
      <c r="H15" s="93">
        <f t="shared" si="3"/>
        <v>1</v>
      </c>
      <c r="I15" s="92">
        <f t="shared" si="3"/>
        <v>80335529257</v>
      </c>
      <c r="J15" s="92">
        <f t="shared" si="3"/>
        <v>-30701398746.144646</v>
      </c>
      <c r="K15" s="94">
        <f t="shared" si="3"/>
        <v>260629788108.05212</v>
      </c>
      <c r="L15" s="95"/>
      <c r="M15" s="80"/>
    </row>
    <row r="16" spans="1:24" ht="5.25" customHeight="1">
      <c r="G16" s="60"/>
      <c r="I16" s="60"/>
      <c r="J16" s="60"/>
    </row>
    <row r="17" spans="1:11" s="60" customFormat="1">
      <c r="A17" s="59"/>
      <c r="B17" s="59"/>
      <c r="C17" s="59"/>
      <c r="E17" s="59"/>
      <c r="F17" s="59"/>
      <c r="H17" s="59"/>
      <c r="K17" s="59"/>
    </row>
    <row r="18" spans="1:11" s="60" customFormat="1">
      <c r="A18" s="59" t="s">
        <v>548</v>
      </c>
      <c r="B18" s="59"/>
      <c r="C18" s="59"/>
      <c r="D18" s="59"/>
      <c r="E18" s="59"/>
      <c r="F18" s="59"/>
      <c r="G18" s="96"/>
      <c r="H18" s="59"/>
      <c r="I18" s="97"/>
    </row>
    <row r="19" spans="1:11" s="60" customFormat="1">
      <c r="A19" s="59" t="s">
        <v>549</v>
      </c>
      <c r="B19" s="59"/>
      <c r="C19" s="59"/>
      <c r="D19" s="59"/>
      <c r="E19" s="59"/>
      <c r="F19" s="59"/>
      <c r="H19" s="59"/>
      <c r="I19" s="96"/>
      <c r="K19" s="59"/>
    </row>
    <row r="20" spans="1:11" s="60" customFormat="1">
      <c r="A20" s="59" t="s">
        <v>550</v>
      </c>
      <c r="B20" s="59"/>
      <c r="C20" s="59"/>
      <c r="D20" s="59"/>
      <c r="E20" s="59"/>
      <c r="F20" s="59"/>
      <c r="G20" s="81"/>
      <c r="H20" s="80"/>
      <c r="I20" s="96"/>
      <c r="K20" s="59"/>
    </row>
    <row r="21" spans="1:11" s="60" customFormat="1">
      <c r="A21" s="59" t="s">
        <v>551</v>
      </c>
      <c r="B21" s="59"/>
      <c r="C21" s="59"/>
      <c r="D21" s="59"/>
      <c r="E21" s="59"/>
      <c r="F21" s="59"/>
      <c r="G21" s="80"/>
      <c r="H21" s="80"/>
      <c r="K21" s="59"/>
    </row>
    <row r="22" spans="1:11" s="60" customFormat="1">
      <c r="A22" s="59" t="s">
        <v>552</v>
      </c>
      <c r="B22" s="59"/>
      <c r="C22" s="59"/>
      <c r="D22" s="59"/>
      <c r="E22" s="59"/>
      <c r="F22" s="59"/>
      <c r="G22" s="81"/>
      <c r="H22" s="80"/>
      <c r="K22" s="59"/>
    </row>
    <row r="23" spans="1:11" s="60" customFormat="1">
      <c r="A23" s="59" t="s">
        <v>553</v>
      </c>
      <c r="B23" s="59"/>
      <c r="C23" s="59"/>
      <c r="D23" s="59"/>
      <c r="E23" s="59"/>
      <c r="F23" s="59"/>
      <c r="G23" s="81"/>
      <c r="H23" s="80"/>
      <c r="I23" s="59"/>
      <c r="K23" s="59"/>
    </row>
    <row r="24" spans="1:11" s="60" customFormat="1">
      <c r="A24" s="59" t="s">
        <v>554</v>
      </c>
      <c r="B24" s="59"/>
      <c r="C24" s="59"/>
      <c r="D24" s="59"/>
      <c r="E24" s="59"/>
      <c r="F24" s="59"/>
      <c r="G24" s="81"/>
      <c r="H24" s="80"/>
      <c r="K24" s="59"/>
    </row>
    <row r="25" spans="1:11" s="60" customFormat="1">
      <c r="A25" s="59" t="s">
        <v>555</v>
      </c>
      <c r="B25" s="59"/>
      <c r="C25" s="59"/>
      <c r="D25" s="59"/>
      <c r="E25" s="59"/>
      <c r="F25" s="59"/>
      <c r="G25" s="81"/>
      <c r="H25" s="80"/>
      <c r="K25" s="59"/>
    </row>
    <row r="26" spans="1:11" s="60" customFormat="1">
      <c r="A26" s="59" t="s">
        <v>556</v>
      </c>
      <c r="B26" s="59"/>
      <c r="C26" s="59"/>
      <c r="D26" s="59"/>
      <c r="E26" s="59"/>
      <c r="F26" s="59"/>
      <c r="G26" s="81"/>
      <c r="H26" s="80"/>
      <c r="K26" s="59" t="s">
        <v>557</v>
      </c>
    </row>
    <row r="27" spans="1:11" s="60" customFormat="1">
      <c r="A27" s="59"/>
      <c r="B27" s="59"/>
      <c r="C27" s="59"/>
      <c r="D27" s="59"/>
      <c r="E27" s="59"/>
      <c r="F27" s="59"/>
      <c r="G27" s="81"/>
      <c r="H27" s="80"/>
      <c r="K27" s="59"/>
    </row>
    <row r="28" spans="1:11" s="60" customFormat="1">
      <c r="A28" s="59"/>
      <c r="B28" s="59"/>
      <c r="C28" s="59"/>
      <c r="D28" s="59"/>
      <c r="E28" s="59"/>
      <c r="F28" s="59"/>
      <c r="G28" s="81"/>
      <c r="H28" s="80"/>
      <c r="I28" s="59"/>
      <c r="K28" s="59"/>
    </row>
    <row r="29" spans="1:11" s="60" customFormat="1">
      <c r="A29" s="59"/>
      <c r="B29" s="59"/>
      <c r="C29" s="59"/>
      <c r="D29" s="59"/>
      <c r="E29" s="59"/>
      <c r="F29" s="59"/>
      <c r="G29" s="81"/>
      <c r="H29" s="81"/>
      <c r="I29" s="59"/>
      <c r="K29" s="59"/>
    </row>
    <row r="30" spans="1:11">
      <c r="J30" s="60"/>
    </row>
    <row r="31" spans="1:11">
      <c r="J31" s="60"/>
    </row>
    <row r="32" spans="1:11" s="60" customFormat="1">
      <c r="A32" s="59"/>
      <c r="B32" s="59"/>
      <c r="C32" s="59"/>
      <c r="D32" s="59"/>
      <c r="E32" s="59"/>
      <c r="F32" s="59"/>
      <c r="G32" s="59"/>
      <c r="I32" s="59"/>
      <c r="K32" s="59"/>
    </row>
    <row r="33" spans="8:8">
      <c r="H33" s="60"/>
    </row>
  </sheetData>
  <mergeCells count="2">
    <mergeCell ref="B2:C2"/>
    <mergeCell ref="E2:K2"/>
  </mergeCells>
  <printOptions horizontalCentered="1" verticalCentered="1"/>
  <pageMargins left="1.4960629921259843" right="0.15748031496062992" top="1.4960629921259843" bottom="0.39370078740157483" header="0.74803149606299213" footer="0.39370078740157483"/>
  <pageSetup paperSize="5" scale="85" orientation="landscape" r:id="rId1"/>
  <headerFooter>
    <oddHeader>&amp;L                    &amp;G                         
                            &amp;C&amp;"-,Negrita"ESTADO DE SITUACIÓN  MES DE JUNIO POR PROVISIONES&amp;R&amp;9DIVISION DE PRESUPUESTO E 
INVERSION REGIONAL
&amp;D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72"/>
  <sheetViews>
    <sheetView topLeftCell="A19" workbookViewId="0">
      <selection activeCell="J28" sqref="J28"/>
    </sheetView>
  </sheetViews>
  <sheetFormatPr baseColWidth="10" defaultRowHeight="15"/>
  <cols>
    <col min="1" max="1" width="42" customWidth="1"/>
    <col min="2" max="2" width="14.7109375" style="1" customWidth="1"/>
    <col min="3" max="3" width="25.7109375" style="1" customWidth="1"/>
    <col min="4" max="4" width="15.28515625" style="1" customWidth="1"/>
    <col min="5" max="5" width="20.140625" style="1" customWidth="1"/>
    <col min="6" max="6" width="19.85546875" style="1" customWidth="1"/>
    <col min="7" max="7" width="21" bestFit="1" customWidth="1"/>
    <col min="8" max="8" width="21" customWidth="1"/>
    <col min="9" max="9" width="21.5703125" style="1" customWidth="1"/>
  </cols>
  <sheetData>
    <row r="3" spans="1:10">
      <c r="A3" s="58" t="s">
        <v>629</v>
      </c>
      <c r="B3" s="1" t="s">
        <v>564</v>
      </c>
      <c r="C3" s="1" t="s">
        <v>565</v>
      </c>
      <c r="D3" t="s">
        <v>574</v>
      </c>
      <c r="E3" s="1" t="s">
        <v>566</v>
      </c>
      <c r="F3" s="1" t="s">
        <v>522</v>
      </c>
      <c r="G3" s="1" t="s">
        <v>567</v>
      </c>
      <c r="H3" s="1"/>
    </row>
    <row r="4" spans="1:10">
      <c r="A4" s="10" t="s">
        <v>7</v>
      </c>
      <c r="B4" s="1">
        <v>99806268411.398911</v>
      </c>
      <c r="C4" s="1">
        <v>17299582711</v>
      </c>
      <c r="D4" s="1">
        <v>4827977318</v>
      </c>
      <c r="E4" s="1">
        <v>20120308705.398922</v>
      </c>
      <c r="F4" s="1">
        <v>24948286023.398922</v>
      </c>
      <c r="G4" s="1">
        <v>57558399677</v>
      </c>
      <c r="H4" s="1"/>
      <c r="J4" s="1"/>
    </row>
    <row r="5" spans="1:10">
      <c r="A5" s="10" t="s">
        <v>22</v>
      </c>
      <c r="B5" s="1">
        <v>145308938574</v>
      </c>
      <c r="C5" s="1">
        <v>48251123583</v>
      </c>
      <c r="D5" s="1">
        <v>5539508585</v>
      </c>
      <c r="E5" s="1">
        <v>20286341808.114529</v>
      </c>
      <c r="F5" s="1">
        <v>25825850393.114529</v>
      </c>
      <c r="G5" s="1">
        <v>71231964597.885483</v>
      </c>
      <c r="H5" s="1"/>
      <c r="J5" s="1"/>
    </row>
    <row r="6" spans="1:10">
      <c r="A6" s="10" t="s">
        <v>30</v>
      </c>
      <c r="B6" s="1">
        <v>105081558889.39893</v>
      </c>
      <c r="C6" s="1">
        <v>31079750849</v>
      </c>
      <c r="D6" s="1">
        <v>6999420565</v>
      </c>
      <c r="E6" s="1">
        <v>18601818025.565586</v>
      </c>
      <c r="F6" s="1">
        <v>25601238590.565586</v>
      </c>
      <c r="G6" s="1">
        <v>48400569449.833336</v>
      </c>
      <c r="H6" s="1"/>
      <c r="J6" s="1"/>
    </row>
    <row r="7" spans="1:10">
      <c r="A7" s="10" t="s">
        <v>43</v>
      </c>
      <c r="B7" s="1">
        <v>102540001965.39893</v>
      </c>
      <c r="C7" s="1">
        <v>29541980043</v>
      </c>
      <c r="D7" s="1">
        <v>7558526636</v>
      </c>
      <c r="E7" s="1">
        <v>7366325852.7322521</v>
      </c>
      <c r="F7" s="1">
        <v>14924852488.732252</v>
      </c>
      <c r="G7" s="1">
        <v>58073169433.666672</v>
      </c>
      <c r="H7" s="1"/>
      <c r="J7" s="1"/>
    </row>
    <row r="8" spans="1:10">
      <c r="A8" s="10" t="s">
        <v>148</v>
      </c>
      <c r="B8" s="1">
        <v>44268141487</v>
      </c>
      <c r="C8" s="1">
        <v>12720732706</v>
      </c>
      <c r="D8" s="1">
        <v>920726413</v>
      </c>
      <c r="E8" s="1">
        <v>12377649094.333332</v>
      </c>
      <c r="F8" s="1">
        <v>13298375507.333332</v>
      </c>
      <c r="G8" s="1">
        <v>18249033273.666668</v>
      </c>
      <c r="H8" s="1"/>
      <c r="J8" s="1"/>
    </row>
    <row r="9" spans="1:10">
      <c r="A9" s="10" t="s">
        <v>48</v>
      </c>
      <c r="B9" s="1">
        <v>14550646676</v>
      </c>
      <c r="C9" s="1">
        <v>995670000</v>
      </c>
      <c r="D9" s="1">
        <v>497730000</v>
      </c>
      <c r="E9" s="1">
        <v>5940595000</v>
      </c>
      <c r="F9" s="1">
        <v>6438325000</v>
      </c>
      <c r="G9" s="1">
        <v>7116651676</v>
      </c>
      <c r="H9" s="1"/>
      <c r="J9" s="1"/>
    </row>
    <row r="10" spans="1:10">
      <c r="A10" s="10" t="s">
        <v>538</v>
      </c>
      <c r="B10" s="1">
        <v>511555556003.19678</v>
      </c>
      <c r="C10" s="1">
        <v>139888839892</v>
      </c>
      <c r="D10" s="1">
        <v>26343889517</v>
      </c>
      <c r="E10" s="1">
        <v>84693038486.144623</v>
      </c>
      <c r="F10" s="1">
        <v>111036928003.14462</v>
      </c>
      <c r="G10" s="1">
        <v>260629788108.05215</v>
      </c>
      <c r="H10" s="1"/>
    </row>
    <row r="11" spans="1:10">
      <c r="B11"/>
      <c r="C11"/>
      <c r="D11"/>
      <c r="E11"/>
      <c r="F11"/>
      <c r="H11" s="1"/>
    </row>
    <row r="14" spans="1:10">
      <c r="A14" s="58" t="s">
        <v>218</v>
      </c>
      <c r="B14" s="1" t="s">
        <v>564</v>
      </c>
      <c r="C14" s="1" t="s">
        <v>565</v>
      </c>
      <c r="D14" t="s">
        <v>574</v>
      </c>
      <c r="E14" s="1" t="s">
        <v>566</v>
      </c>
      <c r="F14" s="1" t="s">
        <v>522</v>
      </c>
      <c r="G14" s="1" t="s">
        <v>567</v>
      </c>
      <c r="H14" s="1"/>
    </row>
    <row r="15" spans="1:10">
      <c r="A15" s="10" t="s">
        <v>457</v>
      </c>
      <c r="B15" s="1">
        <v>191038768097.19672</v>
      </c>
      <c r="C15" s="1">
        <v>35346340699</v>
      </c>
      <c r="D15" s="1">
        <v>3994245977</v>
      </c>
      <c r="E15" s="1">
        <v>38728375726.311302</v>
      </c>
      <c r="F15" s="1">
        <v>42722621703.31131</v>
      </c>
      <c r="G15" s="1">
        <v>112969805694.88547</v>
      </c>
      <c r="H15" s="1"/>
    </row>
    <row r="16" spans="1:10">
      <c r="A16" s="10" t="s">
        <v>75</v>
      </c>
      <c r="B16" s="1">
        <v>21220803570</v>
      </c>
      <c r="C16" s="1">
        <v>10495183053</v>
      </c>
      <c r="D16" s="1">
        <v>1560936298</v>
      </c>
      <c r="E16" s="1">
        <v>9846227130</v>
      </c>
      <c r="F16" s="1">
        <v>11407163428</v>
      </c>
      <c r="G16" s="1">
        <v>-681542911</v>
      </c>
      <c r="H16" s="1"/>
    </row>
    <row r="17" spans="1:8">
      <c r="A17" s="10" t="s">
        <v>6</v>
      </c>
      <c r="B17" s="1">
        <v>58479737046</v>
      </c>
      <c r="C17" s="1">
        <v>26090469857</v>
      </c>
      <c r="D17" s="1">
        <v>3687932651</v>
      </c>
      <c r="E17" s="1">
        <v>3542898494.5</v>
      </c>
      <c r="F17" s="1">
        <v>7230831145.5</v>
      </c>
      <c r="G17" s="1">
        <v>25158436043.5</v>
      </c>
      <c r="H17" s="1"/>
    </row>
    <row r="18" spans="1:8">
      <c r="A18" s="10" t="s">
        <v>14</v>
      </c>
      <c r="B18" s="1">
        <v>22228837263</v>
      </c>
      <c r="C18" s="1">
        <v>5158632974</v>
      </c>
      <c r="D18" s="1">
        <v>454783327</v>
      </c>
      <c r="E18" s="1">
        <v>1495406924</v>
      </c>
      <c r="F18" s="1">
        <v>1950190251</v>
      </c>
      <c r="G18" s="1">
        <v>15120014038</v>
      </c>
      <c r="H18" s="1"/>
    </row>
    <row r="19" spans="1:8">
      <c r="A19" s="10" t="s">
        <v>72</v>
      </c>
      <c r="B19" s="1">
        <v>1990433000</v>
      </c>
      <c r="C19" s="1">
        <v>0</v>
      </c>
      <c r="D19" s="1">
        <v>0</v>
      </c>
      <c r="E19" s="1">
        <v>1990433000</v>
      </c>
      <c r="F19" s="1">
        <v>1990433000</v>
      </c>
      <c r="G19" s="1">
        <v>0</v>
      </c>
      <c r="H19" s="1"/>
    </row>
    <row r="20" spans="1:8">
      <c r="A20" s="10" t="s">
        <v>13</v>
      </c>
      <c r="B20" s="1">
        <v>18611123259</v>
      </c>
      <c r="C20" s="1">
        <v>4817369480</v>
      </c>
      <c r="D20" s="1">
        <v>559084156</v>
      </c>
      <c r="E20" s="1">
        <v>5331776501</v>
      </c>
      <c r="F20" s="1">
        <v>5890860657</v>
      </c>
      <c r="G20" s="1">
        <v>7902893122</v>
      </c>
      <c r="H20" s="1"/>
    </row>
    <row r="21" spans="1:8">
      <c r="A21" s="10" t="s">
        <v>15</v>
      </c>
      <c r="B21" s="1">
        <v>4305877941</v>
      </c>
      <c r="C21" s="1">
        <v>1518265115</v>
      </c>
      <c r="D21" s="1">
        <v>454336365</v>
      </c>
      <c r="E21" s="1">
        <v>1060015433</v>
      </c>
      <c r="F21" s="1">
        <v>1514351798</v>
      </c>
      <c r="G21" s="1">
        <v>1273261028</v>
      </c>
      <c r="H21" s="1"/>
    </row>
    <row r="22" spans="1:8">
      <c r="A22" s="10" t="s">
        <v>21</v>
      </c>
      <c r="B22" s="1">
        <v>4773825000</v>
      </c>
      <c r="C22" s="1">
        <v>93439000</v>
      </c>
      <c r="D22" s="1">
        <v>0</v>
      </c>
      <c r="E22" s="1">
        <v>291556295</v>
      </c>
      <c r="F22" s="1">
        <v>291556295</v>
      </c>
      <c r="G22" s="1">
        <v>4388829705</v>
      </c>
      <c r="H22" s="1"/>
    </row>
    <row r="23" spans="1:8">
      <c r="A23" s="10" t="s">
        <v>77</v>
      </c>
      <c r="B23" s="1">
        <v>109061275795</v>
      </c>
      <c r="C23" s="1">
        <v>31516413978</v>
      </c>
      <c r="D23" s="1">
        <v>7025140337</v>
      </c>
      <c r="E23" s="1">
        <v>9736357991.333334</v>
      </c>
      <c r="F23" s="1">
        <v>16761498328.333334</v>
      </c>
      <c r="G23" s="1">
        <v>60783363488.666672</v>
      </c>
      <c r="H23" s="1"/>
    </row>
    <row r="24" spans="1:8">
      <c r="A24" s="10" t="s">
        <v>89</v>
      </c>
      <c r="B24" s="1">
        <v>74530194190</v>
      </c>
      <c r="C24" s="1">
        <v>24852725736</v>
      </c>
      <c r="D24" s="1">
        <v>4240058668</v>
      </c>
      <c r="E24" s="1">
        <v>11722681887</v>
      </c>
      <c r="F24" s="1">
        <v>15962740555</v>
      </c>
      <c r="G24" s="1">
        <v>33714727899</v>
      </c>
      <c r="H24" s="1"/>
    </row>
    <row r="25" spans="1:8">
      <c r="A25" s="10" t="s">
        <v>73</v>
      </c>
      <c r="B25" s="1">
        <v>5314680842</v>
      </c>
      <c r="C25" s="1">
        <v>0</v>
      </c>
      <c r="D25" s="1">
        <v>4367371738</v>
      </c>
      <c r="E25" s="1">
        <v>947309104</v>
      </c>
      <c r="F25" s="1">
        <v>5314680842</v>
      </c>
      <c r="G25" s="1">
        <v>0</v>
      </c>
      <c r="H25" s="1"/>
    </row>
    <row r="26" spans="1:8">
      <c r="A26" s="10" t="s">
        <v>538</v>
      </c>
      <c r="B26" s="1">
        <v>511555556003.19672</v>
      </c>
      <c r="C26" s="1">
        <v>139888839892</v>
      </c>
      <c r="D26" s="1">
        <v>26343889517</v>
      </c>
      <c r="E26" s="1">
        <v>84693038486.144638</v>
      </c>
      <c r="F26" s="1">
        <v>111036928003.14464</v>
      </c>
      <c r="G26" s="1">
        <v>260629788108.05212</v>
      </c>
      <c r="H26" s="1"/>
    </row>
    <row r="27" spans="1:8">
      <c r="B27"/>
      <c r="C27"/>
      <c r="D27"/>
      <c r="E27"/>
      <c r="F27"/>
    </row>
    <row r="30" spans="1:8">
      <c r="A30" s="58" t="s">
        <v>143</v>
      </c>
      <c r="B30" s="1" t="s">
        <v>564</v>
      </c>
      <c r="C30" s="1" t="s">
        <v>565</v>
      </c>
      <c r="D30" t="s">
        <v>574</v>
      </c>
      <c r="E30" s="1" t="s">
        <v>566</v>
      </c>
      <c r="F30" s="1" t="s">
        <v>522</v>
      </c>
      <c r="G30" s="1" t="s">
        <v>567</v>
      </c>
      <c r="H30" s="1"/>
    </row>
    <row r="31" spans="1:8">
      <c r="A31" s="10" t="s">
        <v>251</v>
      </c>
      <c r="B31" s="1">
        <v>57690305057</v>
      </c>
      <c r="C31" s="1">
        <v>9968024888</v>
      </c>
      <c r="D31" s="1">
        <v>5893165297</v>
      </c>
      <c r="E31" s="1">
        <v>15599106624</v>
      </c>
      <c r="F31" s="1">
        <v>21492271921</v>
      </c>
      <c r="G31" s="1">
        <v>26230008248</v>
      </c>
      <c r="H31" s="1"/>
    </row>
    <row r="32" spans="1:8">
      <c r="A32" s="10" t="s">
        <v>241</v>
      </c>
      <c r="B32" s="1">
        <v>127365576012</v>
      </c>
      <c r="C32" s="1">
        <v>28488935769</v>
      </c>
      <c r="D32" s="1">
        <v>7085010430</v>
      </c>
      <c r="E32" s="1">
        <v>14326792661.333334</v>
      </c>
      <c r="F32" s="1">
        <v>21411803091.333332</v>
      </c>
      <c r="G32" s="1">
        <v>77464837151.666672</v>
      </c>
      <c r="H32" s="1"/>
    </row>
    <row r="33" spans="1:8">
      <c r="A33" s="10" t="s">
        <v>238</v>
      </c>
      <c r="B33" s="1">
        <v>93308990367.398926</v>
      </c>
      <c r="C33" s="1">
        <v>28371925143</v>
      </c>
      <c r="D33" s="1">
        <v>6627047007</v>
      </c>
      <c r="E33" s="1">
        <v>8276449936.2704287</v>
      </c>
      <c r="F33" s="1">
        <v>14903496943.270428</v>
      </c>
      <c r="G33" s="1">
        <v>50033568281.128487</v>
      </c>
      <c r="H33" s="1"/>
    </row>
    <row r="34" spans="1:8">
      <c r="A34" s="10" t="s">
        <v>240</v>
      </c>
      <c r="B34" s="1">
        <v>77652573181</v>
      </c>
      <c r="C34" s="1">
        <v>21915137762</v>
      </c>
      <c r="D34" s="1">
        <v>2588177382</v>
      </c>
      <c r="E34" s="1">
        <v>10897227101</v>
      </c>
      <c r="F34" s="1">
        <v>13485404483</v>
      </c>
      <c r="G34" s="1">
        <v>42252030936</v>
      </c>
      <c r="H34" s="1"/>
    </row>
    <row r="35" spans="1:8">
      <c r="A35" s="10" t="s">
        <v>242</v>
      </c>
      <c r="B35" s="1">
        <v>24911843796.398922</v>
      </c>
      <c r="C35" s="1">
        <v>4702235023</v>
      </c>
      <c r="D35" s="1">
        <v>165257569</v>
      </c>
      <c r="E35" s="1">
        <v>9403645941.7704277</v>
      </c>
      <c r="F35" s="1">
        <v>9568903510.7704277</v>
      </c>
      <c r="G35" s="1">
        <v>10640705262.62849</v>
      </c>
      <c r="H35" s="1"/>
    </row>
    <row r="36" spans="1:8">
      <c r="A36" s="10" t="s">
        <v>252</v>
      </c>
      <c r="B36" s="1">
        <v>16793562743</v>
      </c>
      <c r="C36" s="1">
        <v>9691551743</v>
      </c>
      <c r="D36" s="1">
        <v>977663148</v>
      </c>
      <c r="E36" s="1">
        <v>6609265702</v>
      </c>
      <c r="F36" s="1">
        <v>7586928850</v>
      </c>
      <c r="G36" s="1">
        <v>-484917850</v>
      </c>
      <c r="H36" s="1"/>
    </row>
    <row r="37" spans="1:8">
      <c r="A37" s="10" t="s">
        <v>253</v>
      </c>
      <c r="B37" s="1">
        <v>29005827561.398918</v>
      </c>
      <c r="C37" s="1">
        <v>11764764502</v>
      </c>
      <c r="D37" s="1">
        <v>122065179</v>
      </c>
      <c r="E37" s="1">
        <v>4684160516.4370956</v>
      </c>
      <c r="F37" s="1">
        <v>4806225695.4370956</v>
      </c>
      <c r="G37" s="1">
        <v>12434837363.961823</v>
      </c>
      <c r="H37" s="1"/>
    </row>
    <row r="38" spans="1:8">
      <c r="A38" s="10" t="s">
        <v>302</v>
      </c>
      <c r="B38" s="1">
        <v>11988384511</v>
      </c>
      <c r="C38" s="1">
        <v>3194665795</v>
      </c>
      <c r="D38" s="1">
        <v>84613427</v>
      </c>
      <c r="E38" s="1">
        <v>4348343504</v>
      </c>
      <c r="F38" s="1">
        <v>4432956931</v>
      </c>
      <c r="G38" s="1">
        <v>4360761785</v>
      </c>
      <c r="H38" s="1"/>
    </row>
    <row r="39" spans="1:8">
      <c r="A39" s="10" t="s">
        <v>576</v>
      </c>
      <c r="B39" s="1">
        <v>5214464827</v>
      </c>
      <c r="C39" s="1">
        <v>803631310</v>
      </c>
      <c r="D39" s="1">
        <v>583273150</v>
      </c>
      <c r="E39" s="1">
        <v>3683921428</v>
      </c>
      <c r="F39" s="1">
        <v>4267194578</v>
      </c>
      <c r="G39" s="1">
        <v>143638939</v>
      </c>
      <c r="H39" s="1"/>
    </row>
    <row r="40" spans="1:8">
      <c r="A40" s="10" t="s">
        <v>248</v>
      </c>
      <c r="B40" s="1">
        <v>31005286387</v>
      </c>
      <c r="C40" s="1">
        <v>7448409834</v>
      </c>
      <c r="D40" s="1">
        <v>881154468</v>
      </c>
      <c r="E40" s="1">
        <v>2170707666</v>
      </c>
      <c r="F40" s="1">
        <v>3051862134</v>
      </c>
      <c r="G40" s="1">
        <v>20505014419</v>
      </c>
      <c r="H40" s="1"/>
    </row>
    <row r="41" spans="1:8">
      <c r="A41" s="10" t="s">
        <v>275</v>
      </c>
      <c r="B41" s="1">
        <v>21358789920</v>
      </c>
      <c r="C41" s="1">
        <v>8714132057</v>
      </c>
      <c r="D41" s="1">
        <v>176388828</v>
      </c>
      <c r="E41" s="1">
        <v>2217571522.3333335</v>
      </c>
      <c r="F41" s="1">
        <v>2393960350.3333335</v>
      </c>
      <c r="G41" s="1">
        <v>10250697512.666666</v>
      </c>
      <c r="H41" s="1"/>
    </row>
    <row r="42" spans="1:8">
      <c r="A42" s="10" t="s">
        <v>311</v>
      </c>
      <c r="B42" s="1">
        <v>6957824536</v>
      </c>
      <c r="C42" s="1">
        <v>2346639213</v>
      </c>
      <c r="D42" s="1">
        <v>700118391</v>
      </c>
      <c r="E42" s="1">
        <v>1230334247</v>
      </c>
      <c r="F42" s="1">
        <v>1930452638</v>
      </c>
      <c r="G42" s="1">
        <v>2680732685</v>
      </c>
      <c r="H42" s="1"/>
    </row>
    <row r="43" spans="1:8">
      <c r="A43" s="10" t="s">
        <v>301</v>
      </c>
      <c r="B43" s="1">
        <v>8302127104</v>
      </c>
      <c r="C43" s="1">
        <v>2478786853</v>
      </c>
      <c r="D43" s="1">
        <v>459955241</v>
      </c>
      <c r="E43" s="1">
        <v>1245511636</v>
      </c>
      <c r="F43" s="1">
        <v>1705466877</v>
      </c>
      <c r="G43" s="1">
        <v>4117873374</v>
      </c>
      <c r="H43" s="1"/>
    </row>
    <row r="44" spans="1:8">
      <c r="A44" s="10" t="s">
        <v>538</v>
      </c>
      <c r="B44" s="1">
        <v>511555556003.19678</v>
      </c>
      <c r="C44" s="1">
        <v>139888839892</v>
      </c>
      <c r="D44" s="1">
        <v>26343889517</v>
      </c>
      <c r="E44" s="1">
        <v>84693038486.144608</v>
      </c>
      <c r="F44" s="1">
        <v>111036928003.14461</v>
      </c>
      <c r="G44" s="1">
        <v>260629788108.05219</v>
      </c>
    </row>
    <row r="45" spans="1:8">
      <c r="B45"/>
      <c r="C45"/>
      <c r="D45"/>
      <c r="E45"/>
      <c r="F45"/>
    </row>
    <row r="49" spans="1:8">
      <c r="A49" s="196" t="s">
        <v>630</v>
      </c>
      <c r="B49" s="197" t="s">
        <v>853</v>
      </c>
      <c r="C49" s="197" t="s">
        <v>689</v>
      </c>
      <c r="D49" s="201" t="s">
        <v>689</v>
      </c>
      <c r="E49" s="197" t="s">
        <v>542</v>
      </c>
      <c r="F49" s="201" t="s">
        <v>542</v>
      </c>
      <c r="H49" s="182"/>
    </row>
    <row r="50" spans="1:8">
      <c r="A50" s="195" t="s">
        <v>847</v>
      </c>
      <c r="B50" s="179">
        <v>241720287</v>
      </c>
      <c r="C50" s="179">
        <v>294929495</v>
      </c>
      <c r="D50" s="179">
        <f>C50+241338582</f>
        <v>536268077</v>
      </c>
      <c r="E50" s="198">
        <f>(B50/D50)-100%</f>
        <v>-0.54925475267475221</v>
      </c>
      <c r="F50" s="200">
        <f>(B50/C50)-100%</f>
        <v>-0.18041331539254835</v>
      </c>
      <c r="H50" s="199"/>
    </row>
    <row r="51" spans="1:8">
      <c r="A51" s="195" t="s">
        <v>842</v>
      </c>
      <c r="B51" s="179">
        <v>2521513662</v>
      </c>
      <c r="C51" s="179">
        <v>625976811</v>
      </c>
      <c r="D51" s="179">
        <f>C51+212491410</f>
        <v>838468221</v>
      </c>
      <c r="E51" s="198">
        <f t="shared" ref="E51:E60" si="0">(B51/D51)-100%</f>
        <v>2.0072859040414364</v>
      </c>
      <c r="F51" s="200">
        <f t="shared" ref="F51:F58" si="1">(B51/C51)-100%</f>
        <v>3.0281263102572025</v>
      </c>
      <c r="H51" s="199"/>
    </row>
    <row r="52" spans="1:8">
      <c r="A52" s="195" t="s">
        <v>844</v>
      </c>
      <c r="B52" s="179">
        <v>81356013</v>
      </c>
      <c r="C52" s="179">
        <v>304893372</v>
      </c>
      <c r="D52" s="179">
        <f t="shared" ref="D52:D58" si="2">C52</f>
        <v>304893372</v>
      </c>
      <c r="E52" s="198">
        <f t="shared" si="0"/>
        <v>-0.7331656884951897</v>
      </c>
      <c r="F52" s="200">
        <f t="shared" si="1"/>
        <v>-0.7331656884951897</v>
      </c>
      <c r="H52" s="199"/>
    </row>
    <row r="53" spans="1:8">
      <c r="A53" s="195" t="s">
        <v>848</v>
      </c>
      <c r="B53" s="179">
        <v>631355382</v>
      </c>
      <c r="C53" s="179">
        <v>884218610</v>
      </c>
      <c r="D53" s="179">
        <f>C53+26400000</f>
        <v>910618610</v>
      </c>
      <c r="E53" s="198">
        <f t="shared" si="0"/>
        <v>-0.30667419371102023</v>
      </c>
      <c r="F53" s="200">
        <f t="shared" si="1"/>
        <v>-0.28597365531584995</v>
      </c>
      <c r="H53" s="199"/>
    </row>
    <row r="54" spans="1:8">
      <c r="A54" s="195" t="s">
        <v>843</v>
      </c>
      <c r="B54" s="179">
        <v>378336346</v>
      </c>
      <c r="C54" s="179">
        <v>245786443</v>
      </c>
      <c r="D54" s="179">
        <f>C54+43021480</f>
        <v>288807923</v>
      </c>
      <c r="E54" s="198">
        <f t="shared" si="0"/>
        <v>0.30999296026930678</v>
      </c>
      <c r="F54" s="200">
        <f t="shared" si="1"/>
        <v>0.53928891025124615</v>
      </c>
      <c r="H54" s="199"/>
    </row>
    <row r="55" spans="1:8">
      <c r="A55" s="195" t="s">
        <v>840</v>
      </c>
      <c r="B55" s="179">
        <v>346587110</v>
      </c>
      <c r="C55" s="179">
        <v>43000000</v>
      </c>
      <c r="D55" s="179">
        <f>C55+306078929</f>
        <v>349078929</v>
      </c>
      <c r="E55" s="198">
        <f t="shared" si="0"/>
        <v>-7.1382681479466026E-3</v>
      </c>
      <c r="F55" s="200">
        <f t="shared" si="1"/>
        <v>7.0601653488372094</v>
      </c>
      <c r="H55" s="199"/>
    </row>
    <row r="56" spans="1:8">
      <c r="A56" s="195" t="s">
        <v>846</v>
      </c>
      <c r="B56" s="179">
        <v>306559258</v>
      </c>
      <c r="C56" s="179">
        <v>124292759</v>
      </c>
      <c r="D56" s="179">
        <f t="shared" si="2"/>
        <v>124292759</v>
      </c>
      <c r="E56" s="198">
        <f t="shared" si="0"/>
        <v>1.466428941367373</v>
      </c>
      <c r="F56" s="200">
        <f t="shared" si="1"/>
        <v>1.466428941367373</v>
      </c>
    </row>
    <row r="57" spans="1:8">
      <c r="A57" s="195" t="s">
        <v>841</v>
      </c>
      <c r="B57" s="179">
        <v>209764069</v>
      </c>
      <c r="C57" s="179">
        <v>205929427</v>
      </c>
      <c r="D57" s="179">
        <f>C57+15139297</f>
        <v>221068724</v>
      </c>
      <c r="E57" s="198">
        <f t="shared" si="0"/>
        <v>-5.1136383272380015E-2</v>
      </c>
      <c r="F57" s="200">
        <f t="shared" si="1"/>
        <v>1.862114636001011E-2</v>
      </c>
    </row>
    <row r="58" spans="1:8">
      <c r="A58" s="195" t="s">
        <v>845</v>
      </c>
      <c r="B58" s="179">
        <v>416314148</v>
      </c>
      <c r="C58" s="179">
        <v>672358538</v>
      </c>
      <c r="D58" s="179">
        <f t="shared" si="2"/>
        <v>672358538</v>
      </c>
      <c r="E58" s="198">
        <f t="shared" si="0"/>
        <v>-0.3808152578260261</v>
      </c>
      <c r="F58" s="200">
        <f t="shared" si="1"/>
        <v>-0.3808152578260261</v>
      </c>
      <c r="H58" s="1"/>
    </row>
    <row r="59" spans="1:8">
      <c r="A59" s="195" t="s">
        <v>854</v>
      </c>
      <c r="B59" s="179">
        <v>109391780</v>
      </c>
      <c r="C59" s="179">
        <v>0</v>
      </c>
      <c r="D59" s="179">
        <f>C59+109391780</f>
        <v>109391780</v>
      </c>
      <c r="E59" s="198">
        <f t="shared" si="0"/>
        <v>0</v>
      </c>
      <c r="F59" s="200">
        <v>1</v>
      </c>
      <c r="G59" s="1"/>
    </row>
    <row r="60" spans="1:8">
      <c r="A60" s="195" t="s">
        <v>538</v>
      </c>
      <c r="B60" s="179">
        <v>5242898055</v>
      </c>
      <c r="C60" s="179">
        <f>SUM(C50:C59)</f>
        <v>3401385455</v>
      </c>
      <c r="D60" s="179">
        <f>SUM(D50:D59)</f>
        <v>4355246933</v>
      </c>
      <c r="E60" s="198">
        <f t="shared" si="0"/>
        <v>0.20381189302360969</v>
      </c>
      <c r="F60" s="200">
        <v>0.35</v>
      </c>
    </row>
    <row r="61" spans="1:8">
      <c r="B61"/>
      <c r="D61"/>
      <c r="E61"/>
    </row>
    <row r="62" spans="1:8">
      <c r="B62"/>
      <c r="C62" s="194"/>
      <c r="D62"/>
      <c r="E62"/>
    </row>
    <row r="63" spans="1:8">
      <c r="B63"/>
      <c r="C63"/>
      <c r="D63"/>
      <c r="E63"/>
      <c r="F63"/>
    </row>
    <row r="64" spans="1:8">
      <c r="D64" s="194"/>
    </row>
    <row r="65" spans="4:4">
      <c r="D65" s="194"/>
    </row>
    <row r="66" spans="4:4">
      <c r="D66" s="194"/>
    </row>
    <row r="67" spans="4:4">
      <c r="D67" s="194"/>
    </row>
    <row r="68" spans="4:4">
      <c r="D68" s="194"/>
    </row>
    <row r="69" spans="4:4">
      <c r="D69" s="194"/>
    </row>
    <row r="70" spans="4:4">
      <c r="D70" s="194"/>
    </row>
    <row r="71" spans="4:4">
      <c r="D71" s="194"/>
    </row>
    <row r="72" spans="4:4">
      <c r="D72" s="194"/>
    </row>
  </sheetData>
  <pageMargins left="1.86" right="0.7" top="0.75" bottom="0.75" header="0.3" footer="0.3"/>
  <pageSetup orientation="landscape" r:id="rId5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RESUMEN!A64:C64</xm:f>
              <xm:sqref>D64</xm:sqref>
            </x14:sparkline>
            <x14:sparkline>
              <xm:f>RESUMEN!A65:C65</xm:f>
              <xm:sqref>D65</xm:sqref>
            </x14:sparkline>
            <x14:sparkline>
              <xm:f>RESUMEN!A66:C66</xm:f>
              <xm:sqref>D66</xm:sqref>
            </x14:sparkline>
            <x14:sparkline>
              <xm:f>RESUMEN!A67:C67</xm:f>
              <xm:sqref>D67</xm:sqref>
            </x14:sparkline>
            <x14:sparkline>
              <xm:f>RESUMEN!A68:C68</xm:f>
              <xm:sqref>D68</xm:sqref>
            </x14:sparkline>
            <x14:sparkline>
              <xm:f>RESUMEN!A69:C69</xm:f>
              <xm:sqref>D69</xm:sqref>
            </x14:sparkline>
            <x14:sparkline>
              <xm:f>RESUMEN!A70:C70</xm:f>
              <xm:sqref>D70</xm:sqref>
            </x14:sparkline>
            <x14:sparkline>
              <xm:f>RESUMEN!A71:C71</xm:f>
              <xm:sqref>D71</xm:sqref>
            </x14:sparkline>
            <x14:sparkline>
              <xm:f>RESUMEN!A72:C72</xm:f>
              <xm:sqref>D72</xm:sqref>
            </x14:sparkline>
          </x14:sparklines>
        </x14:sparklineGroup>
      </x14:sparklineGroup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S2528"/>
  <sheetViews>
    <sheetView tabSelected="1" topLeftCell="H1" zoomScale="70" zoomScaleNormal="70" workbookViewId="0">
      <pane ySplit="1" topLeftCell="A780" activePane="bottomLeft" state="frozen"/>
      <selection activeCell="J28" sqref="J28"/>
      <selection pane="bottomLeft" activeCell="N799" sqref="N799"/>
    </sheetView>
  </sheetViews>
  <sheetFormatPr baseColWidth="10" defaultRowHeight="15" outlineLevelRow="2"/>
  <cols>
    <col min="1" max="1" width="4.7109375" customWidth="1"/>
    <col min="2" max="2" width="3.85546875" customWidth="1"/>
    <col min="3" max="3" width="22" customWidth="1"/>
    <col min="4" max="4" width="13.140625" customWidth="1"/>
    <col min="5" max="5" width="15.85546875" customWidth="1"/>
    <col min="6" max="6" width="14.85546875" customWidth="1"/>
    <col min="7" max="7" width="12.7109375" customWidth="1"/>
    <col min="8" max="8" width="12.42578125" style="10" customWidth="1"/>
    <col min="9" max="9" width="23.140625" style="10" hidden="1" customWidth="1"/>
    <col min="10" max="10" width="21.5703125" style="10" hidden="1" customWidth="1"/>
    <col min="11" max="11" width="12.85546875" style="10" hidden="1" customWidth="1"/>
    <col min="12" max="12" width="70.7109375" style="21" customWidth="1"/>
    <col min="13" max="13" width="20.28515625" style="32" customWidth="1"/>
    <col min="14" max="14" width="19" style="40" customWidth="1"/>
    <col min="15" max="15" width="19.42578125" style="40" customWidth="1"/>
    <col min="16" max="16" width="15.7109375" style="40" customWidth="1"/>
    <col min="17" max="17" width="17.5703125" style="40" customWidth="1"/>
    <col min="18" max="18" width="17.85546875" style="40" customWidth="1"/>
    <col min="19" max="19" width="18.28515625" style="40" customWidth="1"/>
    <col min="20" max="20" width="17.7109375" style="40" customWidth="1"/>
    <col min="21" max="21" width="18.42578125" style="40" customWidth="1"/>
    <col min="22" max="22" width="18.85546875" style="40" customWidth="1"/>
    <col min="23" max="23" width="19.42578125" style="40" customWidth="1"/>
    <col min="24" max="24" width="20" style="40" customWidth="1"/>
    <col min="25" max="25" width="23.42578125" style="52" customWidth="1"/>
    <col min="26" max="26" width="8.42578125" style="52" customWidth="1"/>
    <col min="27" max="28" width="20.5703125" hidden="1" customWidth="1"/>
    <col min="29" max="29" width="8.85546875" hidden="1" customWidth="1"/>
    <col min="30" max="32" width="11.42578125" hidden="1" customWidth="1"/>
    <col min="33" max="33" width="20.85546875" hidden="1" customWidth="1"/>
    <col min="34" max="34" width="11.42578125" hidden="1" customWidth="1"/>
    <col min="35" max="35" width="4.28515625" hidden="1" customWidth="1"/>
    <col min="36" max="36" width="17.28515625" style="185" hidden="1" customWidth="1"/>
    <col min="37" max="37" width="22" style="185" hidden="1" customWidth="1"/>
    <col min="38" max="38" width="20" style="185" hidden="1" customWidth="1"/>
    <col min="39" max="39" width="11.42578125" style="185" hidden="1" customWidth="1"/>
    <col min="40" max="40" width="11.28515625" hidden="1" customWidth="1"/>
    <col min="41" max="43" width="18.5703125" style="1" hidden="1" customWidth="1"/>
    <col min="44" max="44" width="14.42578125" style="1" hidden="1" customWidth="1"/>
    <col min="45" max="45" width="13.85546875" hidden="1" customWidth="1"/>
    <col min="46" max="46" width="24" hidden="1" customWidth="1"/>
    <col min="47" max="47" width="24.42578125" hidden="1" customWidth="1"/>
    <col min="48" max="48" width="26.7109375" hidden="1" customWidth="1"/>
    <col min="49" max="49" width="21.5703125" hidden="1" customWidth="1"/>
    <col min="50" max="50" width="23.28515625" hidden="1" customWidth="1"/>
    <col min="51" max="51" width="14.28515625" hidden="1" customWidth="1"/>
    <col min="52" max="52" width="19.42578125" style="1" hidden="1" customWidth="1"/>
    <col min="53" max="57" width="11.42578125" hidden="1" customWidth="1"/>
    <col min="58" max="58" width="14.7109375" style="1" hidden="1" customWidth="1"/>
    <col min="59" max="59" width="13.85546875" hidden="1" customWidth="1"/>
    <col min="60" max="60" width="11.42578125" hidden="1" customWidth="1"/>
    <col min="61" max="66" width="0" hidden="1" customWidth="1"/>
    <col min="67" max="67" width="25.42578125" hidden="1" customWidth="1"/>
    <col min="68" max="68" width="20.5703125" hidden="1" customWidth="1"/>
    <col min="69" max="69" width="15" hidden="1" customWidth="1"/>
    <col min="70" max="70" width="15.5703125" hidden="1" customWidth="1"/>
  </cols>
  <sheetData>
    <row r="1" spans="1:70" s="4" customFormat="1" ht="37.5" customHeight="1">
      <c r="A1" s="172" t="s">
        <v>219</v>
      </c>
      <c r="B1" s="172" t="s">
        <v>146</v>
      </c>
      <c r="C1" s="172" t="s">
        <v>143</v>
      </c>
      <c r="D1" s="172" t="s">
        <v>0</v>
      </c>
      <c r="E1" s="172" t="s">
        <v>1</v>
      </c>
      <c r="F1" s="172" t="s">
        <v>218</v>
      </c>
      <c r="G1" s="172" t="s">
        <v>2</v>
      </c>
      <c r="H1" s="172" t="s">
        <v>3</v>
      </c>
      <c r="I1" s="172" t="s">
        <v>647</v>
      </c>
      <c r="J1" s="172" t="s">
        <v>705</v>
      </c>
      <c r="K1" s="172" t="s">
        <v>676</v>
      </c>
      <c r="L1" s="172" t="s">
        <v>4</v>
      </c>
      <c r="M1" s="170" t="s">
        <v>142</v>
      </c>
      <c r="N1" s="171" t="s">
        <v>55</v>
      </c>
      <c r="O1" s="171" t="s">
        <v>312</v>
      </c>
      <c r="P1" s="171" t="s">
        <v>487</v>
      </c>
      <c r="Q1" s="171" t="s">
        <v>486</v>
      </c>
      <c r="R1" s="171" t="s">
        <v>485</v>
      </c>
      <c r="S1" s="171" t="s">
        <v>656</v>
      </c>
      <c r="T1" s="171" t="s">
        <v>484</v>
      </c>
      <c r="U1" s="171" t="s">
        <v>483</v>
      </c>
      <c r="V1" s="171" t="s">
        <v>573</v>
      </c>
      <c r="W1" s="171" t="s">
        <v>476</v>
      </c>
      <c r="X1" s="173" t="s">
        <v>309</v>
      </c>
      <c r="Y1" s="174" t="s">
        <v>220</v>
      </c>
      <c r="Z1" s="174" t="s">
        <v>625</v>
      </c>
      <c r="AA1" s="4" t="s">
        <v>630</v>
      </c>
      <c r="AE1" s="178" t="s">
        <v>575</v>
      </c>
      <c r="AF1" s="4" t="s">
        <v>651</v>
      </c>
      <c r="AJ1" s="184" t="s">
        <v>689</v>
      </c>
      <c r="AK1" s="184" t="s">
        <v>687</v>
      </c>
      <c r="AL1" s="184" t="s">
        <v>688</v>
      </c>
      <c r="AM1" s="184" t="s">
        <v>657</v>
      </c>
      <c r="AN1" s="4" t="s">
        <v>742</v>
      </c>
      <c r="AO1" s="188" t="s">
        <v>837</v>
      </c>
      <c r="AP1" s="188" t="s">
        <v>839</v>
      </c>
      <c r="AQ1" s="188"/>
      <c r="AR1" s="188" t="s">
        <v>743</v>
      </c>
      <c r="AT1" s="4" t="s">
        <v>744</v>
      </c>
      <c r="AU1" s="4" t="s">
        <v>745</v>
      </c>
      <c r="AV1" s="4" t="s">
        <v>747</v>
      </c>
      <c r="AW1" s="4" t="s">
        <v>750</v>
      </c>
      <c r="AX1" s="4" t="s">
        <v>143</v>
      </c>
      <c r="AY1" s="4" t="s">
        <v>850</v>
      </c>
      <c r="AZ1" s="188" t="s">
        <v>855</v>
      </c>
      <c r="BF1" s="188" t="s">
        <v>851</v>
      </c>
      <c r="BO1" s="4" t="s">
        <v>856</v>
      </c>
      <c r="BR1" s="4" t="s">
        <v>1</v>
      </c>
    </row>
    <row r="2" spans="1:70" ht="26.25" customHeight="1">
      <c r="A2" s="7"/>
      <c r="B2" s="7"/>
      <c r="C2" s="7"/>
      <c r="D2" s="7"/>
      <c r="E2" s="7"/>
      <c r="F2" s="7"/>
      <c r="G2" s="7"/>
      <c r="H2" s="11"/>
      <c r="I2" s="11"/>
      <c r="J2" s="11"/>
      <c r="K2" s="11"/>
      <c r="L2" s="56" t="s">
        <v>177</v>
      </c>
      <c r="M2" s="22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47"/>
      <c r="Z2" s="47"/>
      <c r="AO2"/>
      <c r="AP2"/>
      <c r="AQ2"/>
      <c r="AR2"/>
      <c r="AZ2"/>
    </row>
    <row r="3" spans="1:70" ht="15" customHeight="1">
      <c r="A3" s="7"/>
      <c r="B3" s="7"/>
      <c r="C3" s="7"/>
      <c r="D3" s="7"/>
      <c r="E3" s="7"/>
      <c r="F3" s="7"/>
      <c r="G3" s="7"/>
      <c r="H3" s="11"/>
      <c r="I3" s="11"/>
      <c r="J3" s="11"/>
      <c r="K3" s="11"/>
      <c r="L3" s="18" t="s">
        <v>695</v>
      </c>
      <c r="M3" s="22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47"/>
      <c r="Z3" s="47"/>
      <c r="AO3"/>
      <c r="AP3"/>
      <c r="AQ3"/>
      <c r="AR3"/>
      <c r="AZ3" s="2" t="e">
        <f>VLOOKUP(H3,#REF!,2,FALSE)</f>
        <v>#REF!</v>
      </c>
    </row>
    <row r="4" spans="1:70" s="2" customFormat="1" ht="15" customHeight="1" outlineLevel="2">
      <c r="A4" s="5">
        <v>31</v>
      </c>
      <c r="B4" s="5" t="s">
        <v>5</v>
      </c>
      <c r="C4" s="5" t="s">
        <v>240</v>
      </c>
      <c r="D4" s="5" t="s">
        <v>7</v>
      </c>
      <c r="E4" s="5" t="s">
        <v>7</v>
      </c>
      <c r="F4" s="5" t="s">
        <v>89</v>
      </c>
      <c r="G4" s="5" t="s">
        <v>144</v>
      </c>
      <c r="H4" s="12">
        <v>30062818</v>
      </c>
      <c r="I4" s="42" t="str">
        <f>CONCATENATE(H4,"-",G4)</f>
        <v>30062818-EJECUCION</v>
      </c>
      <c r="J4" s="12"/>
      <c r="K4" s="307" t="str">
        <f>CLEAN(H4)</f>
        <v>30062818</v>
      </c>
      <c r="L4" s="15" t="s">
        <v>109</v>
      </c>
      <c r="M4" s="23">
        <v>3099186000</v>
      </c>
      <c r="N4" s="34">
        <v>426524875</v>
      </c>
      <c r="O4" s="34">
        <v>1495400000</v>
      </c>
      <c r="P4" s="310">
        <v>144591129</v>
      </c>
      <c r="Q4" s="34">
        <v>150621228</v>
      </c>
      <c r="R4" s="308">
        <v>145087883</v>
      </c>
      <c r="S4" s="34">
        <f>P4+Q4+R4</f>
        <v>440300240</v>
      </c>
      <c r="T4" s="34">
        <v>242315390</v>
      </c>
      <c r="U4" s="34">
        <v>383587756</v>
      </c>
      <c r="V4" s="34">
        <f>P4+Q4+R4+T4+U4</f>
        <v>1066203386</v>
      </c>
      <c r="W4" s="34">
        <f>O4-V4</f>
        <v>429196614</v>
      </c>
      <c r="X4" s="34">
        <f>M4-(N4+O4)</f>
        <v>1177261125</v>
      </c>
      <c r="Y4" s="48" t="s">
        <v>239</v>
      </c>
      <c r="Z4" s="48" t="s">
        <v>8</v>
      </c>
      <c r="AA4" s="2" t="s">
        <v>848</v>
      </c>
      <c r="AB4" s="2" t="e">
        <f>VLOOKUP(H4,#REF!,2,FALSE)</f>
        <v>#REF!</v>
      </c>
      <c r="AC4" s="2" t="e">
        <f>VLOOKUP(I4,#REF!,2,FALSE)</f>
        <v>#REF!</v>
      </c>
      <c r="AD4" s="2" t="e">
        <f>VLOOKUP(H4,#REF!,13,FALSE)</f>
        <v>#REF!</v>
      </c>
      <c r="AE4" s="2" t="e">
        <f>VLOOKUP(I4,#REF!,7,FALSE)</f>
        <v>#REF!</v>
      </c>
      <c r="AF4" s="2">
        <v>25</v>
      </c>
      <c r="AG4" s="2" t="e">
        <f>VLOOKUP(H4,#REF!,13,FALSE)</f>
        <v>#REF!</v>
      </c>
      <c r="AH4" s="2" t="e">
        <f>VLOOKUP(I4,#REF!,2,FALSE)</f>
        <v>#REF!</v>
      </c>
      <c r="AJ4" s="185" t="e">
        <f>VLOOKUP(H4,#REF!,3,FALSE)</f>
        <v>#REF!</v>
      </c>
      <c r="AK4" s="185"/>
      <c r="AL4" s="185" t="e">
        <f>VLOOKUP(H4,#REF!,13,FALSE)</f>
        <v>#REF!</v>
      </c>
      <c r="AM4" s="185" t="e">
        <f>VLOOKUP(CLEAN(H4),#REF!,7,FALSE)</f>
        <v>#REF!</v>
      </c>
      <c r="AN4" s="2" t="e">
        <f>VLOOKUP(H4,#REF!,8,FALSE)</f>
        <v>#REF!</v>
      </c>
      <c r="AO4" s="189" t="e">
        <f>VLOOKUP(H4,#REF!,2,FALSE)</f>
        <v>#REF!</v>
      </c>
      <c r="AP4" s="189" t="e">
        <f>VLOOKUP(H4,#REF!,2,FALSE)</f>
        <v>#REF!</v>
      </c>
      <c r="AQ4" s="189" t="e">
        <f>AO4-AP4</f>
        <v>#REF!</v>
      </c>
      <c r="AR4" s="189" t="e">
        <f>VLOOKUP(CLEAN(H4),#REF!,2,FALSE)</f>
        <v>#REF!</v>
      </c>
      <c r="AS4" s="189" t="e">
        <f>T4-AR4</f>
        <v>#REF!</v>
      </c>
      <c r="AT4" s="2" t="e">
        <f>VLOOKUP(H4,#REF!,13,FALSE)</f>
        <v>#REF!</v>
      </c>
      <c r="AU4" s="2" t="e">
        <f>VLOOKUP(H4,#REF!,13,FALSE)</f>
        <v>#REF!</v>
      </c>
      <c r="AV4" s="2" t="e">
        <f>VLOOKUP(H4,#REF!,13,FALSE)</f>
        <v>#REF!</v>
      </c>
      <c r="AW4" s="2" t="e">
        <f>VLOOKUP(H4,#REF!,13,FALSE)</f>
        <v>#REF!</v>
      </c>
      <c r="AX4" s="2" t="e">
        <f>VLOOKUP(H4,#REF!,9,FALSE)</f>
        <v>#REF!</v>
      </c>
      <c r="AZ4" s="189" t="e">
        <f>VLOOKUP(H4,#REF!,2,FALSE)</f>
        <v>#REF!</v>
      </c>
      <c r="BF4" s="189" t="e">
        <f>VLOOKUP(CLEAN(H4),#REF!,2,FALSE)</f>
        <v>#REF!</v>
      </c>
      <c r="BG4" s="189" t="e">
        <f>T4-BF4</f>
        <v>#REF!</v>
      </c>
      <c r="BO4" s="2" t="e">
        <f>VLOOKUP(H4,#REF!,13,FALSE)</f>
        <v>#REF!</v>
      </c>
      <c r="BP4" s="2" t="e">
        <f>VLOOKUP(H4,#REF!,2,FALSE)</f>
        <v>#REF!</v>
      </c>
      <c r="BQ4" s="2" t="e">
        <f>VLOOKUP(H4,#REF!,13,FALSE)</f>
        <v>#REF!</v>
      </c>
      <c r="BR4" s="2" t="e">
        <f>VLOOKUP(H4,#REF!,3,FALSE)</f>
        <v>#REF!</v>
      </c>
    </row>
    <row r="5" spans="1:70" s="2" customFormat="1" ht="15" customHeight="1" outlineLevel="2">
      <c r="A5" s="5">
        <v>31</v>
      </c>
      <c r="B5" s="5" t="s">
        <v>5</v>
      </c>
      <c r="C5" s="5" t="s">
        <v>242</v>
      </c>
      <c r="D5" s="5" t="s">
        <v>7</v>
      </c>
      <c r="E5" s="5" t="s">
        <v>7</v>
      </c>
      <c r="F5" s="5" t="s">
        <v>89</v>
      </c>
      <c r="G5" s="5" t="s">
        <v>144</v>
      </c>
      <c r="H5" s="12">
        <v>30165522</v>
      </c>
      <c r="I5" s="42" t="str">
        <f t="shared" ref="I5:I8" si="0">CONCATENATE(H5,"-",G5)</f>
        <v>30165522-EJECUCION</v>
      </c>
      <c r="J5" s="12"/>
      <c r="K5" s="307" t="str">
        <f t="shared" ref="K5:K8" si="1">CLEAN(H5)</f>
        <v>30165522</v>
      </c>
      <c r="L5" s="15" t="s">
        <v>66</v>
      </c>
      <c r="M5" s="23">
        <v>496769000</v>
      </c>
      <c r="N5" s="34">
        <v>3000000</v>
      </c>
      <c r="O5" s="34">
        <v>391769000</v>
      </c>
      <c r="P5" s="310">
        <v>0</v>
      </c>
      <c r="Q5" s="34">
        <v>0</v>
      </c>
      <c r="R5" s="308">
        <v>0</v>
      </c>
      <c r="S5" s="34">
        <f t="shared" ref="S5:S10" si="2">P5+Q5+R5</f>
        <v>0</v>
      </c>
      <c r="T5" s="34">
        <v>0</v>
      </c>
      <c r="U5" s="34">
        <v>0</v>
      </c>
      <c r="V5" s="34">
        <f>P5+Q5+R5+T5+U5</f>
        <v>0</v>
      </c>
      <c r="W5" s="34">
        <f>O5-V5</f>
        <v>391769000</v>
      </c>
      <c r="X5" s="34">
        <f>M5-(N5+O5)</f>
        <v>102000000</v>
      </c>
      <c r="Y5" s="48" t="s">
        <v>239</v>
      </c>
      <c r="Z5" s="48" t="s">
        <v>10</v>
      </c>
      <c r="AA5" s="2" t="s">
        <v>848</v>
      </c>
      <c r="AB5" s="2" t="e">
        <f>VLOOKUP(H5,#REF!,2,FALSE)</f>
        <v>#REF!</v>
      </c>
      <c r="AC5" s="2" t="e">
        <f>VLOOKUP(I5,#REF!,2,FALSE)</f>
        <v>#REF!</v>
      </c>
      <c r="AD5" s="2" t="e">
        <f>VLOOKUP(H5,#REF!,13,FALSE)</f>
        <v>#REF!</v>
      </c>
      <c r="AE5" s="177" t="e">
        <f>VLOOKUP(I5,#REF!,7,FALSE)</f>
        <v>#REF!</v>
      </c>
      <c r="AF5" s="2">
        <v>25</v>
      </c>
      <c r="AG5" s="2" t="e">
        <f>VLOOKUP(H5,#REF!,13,FALSE)</f>
        <v>#REF!</v>
      </c>
      <c r="AH5" s="2" t="e">
        <f>VLOOKUP(I5,#REF!,2,FALSE)</f>
        <v>#REF!</v>
      </c>
      <c r="AJ5" s="185" t="e">
        <f>VLOOKUP(H5,#REF!,3,FALSE)</f>
        <v>#REF!</v>
      </c>
      <c r="AK5" s="185"/>
      <c r="AL5" s="185" t="e">
        <f>VLOOKUP(H5,#REF!,13,FALSE)</f>
        <v>#REF!</v>
      </c>
      <c r="AM5" s="185" t="e">
        <f>VLOOKUP(CLEAN(H5),#REF!,7,FALSE)</f>
        <v>#REF!</v>
      </c>
      <c r="AN5" s="2" t="e">
        <f>VLOOKUP(H5,#REF!,8,FALSE)</f>
        <v>#REF!</v>
      </c>
      <c r="AO5" s="189" t="e">
        <f>VLOOKUP(H5,#REF!,2,FALSE)</f>
        <v>#REF!</v>
      </c>
      <c r="AP5" s="189" t="e">
        <f>VLOOKUP(H5,#REF!,2,FALSE)</f>
        <v>#REF!</v>
      </c>
      <c r="AQ5" s="189"/>
      <c r="AR5" s="2" t="e">
        <f>VLOOKUP(CLEAN(H5),#REF!,2,FALSE)</f>
        <v>#REF!</v>
      </c>
      <c r="AT5" s="2" t="e">
        <f>VLOOKUP(H5,#REF!,13,FALSE)</f>
        <v>#REF!</v>
      </c>
      <c r="AU5" s="2" t="e">
        <f>VLOOKUP(H5,#REF!,13,FALSE)</f>
        <v>#REF!</v>
      </c>
      <c r="AV5" s="2" t="e">
        <f>VLOOKUP(H5,#REF!,13,FALSE)</f>
        <v>#REF!</v>
      </c>
      <c r="AW5" s="2" t="e">
        <f>VLOOKUP(H5,#REF!,13,FALSE)</f>
        <v>#REF!</v>
      </c>
      <c r="AX5" s="2" t="e">
        <f>VLOOKUP(H5,#REF!,9,FALSE)</f>
        <v>#REF!</v>
      </c>
      <c r="AZ5" s="2" t="e">
        <f>VLOOKUP(H5,#REF!,2,FALSE)</f>
        <v>#REF!</v>
      </c>
      <c r="BF5" s="189" t="e">
        <f>VLOOKUP(CLEAN(H5),#REF!,2,FALSE)</f>
        <v>#REF!</v>
      </c>
      <c r="BG5" s="189" t="e">
        <f>T5-BF5</f>
        <v>#REF!</v>
      </c>
      <c r="BO5" s="2" t="e">
        <f>VLOOKUP(H5,#REF!,13,FALSE)</f>
        <v>#REF!</v>
      </c>
      <c r="BP5" s="2" t="e">
        <f>VLOOKUP(H5,#REF!,2,FALSE)</f>
        <v>#REF!</v>
      </c>
      <c r="BQ5" s="2" t="e">
        <f>VLOOKUP(H5,#REF!,13,FALSE)</f>
        <v>#REF!</v>
      </c>
      <c r="BR5" s="2" t="e">
        <f>VLOOKUP(H5,#REF!,3,FALSE)</f>
        <v>#REF!</v>
      </c>
    </row>
    <row r="6" spans="1:70" s="2" customFormat="1" ht="15" customHeight="1" outlineLevel="2">
      <c r="A6" s="5">
        <v>31</v>
      </c>
      <c r="B6" s="5" t="s">
        <v>54</v>
      </c>
      <c r="C6" s="5" t="s">
        <v>240</v>
      </c>
      <c r="D6" s="5" t="s">
        <v>7</v>
      </c>
      <c r="E6" s="5" t="s">
        <v>7</v>
      </c>
      <c r="F6" s="5" t="s">
        <v>457</v>
      </c>
      <c r="G6" s="5" t="s">
        <v>144</v>
      </c>
      <c r="H6" s="12">
        <v>30470902</v>
      </c>
      <c r="I6" s="42" t="str">
        <f t="shared" si="0"/>
        <v>30470902-EJECUCION</v>
      </c>
      <c r="J6" s="12" t="s">
        <v>706</v>
      </c>
      <c r="K6" s="307" t="str">
        <f t="shared" si="1"/>
        <v>30470902</v>
      </c>
      <c r="L6" s="15" t="s">
        <v>244</v>
      </c>
      <c r="M6" s="23">
        <v>111719000</v>
      </c>
      <c r="N6" s="34">
        <v>500000</v>
      </c>
      <c r="O6" s="34">
        <v>111219000</v>
      </c>
      <c r="P6" s="310">
        <v>0</v>
      </c>
      <c r="Q6" s="34">
        <v>0</v>
      </c>
      <c r="R6" s="308">
        <v>22662937</v>
      </c>
      <c r="S6" s="34">
        <f t="shared" si="2"/>
        <v>22662937</v>
      </c>
      <c r="T6" s="34">
        <v>0</v>
      </c>
      <c r="U6" s="34">
        <v>0</v>
      </c>
      <c r="V6" s="34">
        <f>P6+Q6+R6+T6+U6</f>
        <v>22662937</v>
      </c>
      <c r="W6" s="34">
        <f>O6-V6</f>
        <v>88556063</v>
      </c>
      <c r="X6" s="34">
        <f>M6-(N6+O6)</f>
        <v>0</v>
      </c>
      <c r="Y6" s="48" t="s">
        <v>239</v>
      </c>
      <c r="Z6" s="48" t="s">
        <v>8</v>
      </c>
      <c r="AA6" s="2" t="s">
        <v>848</v>
      </c>
      <c r="AB6" s="2" t="e">
        <f>VLOOKUP(H6,#REF!,2,FALSE)</f>
        <v>#REF!</v>
      </c>
      <c r="AC6" s="2" t="e">
        <f>VLOOKUP(I6,#REF!,2,FALSE)</f>
        <v>#REF!</v>
      </c>
      <c r="AD6" s="2" t="e">
        <f>VLOOKUP(H6,#REF!,13,FALSE)</f>
        <v>#REF!</v>
      </c>
      <c r="AE6" s="2" t="e">
        <f>VLOOKUP(I6,#REF!,7,FALSE)</f>
        <v>#REF!</v>
      </c>
      <c r="AF6" s="2">
        <v>25</v>
      </c>
      <c r="AG6" s="2" t="e">
        <f>VLOOKUP(H6,#REF!,13,FALSE)</f>
        <v>#REF!</v>
      </c>
      <c r="AH6" s="2" t="e">
        <f>VLOOKUP(I6,#REF!,2,FALSE)</f>
        <v>#REF!</v>
      </c>
      <c r="AJ6" s="185" t="e">
        <f>VLOOKUP(H6,#REF!,3,FALSE)</f>
        <v>#REF!</v>
      </c>
      <c r="AK6" s="185"/>
      <c r="AL6" s="185" t="e">
        <f>VLOOKUP(H6,#REF!,13,FALSE)</f>
        <v>#REF!</v>
      </c>
      <c r="AM6" s="185" t="e">
        <f>VLOOKUP(CLEAN(H6),#REF!,7,FALSE)</f>
        <v>#REF!</v>
      </c>
      <c r="AN6" s="2" t="e">
        <f>VLOOKUP(H6,#REF!,8,FALSE)</f>
        <v>#REF!</v>
      </c>
      <c r="AO6" s="189" t="e">
        <f>VLOOKUP(H6,#REF!,2,FALSE)</f>
        <v>#REF!</v>
      </c>
      <c r="AP6" s="189" t="e">
        <f>VLOOKUP(H6,#REF!,2,FALSE)</f>
        <v>#REF!</v>
      </c>
      <c r="AQ6" s="189"/>
      <c r="AR6" s="2" t="e">
        <f>VLOOKUP(CLEAN(H6),#REF!,2,FALSE)</f>
        <v>#REF!</v>
      </c>
      <c r="AT6" s="2" t="e">
        <f>VLOOKUP(H6,#REF!,13,FALSE)</f>
        <v>#REF!</v>
      </c>
      <c r="AU6" s="2" t="e">
        <f>VLOOKUP(H6,#REF!,13,FALSE)</f>
        <v>#REF!</v>
      </c>
      <c r="AV6" s="2" t="e">
        <f>VLOOKUP(H6,#REF!,13,FALSE)</f>
        <v>#REF!</v>
      </c>
      <c r="AW6" s="2" t="e">
        <f>VLOOKUP(H6,#REF!,13,FALSE)</f>
        <v>#REF!</v>
      </c>
      <c r="AX6" s="2" t="e">
        <f>VLOOKUP(H6,#REF!,9,FALSE)</f>
        <v>#REF!</v>
      </c>
      <c r="AZ6" s="189" t="e">
        <f>VLOOKUP(H6,#REF!,2,FALSE)</f>
        <v>#REF!</v>
      </c>
      <c r="BF6" s="189" t="e">
        <f>VLOOKUP(CLEAN(H6),#REF!,2,FALSE)</f>
        <v>#REF!</v>
      </c>
      <c r="BG6" s="189" t="e">
        <f>T6-BF6</f>
        <v>#REF!</v>
      </c>
      <c r="BO6" s="2" t="e">
        <f>VLOOKUP(H6,#REF!,13,FALSE)</f>
        <v>#REF!</v>
      </c>
      <c r="BP6" s="2" t="e">
        <f>VLOOKUP(H6,#REF!,2,FALSE)</f>
        <v>#REF!</v>
      </c>
      <c r="BQ6" s="2" t="e">
        <f>VLOOKUP(H6,#REF!,13,FALSE)</f>
        <v>#REF!</v>
      </c>
      <c r="BR6" s="2" t="e">
        <f>VLOOKUP(H6,#REF!,3,FALSE)</f>
        <v>#REF!</v>
      </c>
    </row>
    <row r="7" spans="1:70" s="2" customFormat="1" ht="15" customHeight="1" outlineLevel="2">
      <c r="A7" s="5">
        <v>31</v>
      </c>
      <c r="B7" s="5" t="s">
        <v>54</v>
      </c>
      <c r="C7" s="5" t="s">
        <v>311</v>
      </c>
      <c r="D7" s="5" t="s">
        <v>7</v>
      </c>
      <c r="E7" s="5" t="s">
        <v>7</v>
      </c>
      <c r="F7" s="5" t="s">
        <v>89</v>
      </c>
      <c r="G7" s="5" t="s">
        <v>144</v>
      </c>
      <c r="H7" s="12">
        <v>30259772</v>
      </c>
      <c r="I7" s="42" t="str">
        <f t="shared" si="0"/>
        <v>30259772-EJECUCION</v>
      </c>
      <c r="J7" s="12"/>
      <c r="K7" s="307" t="str">
        <f t="shared" si="1"/>
        <v>30259772</v>
      </c>
      <c r="L7" s="15" t="s">
        <v>245</v>
      </c>
      <c r="M7" s="23">
        <v>108282000</v>
      </c>
      <c r="N7" s="34">
        <v>0</v>
      </c>
      <c r="O7" s="34">
        <v>95947458</v>
      </c>
      <c r="P7" s="310">
        <v>0</v>
      </c>
      <c r="Q7" s="34">
        <v>0</v>
      </c>
      <c r="R7" s="308">
        <v>0</v>
      </c>
      <c r="S7" s="34">
        <f t="shared" si="2"/>
        <v>0</v>
      </c>
      <c r="T7" s="34">
        <v>48846200</v>
      </c>
      <c r="U7" s="34">
        <v>26088045</v>
      </c>
      <c r="V7" s="34">
        <f>P7+Q7+R7+T7+U7</f>
        <v>74934245</v>
      </c>
      <c r="W7" s="34">
        <f>O7-V7</f>
        <v>21013213</v>
      </c>
      <c r="X7" s="34">
        <f>M7-(N7+O7)</f>
        <v>12334542</v>
      </c>
      <c r="Y7" s="48" t="s">
        <v>239</v>
      </c>
      <c r="Z7" s="48" t="s">
        <v>8</v>
      </c>
      <c r="AA7" s="2" t="s">
        <v>848</v>
      </c>
      <c r="AB7" s="2" t="e">
        <f>VLOOKUP(H7,#REF!,2,FALSE)</f>
        <v>#REF!</v>
      </c>
      <c r="AC7" s="2" t="e">
        <f>VLOOKUP(I7,#REF!,2,FALSE)</f>
        <v>#REF!</v>
      </c>
      <c r="AD7" s="2" t="e">
        <f>VLOOKUP(H7,#REF!,13,FALSE)</f>
        <v>#REF!</v>
      </c>
      <c r="AE7" s="2" t="e">
        <f>VLOOKUP(I7,#REF!,7,FALSE)</f>
        <v>#REF!</v>
      </c>
      <c r="AF7" s="2">
        <v>25</v>
      </c>
      <c r="AG7" s="2" t="e">
        <f>VLOOKUP(H7,#REF!,13,FALSE)</f>
        <v>#REF!</v>
      </c>
      <c r="AH7" s="2" t="e">
        <f>VLOOKUP(I7,#REF!,2,FALSE)</f>
        <v>#REF!</v>
      </c>
      <c r="AJ7" s="2" t="e">
        <f>VLOOKUP(H7,#REF!,3,FALSE)</f>
        <v>#REF!</v>
      </c>
      <c r="AL7" s="2" t="e">
        <f>VLOOKUP(H7,#REF!,13,FALSE)</f>
        <v>#REF!</v>
      </c>
      <c r="AM7" s="2" t="e">
        <f>VLOOKUP(CLEAN(H7),#REF!,7,FALSE)</f>
        <v>#REF!</v>
      </c>
      <c r="AN7" s="2" t="e">
        <f>VLOOKUP(H7,#REF!,8,FALSE)</f>
        <v>#REF!</v>
      </c>
      <c r="AO7" s="189" t="e">
        <f>VLOOKUP(H7,#REF!,2,FALSE)</f>
        <v>#REF!</v>
      </c>
      <c r="AP7" s="189" t="e">
        <f>VLOOKUP(H7,#REF!,2,FALSE)</f>
        <v>#REF!</v>
      </c>
      <c r="AQ7" s="189" t="e">
        <f t="shared" ref="AQ7" si="3">AO7-AP7</f>
        <v>#REF!</v>
      </c>
      <c r="AR7" s="2" t="e">
        <f>VLOOKUP(CLEAN(H7),#REF!,2,FALSE)</f>
        <v>#REF!</v>
      </c>
      <c r="AT7" s="2" t="e">
        <f>VLOOKUP(H7,#REF!,13,FALSE)</f>
        <v>#REF!</v>
      </c>
      <c r="AU7" s="2" t="e">
        <f>VLOOKUP(H7,#REF!,13,FALSE)</f>
        <v>#REF!</v>
      </c>
      <c r="AV7" s="2" t="e">
        <f>VLOOKUP(H7,#REF!,13,FALSE)</f>
        <v>#REF!</v>
      </c>
      <c r="AW7" s="2" t="e">
        <f>VLOOKUP(H7,#REF!,13,FALSE)</f>
        <v>#REF!</v>
      </c>
      <c r="AX7" s="2" t="e">
        <f>VLOOKUP(H7,#REF!,9,FALSE)</f>
        <v>#REF!</v>
      </c>
      <c r="AZ7" s="189" t="e">
        <f>VLOOKUP(H7,#REF!,2,FALSE)</f>
        <v>#REF!</v>
      </c>
      <c r="BF7" s="189" t="e">
        <f>VLOOKUP(CLEAN(H7),#REF!,2,FALSE)</f>
        <v>#REF!</v>
      </c>
      <c r="BG7" s="189" t="e">
        <f>T7-BF7</f>
        <v>#REF!</v>
      </c>
      <c r="BO7" s="2" t="e">
        <f>VLOOKUP(H7,#REF!,13,FALSE)</f>
        <v>#REF!</v>
      </c>
      <c r="BP7" s="2" t="e">
        <f>VLOOKUP(H7,#REF!,2,FALSE)</f>
        <v>#REF!</v>
      </c>
      <c r="BQ7" s="2" t="e">
        <f>VLOOKUP(H7,#REF!,13,FALSE)</f>
        <v>#REF!</v>
      </c>
      <c r="BR7" s="2" t="e">
        <f>VLOOKUP(H7,#REF!,3,FALSE)</f>
        <v>#REF!</v>
      </c>
    </row>
    <row r="8" spans="1:70" s="2" customFormat="1" ht="15" customHeight="1" outlineLevel="2">
      <c r="A8" s="5">
        <v>31</v>
      </c>
      <c r="B8" s="5" t="s">
        <v>54</v>
      </c>
      <c r="C8" s="5" t="s">
        <v>311</v>
      </c>
      <c r="D8" s="5" t="s">
        <v>7</v>
      </c>
      <c r="E8" s="5" t="s">
        <v>7</v>
      </c>
      <c r="F8" s="5" t="s">
        <v>457</v>
      </c>
      <c r="G8" s="5" t="s">
        <v>144</v>
      </c>
      <c r="H8" s="12">
        <v>30464699</v>
      </c>
      <c r="I8" s="42" t="str">
        <f t="shared" si="0"/>
        <v>30464699-EJECUCION</v>
      </c>
      <c r="J8" s="12"/>
      <c r="K8" s="307" t="str">
        <f t="shared" si="1"/>
        <v>30464699</v>
      </c>
      <c r="L8" s="15" t="s">
        <v>310</v>
      </c>
      <c r="M8" s="23">
        <v>410095000</v>
      </c>
      <c r="N8" s="34">
        <v>1000000</v>
      </c>
      <c r="O8" s="34">
        <v>148501720</v>
      </c>
      <c r="P8" s="310">
        <v>0</v>
      </c>
      <c r="Q8" s="34">
        <v>0</v>
      </c>
      <c r="R8" s="308">
        <v>0</v>
      </c>
      <c r="S8" s="34">
        <f t="shared" si="2"/>
        <v>0</v>
      </c>
      <c r="T8" s="34">
        <v>0</v>
      </c>
      <c r="U8" s="34">
        <v>147937468</v>
      </c>
      <c r="V8" s="34">
        <f>P8+Q8+R8+T8+U8</f>
        <v>147937468</v>
      </c>
      <c r="W8" s="34">
        <f>O8-V8</f>
        <v>564252</v>
      </c>
      <c r="X8" s="34">
        <f>M8-(N8+O8)</f>
        <v>260593280</v>
      </c>
      <c r="Y8" s="48" t="s">
        <v>239</v>
      </c>
      <c r="Z8" s="48" t="s">
        <v>10</v>
      </c>
      <c r="AA8" s="2" t="e">
        <v>#N/A</v>
      </c>
      <c r="AB8" s="2" t="e">
        <f>VLOOKUP(H8,#REF!,2,FALSE)</f>
        <v>#REF!</v>
      </c>
      <c r="AC8" s="2" t="e">
        <f>VLOOKUP(I8,#REF!,2,FALSE)</f>
        <v>#REF!</v>
      </c>
      <c r="AD8" s="2" t="e">
        <f>VLOOKUP(H8,#REF!,13,FALSE)</f>
        <v>#REF!</v>
      </c>
      <c r="AE8" s="2" t="e">
        <f>VLOOKUP(I8,#REF!,7,FALSE)</f>
        <v>#REF!</v>
      </c>
      <c r="AF8" s="2">
        <v>25</v>
      </c>
      <c r="AG8" s="2" t="e">
        <f>VLOOKUP(H8,#REF!,13,FALSE)</f>
        <v>#REF!</v>
      </c>
      <c r="AH8" s="2" t="e">
        <f>VLOOKUP(I8,#REF!,2,FALSE)</f>
        <v>#REF!</v>
      </c>
      <c r="AJ8" s="2" t="e">
        <f>VLOOKUP(H8,#REF!,3,FALSE)</f>
        <v>#REF!</v>
      </c>
      <c r="AL8" s="2" t="e">
        <f>VLOOKUP(H8,#REF!,13,FALSE)</f>
        <v>#REF!</v>
      </c>
      <c r="AM8" s="2" t="e">
        <f>VLOOKUP(CLEAN(H8),#REF!,7,FALSE)</f>
        <v>#REF!</v>
      </c>
      <c r="AN8" s="2" t="e">
        <f>VLOOKUP(H8,#REF!,8,FALSE)</f>
        <v>#REF!</v>
      </c>
      <c r="AO8" s="189" t="e">
        <f>VLOOKUP(H8,#REF!,2,FALSE)</f>
        <v>#REF!</v>
      </c>
      <c r="AP8" s="189" t="e">
        <f>VLOOKUP(H8,#REF!,2,FALSE)</f>
        <v>#REF!</v>
      </c>
      <c r="AQ8" s="189"/>
      <c r="AR8" s="2" t="e">
        <f>VLOOKUP(CLEAN(H8),#REF!,2,FALSE)</f>
        <v>#REF!</v>
      </c>
      <c r="AT8" s="2" t="e">
        <f>VLOOKUP(H8,#REF!,13,FALSE)</f>
        <v>#REF!</v>
      </c>
      <c r="AU8" s="2" t="e">
        <f>VLOOKUP(H8,#REF!,13,FALSE)</f>
        <v>#REF!</v>
      </c>
      <c r="AV8" s="2" t="e">
        <f>VLOOKUP(H8,#REF!,13,FALSE)</f>
        <v>#REF!</v>
      </c>
      <c r="AW8" s="2" t="e">
        <f>VLOOKUP(H8,#REF!,13,FALSE)</f>
        <v>#REF!</v>
      </c>
      <c r="AX8" s="2" t="e">
        <f>VLOOKUP(H8,#REF!,9,FALSE)</f>
        <v>#REF!</v>
      </c>
      <c r="AZ8" s="189" t="e">
        <f>VLOOKUP(H8,#REF!,2,FALSE)</f>
        <v>#REF!</v>
      </c>
      <c r="BF8" s="189" t="e">
        <f>VLOOKUP(CLEAN(H8),#REF!,2,FALSE)</f>
        <v>#REF!</v>
      </c>
      <c r="BG8" s="189" t="e">
        <f>T8-BF8</f>
        <v>#REF!</v>
      </c>
      <c r="BO8" s="2" t="e">
        <f>VLOOKUP(H8,#REF!,13,FALSE)</f>
        <v>#REF!</v>
      </c>
      <c r="BP8" s="2" t="e">
        <f>VLOOKUP(H8,#REF!,2,FALSE)</f>
        <v>#REF!</v>
      </c>
      <c r="BQ8" s="2" t="e">
        <f>VLOOKUP(H8,#REF!,13,FALSE)</f>
        <v>#REF!</v>
      </c>
      <c r="BR8" s="2" t="e">
        <f>VLOOKUP(H8,#REF!,3,FALSE)</f>
        <v>#REF!</v>
      </c>
    </row>
    <row r="9" spans="1:70" s="2" customFormat="1" ht="15" customHeight="1" outlineLevel="2">
      <c r="A9" s="5">
        <v>31</v>
      </c>
      <c r="B9" s="5" t="s">
        <v>54</v>
      </c>
      <c r="C9" s="5" t="s">
        <v>241</v>
      </c>
      <c r="D9" s="5" t="s">
        <v>7</v>
      </c>
      <c r="E9" s="5" t="s">
        <v>7</v>
      </c>
      <c r="F9" s="5" t="s">
        <v>457</v>
      </c>
      <c r="G9" s="5" t="s">
        <v>144</v>
      </c>
      <c r="H9" s="12">
        <v>30043744</v>
      </c>
      <c r="I9" s="42" t="str">
        <f>CONCATENATE(H9,"-",G9)</f>
        <v>30043744-EJECUCION</v>
      </c>
      <c r="J9" s="12"/>
      <c r="K9" s="307" t="str">
        <f>CLEAN(H9)</f>
        <v>30043744</v>
      </c>
      <c r="L9" s="15" t="s">
        <v>132</v>
      </c>
      <c r="M9" s="23">
        <v>7805579000</v>
      </c>
      <c r="N9" s="34">
        <v>2000000</v>
      </c>
      <c r="O9" s="34">
        <f>3000000000-98237439</f>
        <v>2901762561</v>
      </c>
      <c r="P9" s="310">
        <v>0</v>
      </c>
      <c r="Q9" s="34">
        <v>0</v>
      </c>
      <c r="R9" s="308">
        <v>293006790</v>
      </c>
      <c r="S9" s="34">
        <f t="shared" si="2"/>
        <v>293006790</v>
      </c>
      <c r="T9" s="34">
        <v>186005134</v>
      </c>
      <c r="U9" s="34">
        <v>193929849</v>
      </c>
      <c r="V9" s="34">
        <f>P9+Q9+R9+T9+U9</f>
        <v>672941773</v>
      </c>
      <c r="W9" s="34">
        <f>O9-V9</f>
        <v>2228820788</v>
      </c>
      <c r="X9" s="34">
        <f>M9-(N9+O9)</f>
        <v>4901816439</v>
      </c>
      <c r="Y9" s="48" t="s">
        <v>239</v>
      </c>
      <c r="Z9" s="48" t="s">
        <v>8</v>
      </c>
      <c r="AA9" s="2" t="s">
        <v>848</v>
      </c>
      <c r="AB9" s="2" t="e">
        <f>VLOOKUP(H9,#REF!,2,FALSE)</f>
        <v>#REF!</v>
      </c>
      <c r="AC9" s="2" t="e">
        <f>VLOOKUP(I9,#REF!,2,FALSE)</f>
        <v>#REF!</v>
      </c>
      <c r="AD9" s="2" t="e">
        <f>VLOOKUP(H9,#REF!,13,FALSE)</f>
        <v>#REF!</v>
      </c>
      <c r="AE9" s="2" t="e">
        <f>VLOOKUP(I9,#REF!,7,FALSE)</f>
        <v>#REF!</v>
      </c>
      <c r="AF9" s="2">
        <v>25</v>
      </c>
      <c r="AG9" s="2" t="e">
        <f>VLOOKUP(H9,#REF!,13,FALSE)</f>
        <v>#REF!</v>
      </c>
      <c r="AH9" s="2" t="e">
        <f>VLOOKUP(I9,#REF!,2,FALSE)</f>
        <v>#REF!</v>
      </c>
      <c r="AJ9" s="185" t="e">
        <f>VLOOKUP(H9,#REF!,3,FALSE)</f>
        <v>#REF!</v>
      </c>
      <c r="AK9" s="185"/>
      <c r="AL9" s="185" t="e">
        <f>VLOOKUP(H9,#REF!,13,FALSE)</f>
        <v>#REF!</v>
      </c>
      <c r="AM9" s="185" t="e">
        <f>VLOOKUP(CLEAN(H9),#REF!,7,FALSE)</f>
        <v>#REF!</v>
      </c>
      <c r="AN9" s="2" t="e">
        <f>VLOOKUP(H9,#REF!,8,FALSE)</f>
        <v>#REF!</v>
      </c>
      <c r="AO9" s="189" t="e">
        <f>VLOOKUP(H9,#REF!,2,FALSE)</f>
        <v>#REF!</v>
      </c>
      <c r="AP9" s="189" t="e">
        <f>VLOOKUP(H9,#REF!,2,FALSE)</f>
        <v>#REF!</v>
      </c>
      <c r="AQ9" s="189" t="e">
        <f>AO9-AP9</f>
        <v>#REF!</v>
      </c>
      <c r="AR9" s="2" t="e">
        <f>VLOOKUP(CLEAN(H9),#REF!,2,FALSE)</f>
        <v>#REF!</v>
      </c>
      <c r="AT9" s="2" t="e">
        <f>VLOOKUP(H9,#REF!,13,FALSE)</f>
        <v>#REF!</v>
      </c>
      <c r="AU9" s="2" t="e">
        <f>VLOOKUP(H9,#REF!,13,FALSE)</f>
        <v>#REF!</v>
      </c>
      <c r="AV9" s="2" t="e">
        <f>VLOOKUP(H9,#REF!,13,FALSE)</f>
        <v>#REF!</v>
      </c>
      <c r="AW9" s="2" t="e">
        <f>VLOOKUP(H9,#REF!,13,FALSE)</f>
        <v>#REF!</v>
      </c>
      <c r="AX9" s="2" t="e">
        <f>VLOOKUP(H9,#REF!,9,FALSE)</f>
        <v>#REF!</v>
      </c>
      <c r="AZ9" s="189" t="e">
        <f>VLOOKUP(H9,#REF!,2,FALSE)</f>
        <v>#REF!</v>
      </c>
      <c r="BF9" s="189" t="e">
        <f>VLOOKUP(CLEAN(H9),#REF!,2,FALSE)</f>
        <v>#REF!</v>
      </c>
      <c r="BG9" s="189" t="e">
        <f>T9-BF9</f>
        <v>#REF!</v>
      </c>
      <c r="BO9" s="2" t="e">
        <f>VLOOKUP(H9,#REF!,13,FALSE)</f>
        <v>#REF!</v>
      </c>
      <c r="BP9" s="2" t="e">
        <f>VLOOKUP(H9,#REF!,2,FALSE)</f>
        <v>#REF!</v>
      </c>
      <c r="BQ9" s="2" t="e">
        <f>VLOOKUP(H9,#REF!,13,FALSE)</f>
        <v>#REF!</v>
      </c>
      <c r="BR9" s="2" t="e">
        <f>VLOOKUP(H9,#REF!,3,FALSE)</f>
        <v>#REF!</v>
      </c>
    </row>
    <row r="10" spans="1:70" s="2" customFormat="1" ht="15" customHeight="1" outlineLevel="2">
      <c r="A10" s="5">
        <v>31</v>
      </c>
      <c r="B10" s="5" t="s">
        <v>5</v>
      </c>
      <c r="C10" s="5" t="s">
        <v>240</v>
      </c>
      <c r="D10" s="5" t="s">
        <v>7</v>
      </c>
      <c r="E10" s="5" t="s">
        <v>7</v>
      </c>
      <c r="F10" s="5" t="s">
        <v>89</v>
      </c>
      <c r="G10" s="5" t="s">
        <v>144</v>
      </c>
      <c r="H10" s="12">
        <v>30129384</v>
      </c>
      <c r="I10" s="42" t="str">
        <f>CONCATENATE(H10,"-",G10)</f>
        <v>30129384-EJECUCION</v>
      </c>
      <c r="J10" s="12"/>
      <c r="K10" s="307" t="str">
        <f>CLEAN(H10)</f>
        <v>30129384</v>
      </c>
      <c r="L10" s="15" t="s">
        <v>87</v>
      </c>
      <c r="M10" s="23">
        <v>3708617953</v>
      </c>
      <c r="N10" s="34">
        <v>2935142357</v>
      </c>
      <c r="O10" s="34">
        <v>773475596</v>
      </c>
      <c r="P10" s="310">
        <v>115442351</v>
      </c>
      <c r="Q10" s="34">
        <v>0</v>
      </c>
      <c r="R10" s="308">
        <v>74127896</v>
      </c>
      <c r="S10" s="34">
        <f t="shared" si="2"/>
        <v>189570247</v>
      </c>
      <c r="T10" s="34">
        <v>2541368</v>
      </c>
      <c r="U10" s="34">
        <v>15917812</v>
      </c>
      <c r="V10" s="34">
        <f>P10+Q10+R10+T10+U10</f>
        <v>208029427</v>
      </c>
      <c r="W10" s="34">
        <f>O10-V10</f>
        <v>565446169</v>
      </c>
      <c r="X10" s="34">
        <f>M10-(N10+O10)</f>
        <v>0</v>
      </c>
      <c r="Y10" s="48" t="s">
        <v>675</v>
      </c>
      <c r="Z10" s="48" t="s">
        <v>123</v>
      </c>
      <c r="AA10" s="2" t="s">
        <v>848</v>
      </c>
      <c r="AB10" s="2" t="e">
        <f>VLOOKUP(H10,#REF!,2,FALSE)</f>
        <v>#REF!</v>
      </c>
      <c r="AC10" s="2" t="e">
        <f>VLOOKUP(I10,#REF!,2,FALSE)</f>
        <v>#REF!</v>
      </c>
      <c r="AD10" s="2" t="e">
        <f>VLOOKUP(H10,#REF!,13,FALSE)</f>
        <v>#REF!</v>
      </c>
      <c r="AE10" s="2" t="e">
        <f>VLOOKUP(I10,#REF!,7,FALSE)</f>
        <v>#REF!</v>
      </c>
      <c r="AF10" s="2">
        <v>25</v>
      </c>
      <c r="AG10" s="2" t="e">
        <f>VLOOKUP(H10,#REF!,13,FALSE)</f>
        <v>#REF!</v>
      </c>
      <c r="AH10" s="2" t="e">
        <f>VLOOKUP(I10,#REF!,2,FALSE)</f>
        <v>#REF!</v>
      </c>
      <c r="AJ10" s="185" t="e">
        <f>VLOOKUP(H10,#REF!,3,FALSE)</f>
        <v>#REF!</v>
      </c>
      <c r="AK10" s="185"/>
      <c r="AL10" s="185" t="e">
        <f>VLOOKUP(H10,#REF!,13,FALSE)</f>
        <v>#REF!</v>
      </c>
      <c r="AM10" s="185" t="e">
        <f>VLOOKUP(CLEAN(H10),#REF!,7,FALSE)</f>
        <v>#REF!</v>
      </c>
      <c r="AN10" s="2" t="e">
        <f>VLOOKUP(H10,#REF!,8,FALSE)</f>
        <v>#REF!</v>
      </c>
      <c r="AO10" s="189" t="e">
        <f>VLOOKUP(H10,#REF!,2,FALSE)</f>
        <v>#REF!</v>
      </c>
      <c r="AP10" s="189" t="e">
        <f>VLOOKUP(H10,#REF!,2,FALSE)</f>
        <v>#REF!</v>
      </c>
      <c r="AQ10" s="189" t="e">
        <f>AO10-AP10</f>
        <v>#REF!</v>
      </c>
      <c r="AR10" s="189" t="e">
        <f>VLOOKUP(CLEAN(H10),#REF!,2,FALSE)</f>
        <v>#REF!</v>
      </c>
      <c r="AS10" s="189" t="e">
        <f>T10-AR10</f>
        <v>#REF!</v>
      </c>
      <c r="AT10" s="2" t="e">
        <f>VLOOKUP(H10,#REF!,13,FALSE)</f>
        <v>#REF!</v>
      </c>
      <c r="AU10" s="2" t="e">
        <f>VLOOKUP(H10,#REF!,13,FALSE)</f>
        <v>#REF!</v>
      </c>
      <c r="AV10" s="2" t="e">
        <f>VLOOKUP(H10,#REF!,13,FALSE)</f>
        <v>#REF!</v>
      </c>
      <c r="AW10" s="2" t="e">
        <f>VLOOKUP(H10,#REF!,13,FALSE)</f>
        <v>#REF!</v>
      </c>
      <c r="AX10" s="2" t="e">
        <f>VLOOKUP(H10,#REF!,9,FALSE)</f>
        <v>#REF!</v>
      </c>
      <c r="AZ10" s="189" t="e">
        <f>VLOOKUP(H10,#REF!,2,FALSE)</f>
        <v>#REF!</v>
      </c>
      <c r="BF10" s="189" t="e">
        <f>VLOOKUP(CLEAN(H10),#REF!,2,FALSE)</f>
        <v>#REF!</v>
      </c>
      <c r="BG10" s="189" t="e">
        <f>T10-BF10</f>
        <v>#REF!</v>
      </c>
      <c r="BO10" s="2" t="e">
        <f>VLOOKUP(H10,#REF!,13,FALSE)</f>
        <v>#REF!</v>
      </c>
      <c r="BP10" s="2" t="e">
        <f>VLOOKUP(H10,#REF!,2,FALSE)</f>
        <v>#REF!</v>
      </c>
      <c r="BQ10" s="2" t="e">
        <f>VLOOKUP(H10,#REF!,13,FALSE)</f>
        <v>#REF!</v>
      </c>
      <c r="BR10" s="2" t="e">
        <f>VLOOKUP(H10,#REF!,3,FALSE)</f>
        <v>#REF!</v>
      </c>
    </row>
    <row r="11" spans="1:70" ht="15" customHeight="1" outlineLevel="2">
      <c r="A11" s="7"/>
      <c r="B11" s="7"/>
      <c r="C11" s="3"/>
      <c r="D11" s="7"/>
      <c r="E11" s="7"/>
      <c r="F11" s="7"/>
      <c r="G11" s="7"/>
      <c r="H11" s="11"/>
      <c r="I11" s="11"/>
      <c r="J11" s="11"/>
      <c r="K11" s="11"/>
      <c r="L11" s="17" t="s">
        <v>691</v>
      </c>
      <c r="M11" s="27">
        <f t="shared" ref="M11:X11" si="4">SUBTOTAL(9,M4:M10)</f>
        <v>15740247953</v>
      </c>
      <c r="N11" s="27">
        <f t="shared" si="4"/>
        <v>3368167232</v>
      </c>
      <c r="O11" s="27">
        <f t="shared" si="4"/>
        <v>5918075335</v>
      </c>
      <c r="P11" s="24">
        <f t="shared" si="4"/>
        <v>260033480</v>
      </c>
      <c r="Q11" s="24">
        <f t="shared" si="4"/>
        <v>150621228</v>
      </c>
      <c r="R11" s="24">
        <f t="shared" si="4"/>
        <v>534885506</v>
      </c>
      <c r="S11" s="27">
        <f t="shared" si="4"/>
        <v>945540214</v>
      </c>
      <c r="T11" s="27">
        <f t="shared" si="4"/>
        <v>479708092</v>
      </c>
      <c r="U11" s="27">
        <f t="shared" si="4"/>
        <v>767460930</v>
      </c>
      <c r="V11" s="27">
        <f t="shared" si="4"/>
        <v>2192709236</v>
      </c>
      <c r="W11" s="27">
        <f t="shared" si="4"/>
        <v>3725366099</v>
      </c>
      <c r="X11" s="27">
        <f t="shared" si="4"/>
        <v>6454005386</v>
      </c>
      <c r="Y11" s="47"/>
      <c r="Z11" s="47"/>
      <c r="AM11" s="185" t="e">
        <f>VLOOKUP(CLEAN(H11),#REF!,7,FALSE)</f>
        <v>#REF!</v>
      </c>
      <c r="AO11"/>
      <c r="AP11"/>
      <c r="AQ11"/>
      <c r="AR11" s="2" t="e">
        <f>VLOOKUP(CLEAN(H11),#REF!,2,FALSE)</f>
        <v>#REF!</v>
      </c>
      <c r="AZ11" s="2" t="e">
        <f>VLOOKUP(H11,#REF!,2,FALSE)</f>
        <v>#REF!</v>
      </c>
      <c r="BO11" s="2" t="e">
        <f>VLOOKUP(H11,#REF!,13,FALSE)</f>
        <v>#REF!</v>
      </c>
      <c r="BQ11" s="2" t="e">
        <f>VLOOKUP(H11,#REF!,13,FALSE)</f>
        <v>#REF!</v>
      </c>
    </row>
    <row r="12" spans="1:70" ht="15" customHeight="1" outlineLevel="2">
      <c r="A12" s="7"/>
      <c r="B12" s="7"/>
      <c r="C12" s="7"/>
      <c r="D12" s="7"/>
      <c r="E12" s="7"/>
      <c r="F12" s="7"/>
      <c r="G12" s="7"/>
      <c r="H12" s="11"/>
      <c r="I12" s="11"/>
      <c r="J12" s="11"/>
      <c r="K12" s="11"/>
      <c r="L12" s="292"/>
      <c r="M12" s="2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47"/>
      <c r="Z12" s="47"/>
      <c r="AM12" s="185" t="e">
        <f>VLOOKUP(CLEAN(H12),#REF!,7,FALSE)</f>
        <v>#REF!</v>
      </c>
      <c r="AO12"/>
      <c r="AP12"/>
      <c r="AQ12"/>
      <c r="AR12" s="2" t="e">
        <f>VLOOKUP(CLEAN(H12),#REF!,2,FALSE)</f>
        <v>#REF!</v>
      </c>
      <c r="AZ12" s="2" t="e">
        <f>VLOOKUP(H12,#REF!,2,FALSE)</f>
        <v>#REF!</v>
      </c>
      <c r="BO12" s="2" t="e">
        <f>VLOOKUP(H12,#REF!,13,FALSE)</f>
        <v>#REF!</v>
      </c>
      <c r="BP12" s="293"/>
      <c r="BQ12" s="2" t="e">
        <f>VLOOKUP(H12,#REF!,13,FALSE)</f>
        <v>#REF!</v>
      </c>
    </row>
    <row r="13" spans="1:70" ht="15" customHeight="1" outlineLevel="2">
      <c r="A13" s="7"/>
      <c r="B13" s="7"/>
      <c r="C13" s="7"/>
      <c r="D13" s="7"/>
      <c r="E13" s="7"/>
      <c r="F13" s="7"/>
      <c r="G13" s="7"/>
      <c r="H13" s="11"/>
      <c r="I13" s="11"/>
      <c r="J13" s="11"/>
      <c r="K13" s="11"/>
      <c r="L13" s="18" t="s">
        <v>698</v>
      </c>
      <c r="M13" s="22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47"/>
      <c r="Z13" s="47"/>
      <c r="AM13" s="185" t="e">
        <f>VLOOKUP(CLEAN(H13),#REF!,7,FALSE)</f>
        <v>#REF!</v>
      </c>
      <c r="AO13"/>
      <c r="AP13"/>
      <c r="AQ13"/>
      <c r="AR13" s="2" t="e">
        <f>VLOOKUP(CLEAN(H13),#REF!,2,FALSE)</f>
        <v>#REF!</v>
      </c>
      <c r="AZ13" s="2" t="e">
        <f>VLOOKUP(H13,#REF!,2,FALSE)</f>
        <v>#REF!</v>
      </c>
      <c r="BO13" s="2" t="e">
        <f>VLOOKUP(H13,#REF!,13,FALSE)</f>
        <v>#REF!</v>
      </c>
      <c r="BQ13" s="2" t="e">
        <f>VLOOKUP(H13,#REF!,13,FALSE)</f>
        <v>#REF!</v>
      </c>
    </row>
    <row r="14" spans="1:70" s="2" customFormat="1" ht="15" customHeight="1" outlineLevel="2">
      <c r="A14" s="5">
        <v>31</v>
      </c>
      <c r="B14" s="5" t="s">
        <v>54</v>
      </c>
      <c r="C14" s="5" t="s">
        <v>240</v>
      </c>
      <c r="D14" s="5" t="s">
        <v>7</v>
      </c>
      <c r="E14" s="5" t="s">
        <v>7</v>
      </c>
      <c r="F14" s="5" t="s">
        <v>457</v>
      </c>
      <c r="G14" s="5" t="s">
        <v>144</v>
      </c>
      <c r="H14" s="12">
        <v>30126279</v>
      </c>
      <c r="I14" s="42" t="str">
        <f t="shared" ref="I14:I15" si="5">CONCATENATE(H14,"-",G14)</f>
        <v>30126279-EJECUCION</v>
      </c>
      <c r="J14" s="12" t="s">
        <v>707</v>
      </c>
      <c r="K14" s="307" t="str">
        <f t="shared" ref="K14:K15" si="6">CLEAN(H14)</f>
        <v>30126279</v>
      </c>
      <c r="L14" s="15" t="s">
        <v>74</v>
      </c>
      <c r="M14" s="23">
        <v>1887501000</v>
      </c>
      <c r="N14" s="34">
        <v>19997985</v>
      </c>
      <c r="O14" s="34">
        <f>663638000-15938590-54772110</f>
        <v>592927300</v>
      </c>
      <c r="P14" s="310">
        <v>0</v>
      </c>
      <c r="Q14" s="34">
        <v>0</v>
      </c>
      <c r="R14" s="308">
        <v>0</v>
      </c>
      <c r="S14" s="34">
        <f t="shared" ref="S14:S15" si="7">P14+Q14+R14</f>
        <v>0</v>
      </c>
      <c r="T14" s="34">
        <v>0</v>
      </c>
      <c r="U14" s="34">
        <v>0</v>
      </c>
      <c r="V14" s="34">
        <f>P14+Q14+R14+T14+U14</f>
        <v>0</v>
      </c>
      <c r="W14" s="34">
        <f>O14-V14</f>
        <v>592927300</v>
      </c>
      <c r="X14" s="34">
        <f>M14-(N14+O14)</f>
        <v>1274575715</v>
      </c>
      <c r="Y14" s="48" t="s">
        <v>649</v>
      </c>
      <c r="Z14" s="48" t="s">
        <v>8</v>
      </c>
      <c r="AA14" s="2" t="e">
        <v>#N/A</v>
      </c>
      <c r="AB14" s="2" t="e">
        <f>VLOOKUP(H14,#REF!,2,FALSE)</f>
        <v>#REF!</v>
      </c>
      <c r="AC14" s="2" t="e">
        <f>VLOOKUP(I14,#REF!,2,FALSE)</f>
        <v>#REF!</v>
      </c>
      <c r="AD14" s="2" t="e">
        <f>VLOOKUP(H14,#REF!,13,FALSE)</f>
        <v>#REF!</v>
      </c>
      <c r="AE14" s="2" t="e">
        <f>VLOOKUP(I14,#REF!,7,FALSE)</f>
        <v>#REF!</v>
      </c>
      <c r="AF14" s="2">
        <v>25</v>
      </c>
      <c r="AG14" s="2" t="e">
        <f>VLOOKUP(H14,#REF!,13,FALSE)</f>
        <v>#REF!</v>
      </c>
      <c r="AH14" s="2" t="e">
        <f>VLOOKUP(I14,#REF!,2,FALSE)</f>
        <v>#REF!</v>
      </c>
      <c r="AJ14" s="185" t="e">
        <f>VLOOKUP(H14,#REF!,3,FALSE)</f>
        <v>#REF!</v>
      </c>
      <c r="AK14" s="185"/>
      <c r="AL14" s="185" t="e">
        <f>VLOOKUP(H14,#REF!,13,FALSE)</f>
        <v>#REF!</v>
      </c>
      <c r="AM14" s="185" t="e">
        <f>VLOOKUP(CLEAN(H14),#REF!,7,FALSE)</f>
        <v>#REF!</v>
      </c>
      <c r="AN14" s="2" t="e">
        <f>VLOOKUP(H14,#REF!,8,FALSE)</f>
        <v>#REF!</v>
      </c>
      <c r="AO14" s="189" t="e">
        <f>VLOOKUP(H14,#REF!,2,FALSE)</f>
        <v>#REF!</v>
      </c>
      <c r="AP14" s="189" t="e">
        <f>VLOOKUP(H14,#REF!,2,FALSE)</f>
        <v>#REF!</v>
      </c>
      <c r="AQ14" s="189"/>
      <c r="AR14" s="2" t="e">
        <f>VLOOKUP(CLEAN(H14),#REF!,2,FALSE)</f>
        <v>#REF!</v>
      </c>
      <c r="AT14" s="2" t="e">
        <f>VLOOKUP(H14,#REF!,13,FALSE)</f>
        <v>#REF!</v>
      </c>
      <c r="AU14" s="2" t="e">
        <f>VLOOKUP(H14,#REF!,13,FALSE)</f>
        <v>#REF!</v>
      </c>
      <c r="AV14" s="2" t="e">
        <f>VLOOKUP(H14,#REF!,13,FALSE)</f>
        <v>#REF!</v>
      </c>
      <c r="AW14" s="2" t="e">
        <f>VLOOKUP(H14,#REF!,13,FALSE)</f>
        <v>#REF!</v>
      </c>
      <c r="AX14" s="2" t="e">
        <f>VLOOKUP(H14,#REF!,9,FALSE)</f>
        <v>#REF!</v>
      </c>
      <c r="AZ14" s="2" t="e">
        <f>VLOOKUP(H14,#REF!,2,FALSE)</f>
        <v>#REF!</v>
      </c>
      <c r="BF14" s="189" t="e">
        <f>VLOOKUP(CLEAN(H14),#REF!,2,FALSE)</f>
        <v>#REF!</v>
      </c>
      <c r="BG14" s="189" t="e">
        <f>T14-BF14</f>
        <v>#REF!</v>
      </c>
      <c r="BO14" s="2" t="e">
        <f>VLOOKUP(H14,#REF!,13,FALSE)</f>
        <v>#REF!</v>
      </c>
      <c r="BP14" s="2" t="e">
        <f>VLOOKUP(H14,#REF!,2,FALSE)</f>
        <v>#REF!</v>
      </c>
      <c r="BQ14" s="2" t="e">
        <f>VLOOKUP(H14,#REF!,13,FALSE)</f>
        <v>#REF!</v>
      </c>
      <c r="BR14" s="2" t="e">
        <f>VLOOKUP(H14,#REF!,3,FALSE)</f>
        <v>#REF!</v>
      </c>
    </row>
    <row r="15" spans="1:70" s="2" customFormat="1" ht="15" customHeight="1" outlineLevel="2">
      <c r="A15" s="5">
        <v>31</v>
      </c>
      <c r="B15" s="5" t="s">
        <v>54</v>
      </c>
      <c r="C15" s="5" t="s">
        <v>240</v>
      </c>
      <c r="D15" s="5" t="s">
        <v>7</v>
      </c>
      <c r="E15" s="5" t="s">
        <v>7</v>
      </c>
      <c r="F15" s="5" t="s">
        <v>457</v>
      </c>
      <c r="G15" s="5" t="s">
        <v>144</v>
      </c>
      <c r="H15" s="12">
        <v>30087456</v>
      </c>
      <c r="I15" s="42" t="str">
        <f t="shared" si="5"/>
        <v>30087456-EJECUCION</v>
      </c>
      <c r="J15" s="12"/>
      <c r="K15" s="307" t="str">
        <f t="shared" si="6"/>
        <v>30087456</v>
      </c>
      <c r="L15" s="15" t="s">
        <v>505</v>
      </c>
      <c r="M15" s="23">
        <v>635599000</v>
      </c>
      <c r="N15" s="34">
        <v>0</v>
      </c>
      <c r="O15" s="34">
        <v>300000000</v>
      </c>
      <c r="P15" s="310">
        <v>0</v>
      </c>
      <c r="Q15" s="34">
        <v>0</v>
      </c>
      <c r="R15" s="308">
        <v>0</v>
      </c>
      <c r="S15" s="34">
        <f t="shared" si="7"/>
        <v>0</v>
      </c>
      <c r="T15" s="34">
        <v>0</v>
      </c>
      <c r="U15" s="34">
        <v>0</v>
      </c>
      <c r="V15" s="34">
        <f>P15+Q15+R15+T15+U15</f>
        <v>0</v>
      </c>
      <c r="W15" s="34">
        <f>O15-V15</f>
        <v>300000000</v>
      </c>
      <c r="X15" s="34">
        <f>M15-(N15+O15)</f>
        <v>335599000</v>
      </c>
      <c r="Y15" s="48" t="s">
        <v>649</v>
      </c>
      <c r="Z15" s="48" t="s">
        <v>8</v>
      </c>
      <c r="AA15" s="2" t="e">
        <v>#N/A</v>
      </c>
      <c r="AB15" s="2" t="e">
        <f>VLOOKUP(H15,#REF!,2,FALSE)</f>
        <v>#REF!</v>
      </c>
      <c r="AC15" s="2" t="e">
        <f>VLOOKUP(I15,#REF!,2,FALSE)</f>
        <v>#REF!</v>
      </c>
      <c r="AD15" s="2" t="e">
        <f>VLOOKUP(H15,#REF!,13,FALSE)</f>
        <v>#REF!</v>
      </c>
      <c r="AE15" s="2" t="e">
        <f>VLOOKUP(I15,#REF!,7,FALSE)</f>
        <v>#REF!</v>
      </c>
      <c r="AF15" s="2">
        <v>25</v>
      </c>
      <c r="AG15" s="2" t="e">
        <f>VLOOKUP(H15,#REF!,13,FALSE)</f>
        <v>#REF!</v>
      </c>
      <c r="AH15" s="2" t="e">
        <f>VLOOKUP(I15,#REF!,2,FALSE)</f>
        <v>#REF!</v>
      </c>
      <c r="AJ15" s="185" t="e">
        <f>VLOOKUP(H15,#REF!,3,FALSE)</f>
        <v>#REF!</v>
      </c>
      <c r="AK15" s="185"/>
      <c r="AL15" s="185" t="e">
        <f>VLOOKUP(H15,#REF!,13,FALSE)</f>
        <v>#REF!</v>
      </c>
      <c r="AM15" s="185" t="e">
        <f>VLOOKUP(CLEAN(H15),#REF!,7,FALSE)</f>
        <v>#REF!</v>
      </c>
      <c r="AN15" s="2" t="e">
        <f>VLOOKUP(H15,#REF!,8,FALSE)</f>
        <v>#REF!</v>
      </c>
      <c r="AO15" s="189" t="e">
        <f>VLOOKUP(H15,#REF!,2,FALSE)</f>
        <v>#REF!</v>
      </c>
      <c r="AP15" s="189" t="e">
        <f>VLOOKUP(H15,#REF!,2,FALSE)</f>
        <v>#REF!</v>
      </c>
      <c r="AQ15" s="189"/>
      <c r="AR15" s="2" t="e">
        <f>VLOOKUP(CLEAN(H15),#REF!,2,FALSE)</f>
        <v>#REF!</v>
      </c>
      <c r="AT15" s="2" t="e">
        <f>VLOOKUP(H15,#REF!,13,FALSE)</f>
        <v>#REF!</v>
      </c>
      <c r="AU15" s="2" t="e">
        <f>VLOOKUP(H15,#REF!,13,FALSE)</f>
        <v>#REF!</v>
      </c>
      <c r="AV15" s="2" t="e">
        <f>VLOOKUP(H15,#REF!,13,FALSE)</f>
        <v>#REF!</v>
      </c>
      <c r="AW15" s="2" t="e">
        <f>VLOOKUP(H15,#REF!,13,FALSE)</f>
        <v>#REF!</v>
      </c>
      <c r="AX15" s="2" t="e">
        <f>VLOOKUP(H15,#REF!,9,FALSE)</f>
        <v>#REF!</v>
      </c>
      <c r="AZ15" s="2" t="e">
        <f>VLOOKUP(H15,#REF!,2,FALSE)</f>
        <v>#REF!</v>
      </c>
      <c r="BF15" s="189" t="e">
        <f>VLOOKUP(CLEAN(H15),#REF!,2,FALSE)</f>
        <v>#REF!</v>
      </c>
      <c r="BG15" s="189" t="e">
        <f>T15-BF15</f>
        <v>#REF!</v>
      </c>
      <c r="BO15" s="2" t="e">
        <f>VLOOKUP(H15,#REF!,13,FALSE)</f>
        <v>#REF!</v>
      </c>
      <c r="BP15" s="2" t="e">
        <f>VLOOKUP(H15,#REF!,2,FALSE)</f>
        <v>#REF!</v>
      </c>
      <c r="BQ15" s="2" t="e">
        <f>VLOOKUP(H15,#REF!,13,FALSE)</f>
        <v>#REF!</v>
      </c>
      <c r="BR15" s="2" t="e">
        <f>VLOOKUP(H15,#REF!,3,FALSE)</f>
        <v>#REF!</v>
      </c>
    </row>
    <row r="16" spans="1:70" ht="15" customHeight="1" outlineLevel="2">
      <c r="A16" s="7"/>
      <c r="B16" s="7"/>
      <c r="C16" s="7"/>
      <c r="D16" s="7"/>
      <c r="E16" s="7"/>
      <c r="F16" s="7"/>
      <c r="G16" s="7"/>
      <c r="H16" s="11"/>
      <c r="I16" s="11"/>
      <c r="J16" s="11"/>
      <c r="K16" s="11"/>
      <c r="L16" s="17" t="s">
        <v>692</v>
      </c>
      <c r="M16" s="27">
        <f>SUBTOTAL(9,M14:M15)</f>
        <v>2523100000</v>
      </c>
      <c r="N16" s="27">
        <f t="shared" ref="N16:O16" si="8">SUBTOTAL(9,N14:N15)</f>
        <v>19997985</v>
      </c>
      <c r="O16" s="27">
        <f t="shared" si="8"/>
        <v>892927300</v>
      </c>
      <c r="P16" s="24">
        <f t="shared" ref="P16:X16" si="9">SUBTOTAL(9,P14:P15)</f>
        <v>0</v>
      </c>
      <c r="Q16" s="24">
        <f t="shared" si="9"/>
        <v>0</v>
      </c>
      <c r="R16" s="24">
        <f t="shared" si="9"/>
        <v>0</v>
      </c>
      <c r="S16" s="27">
        <f t="shared" si="9"/>
        <v>0</v>
      </c>
      <c r="T16" s="27">
        <f t="shared" si="9"/>
        <v>0</v>
      </c>
      <c r="U16" s="27">
        <f t="shared" si="9"/>
        <v>0</v>
      </c>
      <c r="V16" s="27">
        <f t="shared" si="9"/>
        <v>0</v>
      </c>
      <c r="W16" s="27">
        <f t="shared" si="9"/>
        <v>892927300</v>
      </c>
      <c r="X16" s="27">
        <f t="shared" si="9"/>
        <v>1610174715</v>
      </c>
      <c r="Y16" s="47"/>
      <c r="Z16" s="47"/>
      <c r="AM16" s="185" t="e">
        <f>VLOOKUP(CLEAN(H16),#REF!,7,FALSE)</f>
        <v>#REF!</v>
      </c>
      <c r="AO16"/>
      <c r="AP16"/>
      <c r="AQ16"/>
      <c r="AR16" s="2" t="e">
        <f>VLOOKUP(CLEAN(H16),#REF!,2,FALSE)</f>
        <v>#REF!</v>
      </c>
      <c r="AZ16" s="2" t="e">
        <f>VLOOKUP(H16,#REF!,2,FALSE)</f>
        <v>#REF!</v>
      </c>
      <c r="BO16" s="2" t="e">
        <f>VLOOKUP(H16,#REF!,13,FALSE)</f>
        <v>#REF!</v>
      </c>
      <c r="BQ16" s="2" t="e">
        <f>VLOOKUP(H16,#REF!,13,FALSE)</f>
        <v>#REF!</v>
      </c>
    </row>
    <row r="17" spans="1:70" ht="15" customHeight="1" outlineLevel="2">
      <c r="A17" s="7"/>
      <c r="B17" s="7"/>
      <c r="C17" s="7"/>
      <c r="D17" s="7"/>
      <c r="E17" s="7"/>
      <c r="F17" s="7"/>
      <c r="G17" s="7"/>
      <c r="H17" s="11"/>
      <c r="I17" s="11"/>
      <c r="J17" s="11"/>
      <c r="K17" s="11"/>
      <c r="L17" s="294"/>
      <c r="M17" s="22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47"/>
      <c r="Z17" s="47"/>
      <c r="AM17" s="185" t="e">
        <f>VLOOKUP(CLEAN(H17),#REF!,7,FALSE)</f>
        <v>#REF!</v>
      </c>
      <c r="AO17"/>
      <c r="AP17"/>
      <c r="AQ17"/>
      <c r="AR17" s="2" t="e">
        <f>VLOOKUP(CLEAN(H17),#REF!,2,FALSE)</f>
        <v>#REF!</v>
      </c>
      <c r="AZ17" s="2" t="e">
        <f>VLOOKUP(H17,#REF!,2,FALSE)</f>
        <v>#REF!</v>
      </c>
      <c r="BO17" s="2" t="e">
        <f>VLOOKUP(H17,#REF!,13,FALSE)</f>
        <v>#REF!</v>
      </c>
      <c r="BP17" s="293"/>
      <c r="BQ17" s="2" t="e">
        <f>VLOOKUP(H17,#REF!,13,FALSE)</f>
        <v>#REF!</v>
      </c>
    </row>
    <row r="18" spans="1:70" ht="15" customHeight="1" outlineLevel="2">
      <c r="A18" s="7"/>
      <c r="B18" s="7"/>
      <c r="C18" s="7"/>
      <c r="D18" s="7"/>
      <c r="E18" s="7"/>
      <c r="F18" s="7"/>
      <c r="G18" s="7"/>
      <c r="H18" s="11"/>
      <c r="I18" s="11"/>
      <c r="J18" s="11"/>
      <c r="K18" s="11"/>
      <c r="L18" s="18" t="s">
        <v>701</v>
      </c>
      <c r="M18" s="2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47"/>
      <c r="Z18" s="47"/>
      <c r="AO18"/>
      <c r="AP18"/>
      <c r="AQ18"/>
      <c r="AR18" s="2"/>
      <c r="AZ18" s="2"/>
      <c r="BO18" s="2"/>
      <c r="BQ18" s="2" t="e">
        <f>VLOOKUP(H18,#REF!,13,FALSE)</f>
        <v>#REF!</v>
      </c>
    </row>
    <row r="19" spans="1:70" s="2" customFormat="1" ht="15" customHeight="1" outlineLevel="2">
      <c r="A19" s="5">
        <v>31</v>
      </c>
      <c r="B19" s="5" t="s">
        <v>11</v>
      </c>
      <c r="C19" s="5" t="s">
        <v>251</v>
      </c>
      <c r="D19" s="5" t="s">
        <v>7</v>
      </c>
      <c r="E19" s="5" t="s">
        <v>7</v>
      </c>
      <c r="F19" s="5" t="s">
        <v>457</v>
      </c>
      <c r="G19" s="5" t="s">
        <v>144</v>
      </c>
      <c r="H19" s="12">
        <v>30135711</v>
      </c>
      <c r="I19" s="42" t="str">
        <f>CONCATENATE(H19,"-",G19)</f>
        <v>30135711-EJECUCION</v>
      </c>
      <c r="J19" s="12"/>
      <c r="K19" s="307" t="str">
        <f>CLEAN(H19)</f>
        <v>30135711</v>
      </c>
      <c r="L19" s="15" t="s">
        <v>330</v>
      </c>
      <c r="M19" s="23">
        <v>151831000</v>
      </c>
      <c r="N19" s="34">
        <v>0</v>
      </c>
      <c r="O19" s="34">
        <v>7591550</v>
      </c>
      <c r="P19" s="310">
        <v>0</v>
      </c>
      <c r="Q19" s="34">
        <v>0</v>
      </c>
      <c r="R19" s="308">
        <v>0</v>
      </c>
      <c r="S19" s="34">
        <f>P19+Q19+R19</f>
        <v>0</v>
      </c>
      <c r="T19" s="34">
        <v>0</v>
      </c>
      <c r="U19" s="34">
        <v>0</v>
      </c>
      <c r="V19" s="34">
        <f>P19+Q19+R19+T19+U19</f>
        <v>0</v>
      </c>
      <c r="W19" s="34">
        <f>O19-V19</f>
        <v>7591550</v>
      </c>
      <c r="X19" s="34">
        <f>M19-(N19+O19)</f>
        <v>144239450</v>
      </c>
      <c r="Y19" s="48" t="s">
        <v>418</v>
      </c>
      <c r="Z19" s="48" t="s">
        <v>8</v>
      </c>
      <c r="AA19" s="2" t="e">
        <v>#N/A</v>
      </c>
      <c r="AB19" s="2" t="e">
        <f>VLOOKUP(H19,#REF!,2,FALSE)</f>
        <v>#REF!</v>
      </c>
      <c r="AC19" s="2" t="e">
        <f>VLOOKUP(I19,#REF!,2,FALSE)</f>
        <v>#REF!</v>
      </c>
      <c r="AD19" s="2" t="e">
        <f>VLOOKUP(H19,#REF!,13,FALSE)</f>
        <v>#REF!</v>
      </c>
      <c r="AE19" s="2" t="e">
        <f>VLOOKUP(I19,#REF!,7,FALSE)</f>
        <v>#REF!</v>
      </c>
      <c r="AF19" s="2">
        <v>25</v>
      </c>
      <c r="AG19" s="2" t="e">
        <f>VLOOKUP(H19,#REF!,13,FALSE)</f>
        <v>#REF!</v>
      </c>
      <c r="AH19" s="2" t="e">
        <f>VLOOKUP(I19,#REF!,2,FALSE)</f>
        <v>#REF!</v>
      </c>
      <c r="AJ19" s="185" t="e">
        <f>VLOOKUP(H19,#REF!,3,FALSE)</f>
        <v>#REF!</v>
      </c>
      <c r="AK19" s="185"/>
      <c r="AL19" s="185" t="e">
        <f>VLOOKUP(H19,#REF!,13,FALSE)</f>
        <v>#REF!</v>
      </c>
      <c r="AM19" s="185" t="e">
        <f>VLOOKUP(CLEAN(H19),#REF!,7,FALSE)</f>
        <v>#REF!</v>
      </c>
      <c r="AN19" s="2" t="e">
        <f>VLOOKUP(H19,#REF!,8,FALSE)</f>
        <v>#REF!</v>
      </c>
      <c r="AO19" s="189" t="e">
        <f>VLOOKUP(H19,#REF!,2,FALSE)</f>
        <v>#REF!</v>
      </c>
      <c r="AP19" s="189" t="e">
        <f>VLOOKUP(H19,#REF!,2,FALSE)</f>
        <v>#REF!</v>
      </c>
      <c r="AQ19" s="189"/>
      <c r="AR19" s="2" t="e">
        <f>VLOOKUP(CLEAN(H19),#REF!,2,FALSE)</f>
        <v>#REF!</v>
      </c>
      <c r="AT19" s="2" t="e">
        <f>VLOOKUP(H19,#REF!,13,FALSE)</f>
        <v>#REF!</v>
      </c>
      <c r="AU19" s="2" t="e">
        <f>VLOOKUP(H19,#REF!,13,FALSE)</f>
        <v>#REF!</v>
      </c>
      <c r="AV19" s="2" t="e">
        <f>VLOOKUP(H19,#REF!,13,FALSE)</f>
        <v>#REF!</v>
      </c>
      <c r="AW19" s="2" t="e">
        <f>VLOOKUP(H19,#REF!,13,FALSE)</f>
        <v>#REF!</v>
      </c>
      <c r="AX19" s="2" t="e">
        <f>VLOOKUP(H19,#REF!,9,FALSE)</f>
        <v>#REF!</v>
      </c>
      <c r="AZ19" s="189" t="e">
        <f>VLOOKUP(H19,#REF!,2,FALSE)</f>
        <v>#REF!</v>
      </c>
      <c r="BF19" s="189" t="e">
        <f>VLOOKUP(CLEAN(H19),#REF!,2,FALSE)</f>
        <v>#REF!</v>
      </c>
      <c r="BG19" s="189" t="e">
        <f>T19-BF19</f>
        <v>#REF!</v>
      </c>
      <c r="BO19" s="2" t="e">
        <f>VLOOKUP(H19,#REF!,13,FALSE)</f>
        <v>#REF!</v>
      </c>
      <c r="BP19" s="2" t="e">
        <f>VLOOKUP(H19,#REF!,2,FALSE)</f>
        <v>#REF!</v>
      </c>
      <c r="BQ19" s="2" t="e">
        <f>VLOOKUP(H19,#REF!,13,FALSE)</f>
        <v>#REF!</v>
      </c>
      <c r="BR19" s="2" t="e">
        <f>VLOOKUP(H19,#REF!,3,FALSE)</f>
        <v>#REF!</v>
      </c>
    </row>
    <row r="20" spans="1:70" ht="15" customHeight="1" outlineLevel="2">
      <c r="A20" s="7"/>
      <c r="B20" s="7"/>
      <c r="C20" s="7"/>
      <c r="D20" s="7"/>
      <c r="E20" s="7"/>
      <c r="F20" s="7"/>
      <c r="G20" s="7"/>
      <c r="H20" s="11"/>
      <c r="I20" s="11"/>
      <c r="J20" s="11"/>
      <c r="K20" s="11"/>
      <c r="L20" s="17" t="s">
        <v>702</v>
      </c>
      <c r="M20" s="27">
        <f>SUBTOTAL(9,M19)</f>
        <v>151831000</v>
      </c>
      <c r="N20" s="27">
        <f t="shared" ref="N20:O20" si="10">SUBTOTAL(9,N19)</f>
        <v>0</v>
      </c>
      <c r="O20" s="27">
        <f t="shared" si="10"/>
        <v>7591550</v>
      </c>
      <c r="P20" s="24">
        <f t="shared" ref="P20:X20" si="11">SUBTOTAL(9,P19)</f>
        <v>0</v>
      </c>
      <c r="Q20" s="24">
        <f t="shared" si="11"/>
        <v>0</v>
      </c>
      <c r="R20" s="24">
        <f t="shared" si="11"/>
        <v>0</v>
      </c>
      <c r="S20" s="27">
        <f t="shared" si="11"/>
        <v>0</v>
      </c>
      <c r="T20" s="27">
        <f t="shared" si="11"/>
        <v>0</v>
      </c>
      <c r="U20" s="27">
        <f t="shared" si="11"/>
        <v>0</v>
      </c>
      <c r="V20" s="27">
        <f t="shared" si="11"/>
        <v>0</v>
      </c>
      <c r="W20" s="27">
        <f t="shared" si="11"/>
        <v>7591550</v>
      </c>
      <c r="X20" s="27">
        <f t="shared" si="11"/>
        <v>144239450</v>
      </c>
      <c r="Y20" s="47"/>
      <c r="Z20" s="47"/>
      <c r="AO20"/>
      <c r="AP20"/>
      <c r="AQ20"/>
      <c r="AR20" s="2"/>
      <c r="AZ20" s="2"/>
      <c r="BO20" s="2"/>
      <c r="BQ20" s="2" t="e">
        <f>VLOOKUP(H20,#REF!,13,FALSE)</f>
        <v>#REF!</v>
      </c>
    </row>
    <row r="21" spans="1:70" ht="15" customHeight="1" outlineLevel="2">
      <c r="A21" s="7"/>
      <c r="B21" s="7"/>
      <c r="C21" s="7"/>
      <c r="D21" s="7"/>
      <c r="E21" s="7"/>
      <c r="F21" s="7"/>
      <c r="G21" s="7"/>
      <c r="H21" s="11"/>
      <c r="I21" s="11"/>
      <c r="J21" s="11"/>
      <c r="K21" s="11"/>
      <c r="L21" s="294"/>
      <c r="M21" s="22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47"/>
      <c r="Z21" s="47"/>
      <c r="AO21"/>
      <c r="AP21"/>
      <c r="AQ21"/>
      <c r="AR21" s="2"/>
      <c r="AZ21" s="2"/>
      <c r="BO21" s="2"/>
      <c r="BP21" s="293"/>
      <c r="BQ21" s="2" t="e">
        <f>VLOOKUP(H21,#REF!,13,FALSE)</f>
        <v>#REF!</v>
      </c>
    </row>
    <row r="22" spans="1:70" ht="15" customHeight="1" outlineLevel="2">
      <c r="A22" s="7"/>
      <c r="B22" s="7"/>
      <c r="C22" s="7"/>
      <c r="D22" s="7"/>
      <c r="E22" s="7"/>
      <c r="F22" s="7"/>
      <c r="G22" s="7"/>
      <c r="H22" s="11"/>
      <c r="I22" s="11"/>
      <c r="J22" s="11"/>
      <c r="K22" s="11"/>
      <c r="L22" s="18" t="s">
        <v>696</v>
      </c>
      <c r="M22" s="22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47"/>
      <c r="Z22" s="47"/>
      <c r="AM22" s="185" t="e">
        <f>VLOOKUP(CLEAN(H22),#REF!,7,FALSE)</f>
        <v>#REF!</v>
      </c>
      <c r="AO22"/>
      <c r="AP22"/>
      <c r="AQ22"/>
      <c r="AR22" s="2" t="e">
        <f>VLOOKUP(CLEAN(H22),#REF!,2,FALSE)</f>
        <v>#REF!</v>
      </c>
      <c r="AZ22" s="2" t="e">
        <f>VLOOKUP(H22,#REF!,2,FALSE)</f>
        <v>#REF!</v>
      </c>
      <c r="BO22" s="2" t="e">
        <f>VLOOKUP(H22,#REF!,13,FALSE)</f>
        <v>#REF!</v>
      </c>
      <c r="BQ22" s="2" t="e">
        <f>VLOOKUP(H22,#REF!,13,FALSE)</f>
        <v>#REF!</v>
      </c>
    </row>
    <row r="23" spans="1:70" s="2" customFormat="1" ht="15" customHeight="1" outlineLevel="2">
      <c r="A23" s="5">
        <v>31</v>
      </c>
      <c r="B23" s="5" t="s">
        <v>11</v>
      </c>
      <c r="C23" s="5" t="s">
        <v>238</v>
      </c>
      <c r="D23" s="5" t="s">
        <v>7</v>
      </c>
      <c r="E23" s="5" t="s">
        <v>7</v>
      </c>
      <c r="F23" s="5" t="s">
        <v>6</v>
      </c>
      <c r="G23" s="5" t="s">
        <v>144</v>
      </c>
      <c r="H23" s="297">
        <v>30070862</v>
      </c>
      <c r="I23" s="42" t="str">
        <f t="shared" ref="I23:I30" si="12">CONCATENATE(H23,"-",G23)</f>
        <v>30070862-EJECUCION</v>
      </c>
      <c r="J23" s="12"/>
      <c r="K23" s="307" t="str">
        <f t="shared" ref="K23:K30" si="13">CLEAN(H23)</f>
        <v>30070862</v>
      </c>
      <c r="L23" s="15" t="s">
        <v>395</v>
      </c>
      <c r="M23" s="23">
        <v>5200000000</v>
      </c>
      <c r="N23" s="34">
        <v>0</v>
      </c>
      <c r="O23" s="34">
        <v>10000000</v>
      </c>
      <c r="P23" s="310">
        <v>0</v>
      </c>
      <c r="Q23" s="34">
        <v>0</v>
      </c>
      <c r="R23" s="308">
        <v>0</v>
      </c>
      <c r="S23" s="34">
        <f t="shared" ref="S23:S30" si="14">P23+Q23+R23</f>
        <v>0</v>
      </c>
      <c r="T23" s="34">
        <v>0</v>
      </c>
      <c r="U23" s="34">
        <v>0</v>
      </c>
      <c r="V23" s="34">
        <f>P23+Q23+R23+T23+U23</f>
        <v>0</v>
      </c>
      <c r="W23" s="34">
        <f>O23-V23</f>
        <v>10000000</v>
      </c>
      <c r="X23" s="34">
        <f>M23-(N23+O23)</f>
        <v>5190000000</v>
      </c>
      <c r="Y23" s="48" t="s">
        <v>246</v>
      </c>
      <c r="Z23" s="48" t="s">
        <v>8</v>
      </c>
      <c r="AA23" s="2" t="e">
        <v>#N/A</v>
      </c>
      <c r="AB23" s="2" t="e">
        <f>VLOOKUP(H23,#REF!,2,FALSE)</f>
        <v>#REF!</v>
      </c>
      <c r="AC23" s="2" t="e">
        <f>VLOOKUP(I23,#REF!,2,FALSE)</f>
        <v>#REF!</v>
      </c>
      <c r="AD23" s="2" t="e">
        <f>VLOOKUP(H23,#REF!,13,FALSE)</f>
        <v>#REF!</v>
      </c>
      <c r="AE23" s="2" t="e">
        <f>VLOOKUP(I23,#REF!,7,FALSE)</f>
        <v>#REF!</v>
      </c>
      <c r="AF23" s="2">
        <v>25</v>
      </c>
      <c r="AG23" s="2" t="e">
        <f>VLOOKUP(H23,#REF!,13,FALSE)</f>
        <v>#REF!</v>
      </c>
      <c r="AH23" s="2" t="e">
        <f>VLOOKUP(I23,#REF!,2,FALSE)</f>
        <v>#REF!</v>
      </c>
      <c r="AJ23" s="185" t="e">
        <f>VLOOKUP(H23,#REF!,3,FALSE)</f>
        <v>#REF!</v>
      </c>
      <c r="AK23" s="185"/>
      <c r="AL23" s="185" t="e">
        <f>VLOOKUP(H23,#REF!,13,FALSE)</f>
        <v>#REF!</v>
      </c>
      <c r="AM23" s="185" t="e">
        <f>VLOOKUP(CLEAN(H23),#REF!,7,FALSE)</f>
        <v>#REF!</v>
      </c>
      <c r="AN23" s="2" t="e">
        <f>VLOOKUP(H23,#REF!,8,FALSE)</f>
        <v>#REF!</v>
      </c>
      <c r="AO23" s="189" t="e">
        <f>VLOOKUP(H23,#REF!,2,FALSE)</f>
        <v>#REF!</v>
      </c>
      <c r="AP23" s="189" t="e">
        <f>VLOOKUP(H23,#REF!,2,FALSE)</f>
        <v>#REF!</v>
      </c>
      <c r="AQ23" s="189"/>
      <c r="AR23" s="2" t="e">
        <f>VLOOKUP(CLEAN(H23),#REF!,2,FALSE)</f>
        <v>#REF!</v>
      </c>
      <c r="AT23" s="2" t="e">
        <f>VLOOKUP(H23,#REF!,13,FALSE)</f>
        <v>#REF!</v>
      </c>
      <c r="AU23" s="2" t="e">
        <f>VLOOKUP(H23,#REF!,13,FALSE)</f>
        <v>#REF!</v>
      </c>
      <c r="AV23" s="2" t="e">
        <f>VLOOKUP(H23,#REF!,13,FALSE)</f>
        <v>#REF!</v>
      </c>
      <c r="AW23" s="2" t="e">
        <f>VLOOKUP(H23,#REF!,13,FALSE)</f>
        <v>#REF!</v>
      </c>
      <c r="AX23" s="2" t="e">
        <f>VLOOKUP(H23,#REF!,9,FALSE)</f>
        <v>#REF!</v>
      </c>
      <c r="AZ23" s="2" t="e">
        <f>VLOOKUP(H23,#REF!,2,FALSE)</f>
        <v>#REF!</v>
      </c>
      <c r="BF23" s="189" t="e">
        <f>VLOOKUP(CLEAN(H23),#REF!,2,FALSE)</f>
        <v>#REF!</v>
      </c>
      <c r="BG23" s="189" t="e">
        <f>T23-BF23</f>
        <v>#REF!</v>
      </c>
      <c r="BO23" s="2" t="e">
        <f>VLOOKUP(H23,#REF!,13,FALSE)</f>
        <v>#REF!</v>
      </c>
      <c r="BP23" s="2" t="e">
        <f>VLOOKUP(H23,#REF!,2,FALSE)</f>
        <v>#REF!</v>
      </c>
      <c r="BQ23" s="2" t="e">
        <f>VLOOKUP(H23,#REF!,13,FALSE)</f>
        <v>#REF!</v>
      </c>
      <c r="BR23" s="2" t="e">
        <f>VLOOKUP(H23,#REF!,3,FALSE)</f>
        <v>#REF!</v>
      </c>
    </row>
    <row r="24" spans="1:70" s="2" customFormat="1" ht="15" customHeight="1" outlineLevel="2">
      <c r="A24" s="5">
        <v>31</v>
      </c>
      <c r="B24" s="5" t="s">
        <v>11</v>
      </c>
      <c r="C24" s="5" t="s">
        <v>238</v>
      </c>
      <c r="D24" s="5" t="s">
        <v>7</v>
      </c>
      <c r="E24" s="5" t="s">
        <v>7</v>
      </c>
      <c r="F24" s="5" t="s">
        <v>6</v>
      </c>
      <c r="G24" s="5" t="s">
        <v>144</v>
      </c>
      <c r="H24" s="12">
        <v>30134836</v>
      </c>
      <c r="I24" s="42" t="str">
        <f t="shared" si="12"/>
        <v>30134836-EJECUCION</v>
      </c>
      <c r="J24" s="12"/>
      <c r="K24" s="307" t="str">
        <f t="shared" si="13"/>
        <v>30134836</v>
      </c>
      <c r="L24" s="15" t="s">
        <v>396</v>
      </c>
      <c r="M24" s="23">
        <v>3212012000</v>
      </c>
      <c r="N24" s="34">
        <v>0</v>
      </c>
      <c r="O24" s="34">
        <v>10000000</v>
      </c>
      <c r="P24" s="310">
        <v>0</v>
      </c>
      <c r="Q24" s="34">
        <v>0</v>
      </c>
      <c r="R24" s="308">
        <v>0</v>
      </c>
      <c r="S24" s="34">
        <f t="shared" si="14"/>
        <v>0</v>
      </c>
      <c r="T24" s="34">
        <v>0</v>
      </c>
      <c r="U24" s="34">
        <v>0</v>
      </c>
      <c r="V24" s="34">
        <f>P24+Q24+R24+T24+U24</f>
        <v>0</v>
      </c>
      <c r="W24" s="34">
        <f>O24-V24</f>
        <v>10000000</v>
      </c>
      <c r="X24" s="34">
        <f>M24-(N24+O24)</f>
        <v>3202012000</v>
      </c>
      <c r="Y24" s="48" t="s">
        <v>246</v>
      </c>
      <c r="Z24" s="48" t="s">
        <v>357</v>
      </c>
      <c r="AA24" s="2" t="e">
        <v>#N/A</v>
      </c>
      <c r="AB24" s="2" t="e">
        <f>VLOOKUP(H24,#REF!,2,FALSE)</f>
        <v>#REF!</v>
      </c>
      <c r="AC24" s="2" t="e">
        <f>VLOOKUP(I24,#REF!,2,FALSE)</f>
        <v>#REF!</v>
      </c>
      <c r="AD24" s="2" t="e">
        <f>VLOOKUP(H24,#REF!,13,FALSE)</f>
        <v>#REF!</v>
      </c>
      <c r="AE24" s="2" t="e">
        <f>VLOOKUP(I24,#REF!,7,FALSE)</f>
        <v>#REF!</v>
      </c>
      <c r="AF24" s="2">
        <v>25</v>
      </c>
      <c r="AG24" s="2" t="e">
        <f>VLOOKUP(H24,#REF!,13,FALSE)</f>
        <v>#REF!</v>
      </c>
      <c r="AH24" s="2" t="e">
        <f>VLOOKUP(I24,#REF!,2,FALSE)</f>
        <v>#REF!</v>
      </c>
      <c r="AJ24" s="185" t="e">
        <f>VLOOKUP(H24,#REF!,3,FALSE)</f>
        <v>#REF!</v>
      </c>
      <c r="AK24" s="185"/>
      <c r="AL24" s="185" t="e">
        <f>VLOOKUP(H24,#REF!,13,FALSE)</f>
        <v>#REF!</v>
      </c>
      <c r="AM24" s="185" t="e">
        <f>VLOOKUP(CLEAN(H24),#REF!,7,FALSE)</f>
        <v>#REF!</v>
      </c>
      <c r="AN24" s="2" t="e">
        <f>VLOOKUP(H24,#REF!,8,FALSE)</f>
        <v>#REF!</v>
      </c>
      <c r="AO24" s="189" t="e">
        <f>VLOOKUP(H24,#REF!,2,FALSE)</f>
        <v>#REF!</v>
      </c>
      <c r="AP24" s="189" t="e">
        <f>VLOOKUP(H24,#REF!,2,FALSE)</f>
        <v>#REF!</v>
      </c>
      <c r="AQ24" s="189"/>
      <c r="AR24" s="2" t="e">
        <f>VLOOKUP(CLEAN(H24),#REF!,2,FALSE)</f>
        <v>#REF!</v>
      </c>
      <c r="AT24" s="2" t="e">
        <f>VLOOKUP(H24,#REF!,13,FALSE)</f>
        <v>#REF!</v>
      </c>
      <c r="AU24" s="2" t="e">
        <f>VLOOKUP(H24,#REF!,13,FALSE)</f>
        <v>#REF!</v>
      </c>
      <c r="AV24" s="2" t="e">
        <f>VLOOKUP(H24,#REF!,13,FALSE)</f>
        <v>#REF!</v>
      </c>
      <c r="AW24" s="2" t="e">
        <f>VLOOKUP(H24,#REF!,13,FALSE)</f>
        <v>#REF!</v>
      </c>
      <c r="AX24" s="2" t="e">
        <f>VLOOKUP(H24,#REF!,9,FALSE)</f>
        <v>#REF!</v>
      </c>
      <c r="AZ24" s="2" t="e">
        <f>VLOOKUP(H24,#REF!,2,FALSE)</f>
        <v>#REF!</v>
      </c>
      <c r="BF24" s="189" t="e">
        <f>VLOOKUP(CLEAN(H24),#REF!,2,FALSE)</f>
        <v>#REF!</v>
      </c>
      <c r="BG24" s="189" t="e">
        <f>T24-BF24</f>
        <v>#REF!</v>
      </c>
      <c r="BO24" s="2" t="e">
        <f>VLOOKUP(H24,#REF!,13,FALSE)</f>
        <v>#REF!</v>
      </c>
      <c r="BP24" s="2" t="e">
        <f>VLOOKUP(H24,#REF!,2,FALSE)</f>
        <v>#REF!</v>
      </c>
      <c r="BQ24" s="2" t="e">
        <f>VLOOKUP(H24,#REF!,13,FALSE)</f>
        <v>#REF!</v>
      </c>
      <c r="BR24" s="2" t="e">
        <f>VLOOKUP(H24,#REF!,3,FALSE)</f>
        <v>#REF!</v>
      </c>
    </row>
    <row r="25" spans="1:70" s="2" customFormat="1" ht="15" customHeight="1" outlineLevel="2">
      <c r="A25" s="5">
        <v>31</v>
      </c>
      <c r="B25" s="5" t="s">
        <v>11</v>
      </c>
      <c r="C25" s="5" t="s">
        <v>275</v>
      </c>
      <c r="D25" s="5" t="s">
        <v>7</v>
      </c>
      <c r="E25" s="5" t="s">
        <v>7</v>
      </c>
      <c r="F25" s="5" t="s">
        <v>457</v>
      </c>
      <c r="G25" s="5" t="s">
        <v>144</v>
      </c>
      <c r="H25" s="12">
        <v>30118247</v>
      </c>
      <c r="I25" s="42" t="str">
        <f t="shared" si="12"/>
        <v>30118247-EJECUCION</v>
      </c>
      <c r="J25" s="12"/>
      <c r="K25" s="307" t="str">
        <f t="shared" si="13"/>
        <v>30118247</v>
      </c>
      <c r="L25" s="15" t="s">
        <v>344</v>
      </c>
      <c r="M25" s="23">
        <v>1717763000</v>
      </c>
      <c r="N25" s="34">
        <v>0</v>
      </c>
      <c r="O25" s="34">
        <f>85888150-22079410-22088679</f>
        <v>41720061</v>
      </c>
      <c r="P25" s="310">
        <v>0</v>
      </c>
      <c r="Q25" s="34">
        <v>0</v>
      </c>
      <c r="R25" s="308">
        <v>0</v>
      </c>
      <c r="S25" s="34">
        <f t="shared" si="14"/>
        <v>0</v>
      </c>
      <c r="T25" s="34">
        <v>0</v>
      </c>
      <c r="U25" s="34">
        <v>0</v>
      </c>
      <c r="V25" s="34">
        <f>P25+Q25+R25+T25+U25</f>
        <v>0</v>
      </c>
      <c r="W25" s="34">
        <f>O25-V25</f>
        <v>41720061</v>
      </c>
      <c r="X25" s="34">
        <f>M25-(N25+O25)</f>
        <v>1676042939</v>
      </c>
      <c r="Y25" s="48" t="s">
        <v>246</v>
      </c>
      <c r="Z25" s="48" t="s">
        <v>357</v>
      </c>
      <c r="AA25" s="2" t="e">
        <v>#N/A</v>
      </c>
      <c r="AB25" s="2" t="e">
        <f>VLOOKUP(H25,#REF!,2,FALSE)</f>
        <v>#REF!</v>
      </c>
      <c r="AC25" s="2" t="e">
        <f>VLOOKUP(I25,#REF!,2,FALSE)</f>
        <v>#REF!</v>
      </c>
      <c r="AD25" s="2" t="e">
        <f>VLOOKUP(H25,#REF!,13,FALSE)</f>
        <v>#REF!</v>
      </c>
      <c r="AE25" s="2" t="e">
        <f>VLOOKUP(I25,#REF!,7,FALSE)</f>
        <v>#REF!</v>
      </c>
      <c r="AF25" s="2">
        <v>25</v>
      </c>
      <c r="AG25" s="2" t="e">
        <f>VLOOKUP(H25,#REF!,13,FALSE)</f>
        <v>#REF!</v>
      </c>
      <c r="AH25" s="2" t="e">
        <f>VLOOKUP(I25,#REF!,2,FALSE)</f>
        <v>#REF!</v>
      </c>
      <c r="AJ25" s="185" t="e">
        <f>VLOOKUP(H25,#REF!,3,FALSE)</f>
        <v>#REF!</v>
      </c>
      <c r="AK25" s="185"/>
      <c r="AL25" s="185" t="e">
        <f>VLOOKUP(H25,#REF!,13,FALSE)</f>
        <v>#REF!</v>
      </c>
      <c r="AM25" s="185" t="e">
        <f>VLOOKUP(CLEAN(H25),#REF!,7,FALSE)</f>
        <v>#REF!</v>
      </c>
      <c r="AN25" s="2" t="e">
        <f>VLOOKUP(H25,#REF!,8,FALSE)</f>
        <v>#REF!</v>
      </c>
      <c r="AO25" s="189" t="e">
        <f>VLOOKUP(H25,#REF!,2,FALSE)</f>
        <v>#REF!</v>
      </c>
      <c r="AP25" s="189" t="e">
        <f>VLOOKUP(H25,#REF!,2,FALSE)</f>
        <v>#REF!</v>
      </c>
      <c r="AQ25" s="189"/>
      <c r="AR25" s="2" t="e">
        <f>VLOOKUP(CLEAN(H25),#REF!,2,FALSE)</f>
        <v>#REF!</v>
      </c>
      <c r="AT25" s="2" t="e">
        <f>VLOOKUP(H25,#REF!,13,FALSE)</f>
        <v>#REF!</v>
      </c>
      <c r="AU25" s="2" t="e">
        <f>VLOOKUP(H25,#REF!,13,FALSE)</f>
        <v>#REF!</v>
      </c>
      <c r="AV25" s="2" t="e">
        <f>VLOOKUP(H25,#REF!,13,FALSE)</f>
        <v>#REF!</v>
      </c>
      <c r="AW25" s="2" t="e">
        <f>VLOOKUP(H25,#REF!,13,FALSE)</f>
        <v>#REF!</v>
      </c>
      <c r="AX25" s="2" t="e">
        <f>VLOOKUP(H25,#REF!,9,FALSE)</f>
        <v>#REF!</v>
      </c>
      <c r="AZ25" s="2" t="e">
        <f>VLOOKUP(H25,#REF!,2,FALSE)</f>
        <v>#REF!</v>
      </c>
      <c r="BF25" s="189" t="e">
        <f>VLOOKUP(CLEAN(H25),#REF!,2,FALSE)</f>
        <v>#REF!</v>
      </c>
      <c r="BG25" s="189" t="e">
        <f>T25-BF25</f>
        <v>#REF!</v>
      </c>
      <c r="BO25" s="2" t="e">
        <f>VLOOKUP(H25,#REF!,13,FALSE)</f>
        <v>#REF!</v>
      </c>
      <c r="BP25" s="2" t="e">
        <f>VLOOKUP(H25,#REF!,2,FALSE)</f>
        <v>#REF!</v>
      </c>
      <c r="BQ25" s="2" t="e">
        <f>VLOOKUP(H25,#REF!,13,FALSE)</f>
        <v>#REF!</v>
      </c>
      <c r="BR25" s="2" t="e">
        <f>VLOOKUP(H25,#REF!,3,FALSE)</f>
        <v>#REF!</v>
      </c>
    </row>
    <row r="26" spans="1:70" s="2" customFormat="1" ht="15" customHeight="1" outlineLevel="2">
      <c r="A26" s="5">
        <v>31</v>
      </c>
      <c r="B26" s="5" t="s">
        <v>11</v>
      </c>
      <c r="C26" s="5" t="s">
        <v>240</v>
      </c>
      <c r="D26" s="5" t="s">
        <v>7</v>
      </c>
      <c r="E26" s="5" t="s">
        <v>7</v>
      </c>
      <c r="F26" s="5" t="s">
        <v>457</v>
      </c>
      <c r="G26" s="5" t="s">
        <v>144</v>
      </c>
      <c r="H26" s="12">
        <v>30481028</v>
      </c>
      <c r="I26" s="42" t="str">
        <f t="shared" si="12"/>
        <v>30481028-EJECUCION</v>
      </c>
      <c r="J26" s="12" t="s">
        <v>708</v>
      </c>
      <c r="K26" s="307" t="str">
        <f t="shared" si="13"/>
        <v>30481028</v>
      </c>
      <c r="L26" s="15" t="s">
        <v>445</v>
      </c>
      <c r="M26" s="23">
        <v>7246631000</v>
      </c>
      <c r="N26" s="34">
        <v>0</v>
      </c>
      <c r="O26" s="34">
        <v>2000000</v>
      </c>
      <c r="P26" s="310">
        <v>0</v>
      </c>
      <c r="Q26" s="34">
        <v>0</v>
      </c>
      <c r="R26" s="308">
        <v>0</v>
      </c>
      <c r="S26" s="34">
        <f t="shared" si="14"/>
        <v>0</v>
      </c>
      <c r="T26" s="34">
        <v>0</v>
      </c>
      <c r="U26" s="34">
        <v>0</v>
      </c>
      <c r="V26" s="34">
        <f>P26+Q26+R26+T26+U26</f>
        <v>0</v>
      </c>
      <c r="W26" s="34">
        <f>O26-V26</f>
        <v>2000000</v>
      </c>
      <c r="X26" s="34">
        <f>M26-(N26+O26)</f>
        <v>7244631000</v>
      </c>
      <c r="Y26" s="48" t="s">
        <v>246</v>
      </c>
      <c r="Z26" s="48" t="s">
        <v>8</v>
      </c>
      <c r="AA26" s="2" t="e">
        <v>#N/A</v>
      </c>
      <c r="AB26" s="2" t="e">
        <f>VLOOKUP(H26,#REF!,2,FALSE)</f>
        <v>#REF!</v>
      </c>
      <c r="AC26" s="2" t="e">
        <f>VLOOKUP(I26,#REF!,2,FALSE)</f>
        <v>#REF!</v>
      </c>
      <c r="AD26" s="2" t="e">
        <f>VLOOKUP(H26,#REF!,13,FALSE)</f>
        <v>#REF!</v>
      </c>
      <c r="AE26" s="2" t="e">
        <f>VLOOKUP(I26,#REF!,7,FALSE)</f>
        <v>#REF!</v>
      </c>
      <c r="AF26" s="2">
        <v>25</v>
      </c>
      <c r="AG26" s="2" t="e">
        <f>VLOOKUP(H26,#REF!,13,FALSE)</f>
        <v>#REF!</v>
      </c>
      <c r="AH26" s="2" t="e">
        <f>VLOOKUP(I26,#REF!,2,FALSE)</f>
        <v>#REF!</v>
      </c>
      <c r="AJ26" s="185" t="e">
        <f>VLOOKUP(H26,#REF!,3,FALSE)</f>
        <v>#REF!</v>
      </c>
      <c r="AK26" s="185"/>
      <c r="AL26" s="185" t="e">
        <f>VLOOKUP(H26,#REF!,13,FALSE)</f>
        <v>#REF!</v>
      </c>
      <c r="AM26" s="185" t="e">
        <f>VLOOKUP(CLEAN(H26),#REF!,7,FALSE)</f>
        <v>#REF!</v>
      </c>
      <c r="AN26" s="2" t="e">
        <f>VLOOKUP(H26,#REF!,8,FALSE)</f>
        <v>#REF!</v>
      </c>
      <c r="AO26" s="189" t="e">
        <f>VLOOKUP(H26,#REF!,2,FALSE)</f>
        <v>#REF!</v>
      </c>
      <c r="AP26" s="189" t="e">
        <f>VLOOKUP(H26,#REF!,2,FALSE)</f>
        <v>#REF!</v>
      </c>
      <c r="AQ26" s="189"/>
      <c r="AR26" s="2" t="e">
        <f>VLOOKUP(CLEAN(H26),#REF!,2,FALSE)</f>
        <v>#REF!</v>
      </c>
      <c r="AT26" s="2" t="e">
        <f>VLOOKUP(H26,#REF!,13,FALSE)</f>
        <v>#REF!</v>
      </c>
      <c r="AU26" s="2" t="e">
        <f>VLOOKUP(H26,#REF!,13,FALSE)</f>
        <v>#REF!</v>
      </c>
      <c r="AV26" s="2" t="e">
        <f>VLOOKUP(H26,#REF!,13,FALSE)</f>
        <v>#REF!</v>
      </c>
      <c r="AW26" s="2" t="e">
        <f>VLOOKUP(H26,#REF!,13,FALSE)</f>
        <v>#REF!</v>
      </c>
      <c r="AX26" s="2" t="e">
        <f>VLOOKUP(H26,#REF!,9,FALSE)</f>
        <v>#REF!</v>
      </c>
      <c r="AZ26" s="2" t="e">
        <f>VLOOKUP(H26,#REF!,2,FALSE)</f>
        <v>#REF!</v>
      </c>
      <c r="BF26" s="189" t="e">
        <f>VLOOKUP(CLEAN(H26),#REF!,2,FALSE)</f>
        <v>#REF!</v>
      </c>
      <c r="BG26" s="189" t="e">
        <f>T26-BF26</f>
        <v>#REF!</v>
      </c>
      <c r="BO26" s="2" t="e">
        <f>VLOOKUP(H26,#REF!,13,FALSE)</f>
        <v>#REF!</v>
      </c>
      <c r="BP26" s="2" t="e">
        <f>VLOOKUP(H26,#REF!,2,FALSE)</f>
        <v>#REF!</v>
      </c>
      <c r="BQ26" s="2" t="e">
        <f>VLOOKUP(H26,#REF!,13,FALSE)</f>
        <v>#REF!</v>
      </c>
      <c r="BR26" s="2" t="e">
        <f>VLOOKUP(H26,#REF!,3,FALSE)</f>
        <v>#REF!</v>
      </c>
    </row>
    <row r="27" spans="1:70" s="2" customFormat="1" ht="15" customHeight="1" outlineLevel="2">
      <c r="A27" s="5">
        <v>31</v>
      </c>
      <c r="B27" s="5" t="s">
        <v>11</v>
      </c>
      <c r="C27" s="5" t="s">
        <v>240</v>
      </c>
      <c r="D27" s="5" t="s">
        <v>7</v>
      </c>
      <c r="E27" s="5" t="s">
        <v>7</v>
      </c>
      <c r="F27" s="5" t="s">
        <v>457</v>
      </c>
      <c r="G27" s="5" t="s">
        <v>9</v>
      </c>
      <c r="H27" s="12">
        <v>30484063</v>
      </c>
      <c r="I27" s="42" t="str">
        <f t="shared" si="12"/>
        <v>30484063-DISEÑO</v>
      </c>
      <c r="J27" s="12"/>
      <c r="K27" s="307" t="str">
        <f t="shared" si="13"/>
        <v>30484063</v>
      </c>
      <c r="L27" s="15" t="s">
        <v>447</v>
      </c>
      <c r="M27" s="23">
        <v>40000000</v>
      </c>
      <c r="N27" s="34">
        <v>0</v>
      </c>
      <c r="O27" s="34">
        <v>20000000</v>
      </c>
      <c r="P27" s="310">
        <v>0</v>
      </c>
      <c r="Q27" s="34">
        <v>0</v>
      </c>
      <c r="R27" s="308">
        <v>0</v>
      </c>
      <c r="S27" s="34">
        <f t="shared" si="14"/>
        <v>0</v>
      </c>
      <c r="T27" s="34">
        <v>0</v>
      </c>
      <c r="U27" s="34">
        <v>0</v>
      </c>
      <c r="V27" s="34">
        <f>P27+Q27+R27+T27+U27</f>
        <v>0</v>
      </c>
      <c r="W27" s="34">
        <f>O27-V27</f>
        <v>20000000</v>
      </c>
      <c r="X27" s="34">
        <f>M27-(N27+O27)</f>
        <v>20000000</v>
      </c>
      <c r="Y27" s="48" t="s">
        <v>246</v>
      </c>
      <c r="Z27" s="48" t="s">
        <v>357</v>
      </c>
      <c r="AA27" s="2" t="e">
        <v>#N/A</v>
      </c>
      <c r="AB27" s="2" t="e">
        <f>VLOOKUP(H27,#REF!,2,FALSE)</f>
        <v>#REF!</v>
      </c>
      <c r="AC27" s="2" t="e">
        <f>VLOOKUP(I27,#REF!,2,FALSE)</f>
        <v>#REF!</v>
      </c>
      <c r="AD27" s="2" t="e">
        <f>VLOOKUP(H27,#REF!,13,FALSE)</f>
        <v>#REF!</v>
      </c>
      <c r="AE27" s="2" t="e">
        <f>VLOOKUP(I27,#REF!,7,FALSE)</f>
        <v>#REF!</v>
      </c>
      <c r="AF27" s="2">
        <v>25</v>
      </c>
      <c r="AG27" s="2" t="e">
        <f>VLOOKUP(H27,#REF!,13,FALSE)</f>
        <v>#REF!</v>
      </c>
      <c r="AH27" s="2" t="e">
        <f>VLOOKUP(I27,#REF!,2,FALSE)</f>
        <v>#REF!</v>
      </c>
      <c r="AJ27" s="185" t="e">
        <f>VLOOKUP(H27,#REF!,3,FALSE)</f>
        <v>#REF!</v>
      </c>
      <c r="AK27" s="185"/>
      <c r="AL27" s="185" t="e">
        <f>VLOOKUP(H27,#REF!,13,FALSE)</f>
        <v>#REF!</v>
      </c>
      <c r="AM27" s="185" t="e">
        <f>VLOOKUP(CLEAN(H27),#REF!,7,FALSE)</f>
        <v>#REF!</v>
      </c>
      <c r="AN27" s="2" t="e">
        <f>VLOOKUP(H27,#REF!,8,FALSE)</f>
        <v>#REF!</v>
      </c>
      <c r="AO27" s="189" t="e">
        <f>VLOOKUP(H27,#REF!,2,FALSE)</f>
        <v>#REF!</v>
      </c>
      <c r="AP27" s="189" t="e">
        <f>VLOOKUP(H27,#REF!,2,FALSE)</f>
        <v>#REF!</v>
      </c>
      <c r="AQ27" s="189"/>
      <c r="AR27" s="2" t="e">
        <f>VLOOKUP(CLEAN(H27),#REF!,2,FALSE)</f>
        <v>#REF!</v>
      </c>
      <c r="AT27" s="2" t="e">
        <f>VLOOKUP(H27,#REF!,13,FALSE)</f>
        <v>#REF!</v>
      </c>
      <c r="AU27" s="2" t="e">
        <f>VLOOKUP(H27,#REF!,13,FALSE)</f>
        <v>#REF!</v>
      </c>
      <c r="AV27" s="2" t="e">
        <f>VLOOKUP(H27,#REF!,13,FALSE)</f>
        <v>#REF!</v>
      </c>
      <c r="AW27" s="2" t="e">
        <f>VLOOKUP(H27,#REF!,13,FALSE)</f>
        <v>#REF!</v>
      </c>
      <c r="AX27" s="2" t="e">
        <f>VLOOKUP(H27,#REF!,9,FALSE)</f>
        <v>#REF!</v>
      </c>
      <c r="AZ27" s="2" t="e">
        <f>VLOOKUP(H27,#REF!,2,FALSE)</f>
        <v>#REF!</v>
      </c>
      <c r="BF27" s="189" t="e">
        <f>VLOOKUP(CLEAN(H27),#REF!,2,FALSE)</f>
        <v>#REF!</v>
      </c>
      <c r="BG27" s="189" t="e">
        <f>T27-BF27</f>
        <v>#REF!</v>
      </c>
      <c r="BO27" s="2" t="e">
        <f>VLOOKUP(H27,#REF!,13,FALSE)</f>
        <v>#REF!</v>
      </c>
      <c r="BP27" s="2" t="e">
        <f>VLOOKUP(H27,#REF!,2,FALSE)</f>
        <v>#REF!</v>
      </c>
      <c r="BQ27" s="2" t="e">
        <f>VLOOKUP(H27,#REF!,13,FALSE)</f>
        <v>#REF!</v>
      </c>
      <c r="BR27" s="2" t="e">
        <f>VLOOKUP(H27,#REF!,3,FALSE)</f>
        <v>#REF!</v>
      </c>
    </row>
    <row r="28" spans="1:70" s="2" customFormat="1" ht="15" customHeight="1" outlineLevel="2">
      <c r="A28" s="5">
        <v>31</v>
      </c>
      <c r="B28" s="5" t="s">
        <v>11</v>
      </c>
      <c r="C28" s="5" t="s">
        <v>240</v>
      </c>
      <c r="D28" s="5" t="s">
        <v>7</v>
      </c>
      <c r="E28" s="5" t="s">
        <v>7</v>
      </c>
      <c r="F28" s="5" t="s">
        <v>457</v>
      </c>
      <c r="G28" s="5" t="s">
        <v>9</v>
      </c>
      <c r="H28" s="12">
        <v>30484067</v>
      </c>
      <c r="I28" s="42" t="str">
        <f t="shared" si="12"/>
        <v>30484067-DISEÑO</v>
      </c>
      <c r="J28" s="12"/>
      <c r="K28" s="307" t="str">
        <f t="shared" si="13"/>
        <v>30484067</v>
      </c>
      <c r="L28" s="15" t="s">
        <v>448</v>
      </c>
      <c r="M28" s="23">
        <v>40000000</v>
      </c>
      <c r="N28" s="34">
        <v>0</v>
      </c>
      <c r="O28" s="34">
        <v>20000000</v>
      </c>
      <c r="P28" s="310">
        <v>0</v>
      </c>
      <c r="Q28" s="34">
        <v>0</v>
      </c>
      <c r="R28" s="308">
        <v>0</v>
      </c>
      <c r="S28" s="34">
        <f t="shared" si="14"/>
        <v>0</v>
      </c>
      <c r="T28" s="34">
        <v>0</v>
      </c>
      <c r="U28" s="34">
        <v>0</v>
      </c>
      <c r="V28" s="34">
        <f>P28+Q28+R28+T28+U28</f>
        <v>0</v>
      </c>
      <c r="W28" s="34">
        <f>O28-V28</f>
        <v>20000000</v>
      </c>
      <c r="X28" s="34">
        <f>M28-(N28+O28)</f>
        <v>20000000</v>
      </c>
      <c r="Y28" s="48" t="s">
        <v>246</v>
      </c>
      <c r="Z28" s="48" t="s">
        <v>357</v>
      </c>
      <c r="AA28" s="2" t="e">
        <v>#N/A</v>
      </c>
      <c r="AB28" s="2" t="e">
        <f>VLOOKUP(H28,#REF!,2,FALSE)</f>
        <v>#REF!</v>
      </c>
      <c r="AC28" s="2" t="e">
        <f>VLOOKUP(I28,#REF!,2,FALSE)</f>
        <v>#REF!</v>
      </c>
      <c r="AD28" s="2" t="e">
        <f>VLOOKUP(H28,#REF!,13,FALSE)</f>
        <v>#REF!</v>
      </c>
      <c r="AE28" s="2" t="e">
        <f>VLOOKUP(I28,#REF!,7,FALSE)</f>
        <v>#REF!</v>
      </c>
      <c r="AF28" s="2">
        <v>25</v>
      </c>
      <c r="AG28" s="2" t="e">
        <f>VLOOKUP(H28,#REF!,13,FALSE)</f>
        <v>#REF!</v>
      </c>
      <c r="AH28" s="2" t="e">
        <f>VLOOKUP(I28,#REF!,2,FALSE)</f>
        <v>#REF!</v>
      </c>
      <c r="AJ28" s="185" t="e">
        <f>VLOOKUP(H28,#REF!,3,FALSE)</f>
        <v>#REF!</v>
      </c>
      <c r="AK28" s="185"/>
      <c r="AL28" s="185" t="e">
        <f>VLOOKUP(H28,#REF!,13,FALSE)</f>
        <v>#REF!</v>
      </c>
      <c r="AM28" s="185" t="e">
        <f>VLOOKUP(CLEAN(H28),#REF!,7,FALSE)</f>
        <v>#REF!</v>
      </c>
      <c r="AN28" s="2" t="e">
        <f>VLOOKUP(H28,#REF!,8,FALSE)</f>
        <v>#REF!</v>
      </c>
      <c r="AO28" s="189" t="e">
        <f>VLOOKUP(H28,#REF!,2,FALSE)</f>
        <v>#REF!</v>
      </c>
      <c r="AP28" s="189" t="e">
        <f>VLOOKUP(H28,#REF!,2,FALSE)</f>
        <v>#REF!</v>
      </c>
      <c r="AQ28" s="189"/>
      <c r="AR28" s="2" t="e">
        <f>VLOOKUP(CLEAN(H28),#REF!,2,FALSE)</f>
        <v>#REF!</v>
      </c>
      <c r="AT28" s="2" t="e">
        <f>VLOOKUP(H28,#REF!,13,FALSE)</f>
        <v>#REF!</v>
      </c>
      <c r="AU28" s="2" t="e">
        <f>VLOOKUP(H28,#REF!,13,FALSE)</f>
        <v>#REF!</v>
      </c>
      <c r="AV28" s="2" t="e">
        <f>VLOOKUP(H28,#REF!,13,FALSE)</f>
        <v>#REF!</v>
      </c>
      <c r="AW28" s="2" t="e">
        <f>VLOOKUP(H28,#REF!,13,FALSE)</f>
        <v>#REF!</v>
      </c>
      <c r="AX28" s="2" t="e">
        <f>VLOOKUP(H28,#REF!,9,FALSE)</f>
        <v>#REF!</v>
      </c>
      <c r="AZ28" s="2" t="e">
        <f>VLOOKUP(H28,#REF!,2,FALSE)</f>
        <v>#REF!</v>
      </c>
      <c r="BF28" s="189" t="e">
        <f>VLOOKUP(CLEAN(H28),#REF!,2,FALSE)</f>
        <v>#REF!</v>
      </c>
      <c r="BG28" s="189" t="e">
        <f>T28-BF28</f>
        <v>#REF!</v>
      </c>
      <c r="BO28" s="2" t="e">
        <f>VLOOKUP(H28,#REF!,13,FALSE)</f>
        <v>#REF!</v>
      </c>
      <c r="BP28" s="2" t="e">
        <f>VLOOKUP(H28,#REF!,2,FALSE)</f>
        <v>#REF!</v>
      </c>
      <c r="BQ28" s="2" t="e">
        <f>VLOOKUP(H28,#REF!,13,FALSE)</f>
        <v>#REF!</v>
      </c>
      <c r="BR28" s="2" t="e">
        <f>VLOOKUP(H28,#REF!,3,FALSE)</f>
        <v>#REF!</v>
      </c>
    </row>
    <row r="29" spans="1:70" s="2" customFormat="1" ht="15" customHeight="1" outlineLevel="2">
      <c r="A29" s="5">
        <v>31</v>
      </c>
      <c r="B29" s="5" t="s">
        <v>11</v>
      </c>
      <c r="C29" s="5" t="s">
        <v>251</v>
      </c>
      <c r="D29" s="5" t="s">
        <v>7</v>
      </c>
      <c r="E29" s="5" t="s">
        <v>7</v>
      </c>
      <c r="F29" s="5" t="s">
        <v>457</v>
      </c>
      <c r="G29" s="5" t="s">
        <v>144</v>
      </c>
      <c r="H29" s="12">
        <v>30463800</v>
      </c>
      <c r="I29" s="42" t="str">
        <f t="shared" si="12"/>
        <v>30463800-EJECUCION</v>
      </c>
      <c r="J29" s="12"/>
      <c r="K29" s="307" t="str">
        <f t="shared" si="13"/>
        <v>30463800</v>
      </c>
      <c r="L29" s="15" t="s">
        <v>314</v>
      </c>
      <c r="M29" s="23">
        <v>1660190000</v>
      </c>
      <c r="N29" s="34">
        <v>0</v>
      </c>
      <c r="O29" s="34">
        <v>10000000</v>
      </c>
      <c r="P29" s="310">
        <v>0</v>
      </c>
      <c r="Q29" s="34">
        <v>0</v>
      </c>
      <c r="R29" s="308">
        <v>0</v>
      </c>
      <c r="S29" s="34">
        <f t="shared" si="14"/>
        <v>0</v>
      </c>
      <c r="T29" s="34">
        <v>0</v>
      </c>
      <c r="U29" s="34">
        <v>0</v>
      </c>
      <c r="V29" s="34">
        <f>P29+Q29+R29+T29+U29</f>
        <v>0</v>
      </c>
      <c r="W29" s="34">
        <f>O29-V29</f>
        <v>10000000</v>
      </c>
      <c r="X29" s="34">
        <f>M29-(N29+O29)</f>
        <v>1650190000</v>
      </c>
      <c r="Y29" s="48" t="s">
        <v>246</v>
      </c>
      <c r="Z29" s="48" t="s">
        <v>357</v>
      </c>
      <c r="AA29" s="2" t="e">
        <v>#N/A</v>
      </c>
      <c r="AB29" s="2" t="e">
        <f>VLOOKUP(H29,#REF!,2,FALSE)</f>
        <v>#REF!</v>
      </c>
      <c r="AC29" s="2" t="e">
        <f>VLOOKUP(I29,#REF!,2,FALSE)</f>
        <v>#REF!</v>
      </c>
      <c r="AD29" s="2" t="e">
        <f>VLOOKUP(H29,#REF!,13,FALSE)</f>
        <v>#REF!</v>
      </c>
      <c r="AE29" s="2" t="e">
        <f>VLOOKUP(I29,#REF!,7,FALSE)</f>
        <v>#REF!</v>
      </c>
      <c r="AF29" s="2">
        <v>25</v>
      </c>
      <c r="AG29" s="2" t="e">
        <f>VLOOKUP(H29,#REF!,13,FALSE)</f>
        <v>#REF!</v>
      </c>
      <c r="AH29" s="2" t="e">
        <f>VLOOKUP(I29,#REF!,2,FALSE)</f>
        <v>#REF!</v>
      </c>
      <c r="AJ29" s="185" t="e">
        <f>VLOOKUP(H29,#REF!,3,FALSE)</f>
        <v>#REF!</v>
      </c>
      <c r="AK29" s="185"/>
      <c r="AL29" s="185" t="e">
        <f>VLOOKUP(H29,#REF!,13,FALSE)</f>
        <v>#REF!</v>
      </c>
      <c r="AM29" s="185" t="e">
        <f>VLOOKUP(CLEAN(H29),#REF!,7,FALSE)</f>
        <v>#REF!</v>
      </c>
      <c r="AN29" s="2" t="e">
        <f>VLOOKUP(H29,#REF!,8,FALSE)</f>
        <v>#REF!</v>
      </c>
      <c r="AO29" s="189" t="e">
        <f>VLOOKUP(H29,#REF!,2,FALSE)</f>
        <v>#REF!</v>
      </c>
      <c r="AP29" s="189" t="e">
        <f>VLOOKUP(H29,#REF!,2,FALSE)</f>
        <v>#REF!</v>
      </c>
      <c r="AQ29" s="189"/>
      <c r="AR29" s="2" t="e">
        <f>VLOOKUP(CLEAN(H29),#REF!,2,FALSE)</f>
        <v>#REF!</v>
      </c>
      <c r="AT29" s="2" t="e">
        <f>VLOOKUP(H29,#REF!,13,FALSE)</f>
        <v>#REF!</v>
      </c>
      <c r="AU29" s="2" t="e">
        <f>VLOOKUP(H29,#REF!,13,FALSE)</f>
        <v>#REF!</v>
      </c>
      <c r="AV29" s="2" t="e">
        <f>VLOOKUP(H29,#REF!,13,FALSE)</f>
        <v>#REF!</v>
      </c>
      <c r="AW29" s="2" t="e">
        <f>VLOOKUP(H29,#REF!,13,FALSE)</f>
        <v>#REF!</v>
      </c>
      <c r="AX29" s="2" t="e">
        <f>VLOOKUP(H29,#REF!,9,FALSE)</f>
        <v>#REF!</v>
      </c>
      <c r="AZ29" s="2" t="e">
        <f>VLOOKUP(H29,#REF!,2,FALSE)</f>
        <v>#REF!</v>
      </c>
      <c r="BF29" s="189" t="e">
        <f>VLOOKUP(CLEAN(H29),#REF!,2,FALSE)</f>
        <v>#REF!</v>
      </c>
      <c r="BG29" s="189" t="e">
        <f>T29-BF29</f>
        <v>#REF!</v>
      </c>
      <c r="BO29" s="2" t="e">
        <f>VLOOKUP(H29,#REF!,13,FALSE)</f>
        <v>#REF!</v>
      </c>
      <c r="BP29" s="2" t="e">
        <f>VLOOKUP(H29,#REF!,2,FALSE)</f>
        <v>#REF!</v>
      </c>
      <c r="BQ29" s="2" t="e">
        <f>VLOOKUP(H29,#REF!,13,FALSE)</f>
        <v>#REF!</v>
      </c>
      <c r="BR29" s="2" t="e">
        <f>VLOOKUP(H29,#REF!,3,FALSE)</f>
        <v>#REF!</v>
      </c>
    </row>
    <row r="30" spans="1:70" s="2" customFormat="1" ht="15" customHeight="1" outlineLevel="2">
      <c r="A30" s="5">
        <v>31</v>
      </c>
      <c r="B30" s="5" t="s">
        <v>11</v>
      </c>
      <c r="C30" s="5" t="s">
        <v>241</v>
      </c>
      <c r="D30" s="5" t="s">
        <v>7</v>
      </c>
      <c r="E30" s="5" t="s">
        <v>7</v>
      </c>
      <c r="F30" s="5" t="s">
        <v>89</v>
      </c>
      <c r="G30" s="5" t="s">
        <v>145</v>
      </c>
      <c r="H30" s="12">
        <v>30488444</v>
      </c>
      <c r="I30" s="42" t="str">
        <f t="shared" si="12"/>
        <v>30488444-PREFACTIBILIDAD</v>
      </c>
      <c r="J30" s="12"/>
      <c r="K30" s="307" t="str">
        <f t="shared" si="13"/>
        <v>30488444</v>
      </c>
      <c r="L30" s="15" t="s">
        <v>427</v>
      </c>
      <c r="M30" s="23">
        <v>180000000</v>
      </c>
      <c r="N30" s="34">
        <v>0</v>
      </c>
      <c r="O30" s="34">
        <v>30000000</v>
      </c>
      <c r="P30" s="310">
        <v>0</v>
      </c>
      <c r="Q30" s="34">
        <v>0</v>
      </c>
      <c r="R30" s="308">
        <v>0</v>
      </c>
      <c r="S30" s="34">
        <f t="shared" si="14"/>
        <v>0</v>
      </c>
      <c r="T30" s="34">
        <v>0</v>
      </c>
      <c r="U30" s="34">
        <v>0</v>
      </c>
      <c r="V30" s="34">
        <f>P30+Q30+R30+T30+U30</f>
        <v>0</v>
      </c>
      <c r="W30" s="34">
        <f>O30-V30</f>
        <v>30000000</v>
      </c>
      <c r="X30" s="34">
        <f>M30-(N30+O30)</f>
        <v>150000000</v>
      </c>
      <c r="Y30" s="48" t="s">
        <v>425</v>
      </c>
      <c r="Z30" s="48" t="s">
        <v>357</v>
      </c>
      <c r="AA30" s="2" t="e">
        <v>#N/A</v>
      </c>
      <c r="AB30" s="2" t="e">
        <f>VLOOKUP(H30,#REF!,2,FALSE)</f>
        <v>#REF!</v>
      </c>
      <c r="AC30" s="2" t="e">
        <f>VLOOKUP(I30,#REF!,2,FALSE)</f>
        <v>#REF!</v>
      </c>
      <c r="AD30" s="2" t="e">
        <f>VLOOKUP(H30,#REF!,13,FALSE)</f>
        <v>#REF!</v>
      </c>
      <c r="AE30" s="2" t="e">
        <f>VLOOKUP(I30,#REF!,7,FALSE)</f>
        <v>#REF!</v>
      </c>
      <c r="AF30" s="2">
        <v>25</v>
      </c>
      <c r="AG30" s="2" t="e">
        <f>VLOOKUP(H30,#REF!,13,FALSE)</f>
        <v>#REF!</v>
      </c>
      <c r="AH30" s="2" t="e">
        <f>VLOOKUP(I30,#REF!,2,FALSE)</f>
        <v>#REF!</v>
      </c>
      <c r="AJ30" s="185" t="e">
        <f>VLOOKUP(H30,#REF!,3,FALSE)</f>
        <v>#REF!</v>
      </c>
      <c r="AK30" s="185"/>
      <c r="AL30" s="185" t="e">
        <f>VLOOKUP(H30,#REF!,13,FALSE)</f>
        <v>#REF!</v>
      </c>
      <c r="AM30" s="185" t="e">
        <f>VLOOKUP(CLEAN(H30),#REF!,7,FALSE)</f>
        <v>#REF!</v>
      </c>
      <c r="AN30" s="2" t="e">
        <f>VLOOKUP(H30,#REF!,8,FALSE)</f>
        <v>#REF!</v>
      </c>
      <c r="AO30" s="189" t="e">
        <f>VLOOKUP(H30,#REF!,2,FALSE)</f>
        <v>#REF!</v>
      </c>
      <c r="AP30" s="189" t="e">
        <f>VLOOKUP(H30,#REF!,2,FALSE)</f>
        <v>#REF!</v>
      </c>
      <c r="AQ30" s="189"/>
      <c r="AR30" s="2" t="e">
        <f>VLOOKUP(CLEAN(H30),#REF!,2,FALSE)</f>
        <v>#REF!</v>
      </c>
      <c r="AT30" s="2" t="e">
        <f>VLOOKUP(H30,#REF!,13,FALSE)</f>
        <v>#REF!</v>
      </c>
      <c r="AU30" s="2" t="e">
        <f>VLOOKUP(H30,#REF!,13,FALSE)</f>
        <v>#REF!</v>
      </c>
      <c r="AV30" s="2" t="e">
        <f>VLOOKUP(H30,#REF!,13,FALSE)</f>
        <v>#REF!</v>
      </c>
      <c r="AW30" s="2" t="e">
        <f>VLOOKUP(H30,#REF!,13,FALSE)</f>
        <v>#REF!</v>
      </c>
      <c r="AX30" s="2" t="e">
        <f>VLOOKUP(H30,#REF!,9,FALSE)</f>
        <v>#REF!</v>
      </c>
      <c r="AZ30" s="2" t="e">
        <f>VLOOKUP(H30,#REF!,2,FALSE)</f>
        <v>#REF!</v>
      </c>
      <c r="BF30" s="189" t="e">
        <f>VLOOKUP(CLEAN(H30),#REF!,2,FALSE)</f>
        <v>#REF!</v>
      </c>
      <c r="BG30" s="189" t="e">
        <f>T30-BF30</f>
        <v>#REF!</v>
      </c>
      <c r="BO30" s="2" t="e">
        <f>VLOOKUP(H30,#REF!,13,FALSE)</f>
        <v>#REF!</v>
      </c>
      <c r="BP30" s="2" t="e">
        <f>VLOOKUP(H30,#REF!,2,FALSE)</f>
        <v>#REF!</v>
      </c>
      <c r="BQ30" s="2" t="e">
        <f>VLOOKUP(H30,#REF!,13,FALSE)</f>
        <v>#REF!</v>
      </c>
      <c r="BR30" s="2" t="e">
        <f>VLOOKUP(H30,#REF!,3,FALSE)</f>
        <v>#REF!</v>
      </c>
    </row>
    <row r="31" spans="1:70" ht="15" customHeight="1" outlineLevel="2">
      <c r="A31" s="7"/>
      <c r="B31" s="7"/>
      <c r="C31" s="7"/>
      <c r="D31" s="7"/>
      <c r="E31" s="7"/>
      <c r="F31" s="7"/>
      <c r="G31" s="7"/>
      <c r="H31" s="11"/>
      <c r="I31" s="11"/>
      <c r="J31" s="11"/>
      <c r="K31" s="11"/>
      <c r="L31" s="17" t="s">
        <v>693</v>
      </c>
      <c r="M31" s="27">
        <f t="shared" ref="M31:X31" si="15">SUBTOTAL(9,M23:M30)</f>
        <v>19296596000</v>
      </c>
      <c r="N31" s="27">
        <f t="shared" si="15"/>
        <v>0</v>
      </c>
      <c r="O31" s="27">
        <f t="shared" si="15"/>
        <v>143720061</v>
      </c>
      <c r="P31" s="24">
        <f t="shared" si="15"/>
        <v>0</v>
      </c>
      <c r="Q31" s="24">
        <f t="shared" si="15"/>
        <v>0</v>
      </c>
      <c r="R31" s="24">
        <f t="shared" si="15"/>
        <v>0</v>
      </c>
      <c r="S31" s="27">
        <f t="shared" si="15"/>
        <v>0</v>
      </c>
      <c r="T31" s="27">
        <f t="shared" si="15"/>
        <v>0</v>
      </c>
      <c r="U31" s="27">
        <f t="shared" si="15"/>
        <v>0</v>
      </c>
      <c r="V31" s="27">
        <f t="shared" si="15"/>
        <v>0</v>
      </c>
      <c r="W31" s="27">
        <f t="shared" si="15"/>
        <v>143720061</v>
      </c>
      <c r="X31" s="27">
        <f t="shared" si="15"/>
        <v>19152875939</v>
      </c>
      <c r="Y31" s="47"/>
      <c r="Z31" s="47"/>
      <c r="AM31" s="185" t="e">
        <f>VLOOKUP(CLEAN(H31),#REF!,7,FALSE)</f>
        <v>#REF!</v>
      </c>
      <c r="AO31"/>
      <c r="AP31"/>
      <c r="AQ31"/>
      <c r="AR31" s="2" t="e">
        <f>VLOOKUP(CLEAN(H31),#REF!,2,FALSE)</f>
        <v>#REF!</v>
      </c>
      <c r="AZ31" s="2" t="e">
        <f>VLOOKUP(H31,#REF!,2,FALSE)</f>
        <v>#REF!</v>
      </c>
      <c r="BO31" s="2" t="e">
        <f>VLOOKUP(H31,#REF!,13,FALSE)</f>
        <v>#REF!</v>
      </c>
      <c r="BQ31" s="2" t="e">
        <f>VLOOKUP(H31,#REF!,13,FALSE)</f>
        <v>#REF!</v>
      </c>
    </row>
    <row r="32" spans="1:70" ht="15" customHeight="1" outlineLevel="2">
      <c r="A32" s="7"/>
      <c r="B32" s="7"/>
      <c r="C32" s="7"/>
      <c r="D32" s="7"/>
      <c r="E32" s="7"/>
      <c r="F32" s="7"/>
      <c r="G32" s="7"/>
      <c r="H32" s="11"/>
      <c r="I32" s="11"/>
      <c r="J32" s="11"/>
      <c r="K32" s="11"/>
      <c r="L32" s="292"/>
      <c r="M32" s="22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47"/>
      <c r="Z32" s="47"/>
      <c r="AM32" s="185" t="e">
        <f>VLOOKUP(CLEAN(H32),#REF!,7,FALSE)</f>
        <v>#REF!</v>
      </c>
      <c r="AO32"/>
      <c r="AP32"/>
      <c r="AQ32"/>
      <c r="AR32" s="2" t="e">
        <f>VLOOKUP(CLEAN(H32),#REF!,2,FALSE)</f>
        <v>#REF!</v>
      </c>
      <c r="AZ32" s="2" t="e">
        <f>VLOOKUP(H32,#REF!,2,FALSE)</f>
        <v>#REF!</v>
      </c>
      <c r="BO32" s="2" t="e">
        <f>VLOOKUP(H32,#REF!,13,FALSE)</f>
        <v>#REF!</v>
      </c>
      <c r="BP32" s="293"/>
      <c r="BQ32" s="2" t="e">
        <f>VLOOKUP(H32,#REF!,13,FALSE)</f>
        <v>#REF!</v>
      </c>
    </row>
    <row r="33" spans="1:70" ht="18.75" customHeight="1" outlineLevel="1">
      <c r="A33" s="7"/>
      <c r="B33" s="7"/>
      <c r="C33" s="7"/>
      <c r="D33" s="7"/>
      <c r="E33" s="8"/>
      <c r="F33" s="7"/>
      <c r="G33" s="7"/>
      <c r="H33" s="11"/>
      <c r="I33" s="11"/>
      <c r="J33" s="11"/>
      <c r="K33" s="11"/>
      <c r="L33" s="45" t="s">
        <v>149</v>
      </c>
      <c r="M33" s="46">
        <f>M11+M16+M31+M20</f>
        <v>37711774953</v>
      </c>
      <c r="N33" s="46">
        <f t="shared" ref="N33:O33" si="16">N11+N16+N31+N20</f>
        <v>3388165217</v>
      </c>
      <c r="O33" s="46">
        <f t="shared" si="16"/>
        <v>6962314246</v>
      </c>
      <c r="P33" s="46">
        <f t="shared" ref="P33:X33" si="17">P11+P16+P31+P20</f>
        <v>260033480</v>
      </c>
      <c r="Q33" s="46">
        <f t="shared" si="17"/>
        <v>150621228</v>
      </c>
      <c r="R33" s="46">
        <f t="shared" si="17"/>
        <v>534885506</v>
      </c>
      <c r="S33" s="46">
        <f t="shared" si="17"/>
        <v>945540214</v>
      </c>
      <c r="T33" s="46">
        <f t="shared" si="17"/>
        <v>479708092</v>
      </c>
      <c r="U33" s="46">
        <f t="shared" si="17"/>
        <v>767460930</v>
      </c>
      <c r="V33" s="46">
        <f t="shared" si="17"/>
        <v>2192709236</v>
      </c>
      <c r="W33" s="46">
        <f t="shared" si="17"/>
        <v>4769605010</v>
      </c>
      <c r="X33" s="46">
        <f t="shared" si="17"/>
        <v>27361295490</v>
      </c>
      <c r="Y33" s="47"/>
      <c r="Z33" s="47"/>
      <c r="AM33" s="185" t="e">
        <f>VLOOKUP(CLEAN(H33),#REF!,7,FALSE)</f>
        <v>#REF!</v>
      </c>
      <c r="AO33"/>
      <c r="AP33"/>
      <c r="AQ33"/>
      <c r="AR33" s="2" t="e">
        <f>VLOOKUP(CLEAN(H33),#REF!,2,FALSE)</f>
        <v>#REF!</v>
      </c>
      <c r="AZ33" s="2" t="e">
        <f>VLOOKUP(H33,#REF!,2,FALSE)</f>
        <v>#REF!</v>
      </c>
      <c r="BO33" s="2" t="e">
        <f>VLOOKUP(H33,#REF!,13,FALSE)</f>
        <v>#REF!</v>
      </c>
      <c r="BQ33" s="2" t="e">
        <f>VLOOKUP(H33,#REF!,13,FALSE)</f>
        <v>#REF!</v>
      </c>
    </row>
    <row r="34" spans="1:70" s="3" customFormat="1" ht="15" customHeight="1" outlineLevel="1">
      <c r="A34" s="7"/>
      <c r="B34" s="7"/>
      <c r="C34" s="7"/>
      <c r="D34" s="7"/>
      <c r="E34" s="8"/>
      <c r="F34" s="7"/>
      <c r="G34" s="7"/>
      <c r="H34" s="11"/>
      <c r="I34" s="11"/>
      <c r="J34" s="11"/>
      <c r="K34" s="11"/>
      <c r="L34" s="294"/>
      <c r="M34" s="26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47"/>
      <c r="Z34" s="47"/>
      <c r="AJ34" s="186"/>
      <c r="AK34" s="186"/>
      <c r="AL34" s="186"/>
      <c r="AM34" s="185" t="e">
        <f>VLOOKUP(CLEAN(H34),#REF!,7,FALSE)</f>
        <v>#REF!</v>
      </c>
      <c r="AR34" s="2" t="e">
        <f>VLOOKUP(CLEAN(H34),#REF!,2,FALSE)</f>
        <v>#REF!</v>
      </c>
      <c r="AZ34" s="2" t="e">
        <f>VLOOKUP(H34,#REF!,2,FALSE)</f>
        <v>#REF!</v>
      </c>
      <c r="BF34" s="193"/>
      <c r="BO34" s="2" t="e">
        <f>VLOOKUP(H34,#REF!,13,FALSE)</f>
        <v>#REF!</v>
      </c>
      <c r="BP34" s="7"/>
      <c r="BQ34" s="2" t="e">
        <f>VLOOKUP(H34,#REF!,13,FALSE)</f>
        <v>#REF!</v>
      </c>
    </row>
    <row r="35" spans="1:70" ht="26.25" customHeight="1" outlineLevel="1">
      <c r="A35" s="7"/>
      <c r="B35" s="7"/>
      <c r="C35" s="7"/>
      <c r="D35" s="7"/>
      <c r="E35" s="8"/>
      <c r="F35" s="7"/>
      <c r="G35" s="7"/>
      <c r="H35" s="11"/>
      <c r="I35" s="11"/>
      <c r="J35" s="11"/>
      <c r="K35" s="11"/>
      <c r="L35" s="57" t="s">
        <v>474</v>
      </c>
      <c r="M35" s="26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49"/>
      <c r="Z35" s="49"/>
      <c r="AM35" s="185" t="e">
        <f>VLOOKUP(CLEAN(H35),#REF!,7,FALSE)</f>
        <v>#REF!</v>
      </c>
      <c r="AO35"/>
      <c r="AP35"/>
      <c r="AQ35"/>
      <c r="AR35" s="2" t="e">
        <f>VLOOKUP(CLEAN(H35),#REF!,2,FALSE)</f>
        <v>#REF!</v>
      </c>
      <c r="AZ35" s="2" t="e">
        <f>VLOOKUP(H35,#REF!,2,FALSE)</f>
        <v>#REF!</v>
      </c>
      <c r="BO35" s="2" t="e">
        <f>VLOOKUP(H35,#REF!,13,FALSE)</f>
        <v>#REF!</v>
      </c>
      <c r="BQ35" s="2" t="e">
        <f>VLOOKUP(H35,#REF!,13,FALSE)</f>
        <v>#REF!</v>
      </c>
    </row>
    <row r="36" spans="1:70" ht="15" customHeight="1" outlineLevel="1">
      <c r="A36" s="7"/>
      <c r="B36" s="7"/>
      <c r="C36" s="7"/>
      <c r="D36" s="7"/>
      <c r="E36" s="8"/>
      <c r="F36" s="7"/>
      <c r="G36" s="7"/>
      <c r="H36" s="11"/>
      <c r="I36" s="11"/>
      <c r="J36" s="11"/>
      <c r="K36" s="11"/>
      <c r="L36" s="18" t="s">
        <v>695</v>
      </c>
      <c r="M36" s="26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49"/>
      <c r="Z36" s="49"/>
      <c r="AM36" s="185" t="e">
        <f>VLOOKUP(CLEAN(H36),#REF!,7,FALSE)</f>
        <v>#REF!</v>
      </c>
      <c r="AO36"/>
      <c r="AP36"/>
      <c r="AQ36"/>
      <c r="AR36" s="2" t="e">
        <f>VLOOKUP(CLEAN(H36),#REF!,2,FALSE)</f>
        <v>#REF!</v>
      </c>
      <c r="AZ36" s="2" t="e">
        <f>VLOOKUP(H36,#REF!,2,FALSE)</f>
        <v>#REF!</v>
      </c>
      <c r="BO36" s="2" t="e">
        <f>VLOOKUP(H36,#REF!,13,FALSE)</f>
        <v>#REF!</v>
      </c>
      <c r="BQ36" s="2" t="e">
        <f>VLOOKUP(H36,#REF!,13,FALSE)</f>
        <v>#REF!</v>
      </c>
    </row>
    <row r="37" spans="1:70" s="2" customFormat="1" ht="15" customHeight="1" outlineLevel="2">
      <c r="A37" s="5">
        <v>31</v>
      </c>
      <c r="B37" s="5" t="s">
        <v>54</v>
      </c>
      <c r="C37" s="5" t="s">
        <v>240</v>
      </c>
      <c r="D37" s="5" t="s">
        <v>7</v>
      </c>
      <c r="E37" s="5" t="s">
        <v>67</v>
      </c>
      <c r="F37" s="5" t="s">
        <v>457</v>
      </c>
      <c r="G37" s="5" t="s">
        <v>9</v>
      </c>
      <c r="H37" s="12">
        <v>30412923</v>
      </c>
      <c r="I37" s="42" t="str">
        <f>CONCATENATE(H37,"-",G37)</f>
        <v>30412923-DISEÑO</v>
      </c>
      <c r="J37" s="12" t="s">
        <v>709</v>
      </c>
      <c r="K37" s="307" t="str">
        <f>CLEAN(H37)</f>
        <v>30412923</v>
      </c>
      <c r="L37" s="15" t="s">
        <v>250</v>
      </c>
      <c r="M37" s="23">
        <v>19780000</v>
      </c>
      <c r="N37" s="34">
        <v>3756000</v>
      </c>
      <c r="O37" s="34">
        <v>5934000</v>
      </c>
      <c r="P37" s="310">
        <v>0</v>
      </c>
      <c r="Q37" s="34">
        <v>0</v>
      </c>
      <c r="R37" s="308">
        <v>0</v>
      </c>
      <c r="S37" s="34">
        <f>P37+Q37+R37</f>
        <v>0</v>
      </c>
      <c r="T37" s="34">
        <v>0</v>
      </c>
      <c r="U37" s="34">
        <v>0</v>
      </c>
      <c r="V37" s="34">
        <f>P37+Q37+R37+T37+U37</f>
        <v>0</v>
      </c>
      <c r="W37" s="34">
        <f>O37-V37</f>
        <v>5934000</v>
      </c>
      <c r="X37" s="34">
        <f>M37-(N37+O37)</f>
        <v>10090000</v>
      </c>
      <c r="Y37" s="48" t="s">
        <v>239</v>
      </c>
      <c r="Z37" s="48" t="s">
        <v>8</v>
      </c>
      <c r="AA37" s="2" t="e">
        <v>#N/A</v>
      </c>
      <c r="AB37" s="2" t="e">
        <f>VLOOKUP(H37,#REF!,2,FALSE)</f>
        <v>#REF!</v>
      </c>
      <c r="AC37" s="2" t="e">
        <f>VLOOKUP(I37,#REF!,2,FALSE)</f>
        <v>#REF!</v>
      </c>
      <c r="AD37" s="2" t="e">
        <f>VLOOKUP(H37,#REF!,13,FALSE)</f>
        <v>#REF!</v>
      </c>
      <c r="AE37" s="2" t="e">
        <f>VLOOKUP(I37,#REF!,7,FALSE)</f>
        <v>#REF!</v>
      </c>
      <c r="AF37" s="2">
        <v>25</v>
      </c>
      <c r="AG37" s="2" t="e">
        <f>VLOOKUP(H37,#REF!,13,FALSE)</f>
        <v>#REF!</v>
      </c>
      <c r="AH37" s="2" t="e">
        <f>VLOOKUP(I37,#REF!,2,FALSE)</f>
        <v>#REF!</v>
      </c>
      <c r="AJ37" s="185" t="e">
        <f>VLOOKUP(H37,#REF!,3,FALSE)</f>
        <v>#REF!</v>
      </c>
      <c r="AK37" s="185"/>
      <c r="AL37" s="185" t="e">
        <f>VLOOKUP(H37,#REF!,13,FALSE)</f>
        <v>#REF!</v>
      </c>
      <c r="AM37" s="185" t="e">
        <f>VLOOKUP(CLEAN(H37),#REF!,7,FALSE)</f>
        <v>#REF!</v>
      </c>
      <c r="AN37" s="2" t="e">
        <f>VLOOKUP(H37,#REF!,8,FALSE)</f>
        <v>#REF!</v>
      </c>
      <c r="AO37" s="189" t="e">
        <f>VLOOKUP(H37,#REF!,2,FALSE)</f>
        <v>#REF!</v>
      </c>
      <c r="AP37" s="189" t="e">
        <f>VLOOKUP(H37,#REF!,2,FALSE)</f>
        <v>#REF!</v>
      </c>
      <c r="AQ37" s="189"/>
      <c r="AR37" s="2" t="e">
        <f>VLOOKUP(CLEAN(H37),#REF!,2,FALSE)</f>
        <v>#REF!</v>
      </c>
      <c r="AT37" s="2" t="e">
        <f>VLOOKUP(H37,#REF!,13,FALSE)</f>
        <v>#REF!</v>
      </c>
      <c r="AU37" s="2" t="e">
        <f>VLOOKUP(H37,#REF!,13,FALSE)</f>
        <v>#REF!</v>
      </c>
      <c r="AV37" s="2" t="e">
        <f>VLOOKUP(H37,#REF!,13,FALSE)</f>
        <v>#REF!</v>
      </c>
      <c r="AW37" s="2" t="e">
        <f>VLOOKUP(H37,#REF!,13,FALSE)</f>
        <v>#REF!</v>
      </c>
      <c r="AX37" s="2" t="e">
        <f>VLOOKUP(H37,#REF!,9,FALSE)</f>
        <v>#REF!</v>
      </c>
      <c r="AZ37" s="2" t="e">
        <f>VLOOKUP(H37,#REF!,2,FALSE)</f>
        <v>#REF!</v>
      </c>
      <c r="BF37" s="189" t="e">
        <f>VLOOKUP(CLEAN(H37),#REF!,2,FALSE)</f>
        <v>#REF!</v>
      </c>
      <c r="BG37" s="189" t="e">
        <f>T37-BF37</f>
        <v>#REF!</v>
      </c>
      <c r="BO37" s="2" t="e">
        <f>VLOOKUP(H37,#REF!,13,FALSE)</f>
        <v>#REF!</v>
      </c>
      <c r="BP37" s="2" t="e">
        <f>VLOOKUP(H37,#REF!,2,FALSE)</f>
        <v>#REF!</v>
      </c>
      <c r="BQ37" s="2" t="e">
        <f>VLOOKUP(H37,#REF!,13,FALSE)</f>
        <v>#REF!</v>
      </c>
      <c r="BR37" s="2" t="e">
        <f>VLOOKUP(H37,#REF!,3,FALSE)</f>
        <v>#REF!</v>
      </c>
    </row>
    <row r="38" spans="1:70" ht="15" customHeight="1" outlineLevel="2">
      <c r="A38" s="7"/>
      <c r="B38" s="7"/>
      <c r="C38" s="7"/>
      <c r="D38" s="7"/>
      <c r="E38" s="7"/>
      <c r="F38" s="7"/>
      <c r="G38" s="7"/>
      <c r="H38" s="11"/>
      <c r="I38" s="11"/>
      <c r="J38" s="11"/>
      <c r="K38" s="11"/>
      <c r="L38" s="17" t="s">
        <v>691</v>
      </c>
      <c r="M38" s="27">
        <f t="shared" ref="M38:X38" si="18">SUBTOTAL(9,M37:M37)</f>
        <v>19780000</v>
      </c>
      <c r="N38" s="27">
        <f t="shared" si="18"/>
        <v>3756000</v>
      </c>
      <c r="O38" s="27">
        <f t="shared" si="18"/>
        <v>5934000</v>
      </c>
      <c r="P38" s="24">
        <f t="shared" si="18"/>
        <v>0</v>
      </c>
      <c r="Q38" s="24">
        <f t="shared" si="18"/>
        <v>0</v>
      </c>
      <c r="R38" s="24">
        <f t="shared" si="18"/>
        <v>0</v>
      </c>
      <c r="S38" s="27">
        <f t="shared" si="18"/>
        <v>0</v>
      </c>
      <c r="T38" s="27">
        <f t="shared" si="18"/>
        <v>0</v>
      </c>
      <c r="U38" s="27">
        <f t="shared" si="18"/>
        <v>0</v>
      </c>
      <c r="V38" s="27">
        <f t="shared" si="18"/>
        <v>0</v>
      </c>
      <c r="W38" s="27">
        <f t="shared" si="18"/>
        <v>5934000</v>
      </c>
      <c r="X38" s="27">
        <f t="shared" si="18"/>
        <v>10090000</v>
      </c>
      <c r="Y38" s="47"/>
      <c r="Z38" s="47"/>
      <c r="AM38" s="185" t="e">
        <f>VLOOKUP(CLEAN(H38),#REF!,7,FALSE)</f>
        <v>#REF!</v>
      </c>
      <c r="AO38"/>
      <c r="AP38"/>
      <c r="AQ38"/>
      <c r="AR38" s="2" t="e">
        <f>VLOOKUP(CLEAN(H38),#REF!,2,FALSE)</f>
        <v>#REF!</v>
      </c>
      <c r="AZ38" s="2" t="e">
        <f>VLOOKUP(H38,#REF!,2,FALSE)</f>
        <v>#REF!</v>
      </c>
      <c r="BO38" s="2" t="e">
        <f>VLOOKUP(H38,#REF!,13,FALSE)</f>
        <v>#REF!</v>
      </c>
      <c r="BQ38" s="2" t="e">
        <f>VLOOKUP(H38,#REF!,13,FALSE)</f>
        <v>#REF!</v>
      </c>
    </row>
    <row r="39" spans="1:70" ht="15" customHeight="1" outlineLevel="2">
      <c r="A39" s="7"/>
      <c r="B39" s="7"/>
      <c r="C39" s="7"/>
      <c r="D39" s="7"/>
      <c r="E39" s="7"/>
      <c r="F39" s="7"/>
      <c r="G39" s="7"/>
      <c r="H39" s="11"/>
      <c r="I39" s="11"/>
      <c r="J39" s="11"/>
      <c r="K39" s="11"/>
      <c r="L39" s="292"/>
      <c r="M39" s="22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47"/>
      <c r="Z39" s="47"/>
      <c r="AM39" s="185" t="e">
        <f>VLOOKUP(CLEAN(H39),#REF!,7,FALSE)</f>
        <v>#REF!</v>
      </c>
      <c r="AO39"/>
      <c r="AP39"/>
      <c r="AQ39"/>
      <c r="AR39" s="2" t="e">
        <f>VLOOKUP(CLEAN(H39),#REF!,2,FALSE)</f>
        <v>#REF!</v>
      </c>
      <c r="AZ39" s="2" t="e">
        <f>VLOOKUP(H39,#REF!,2,FALSE)</f>
        <v>#REF!</v>
      </c>
      <c r="BO39" s="2" t="e">
        <f>VLOOKUP(H39,#REF!,13,FALSE)</f>
        <v>#REF!</v>
      </c>
      <c r="BP39" s="293"/>
      <c r="BQ39" s="2" t="e">
        <f>VLOOKUP(H39,#REF!,13,FALSE)</f>
        <v>#REF!</v>
      </c>
    </row>
    <row r="40" spans="1:70" ht="15" customHeight="1" outlineLevel="2">
      <c r="A40" s="7"/>
      <c r="B40" s="7"/>
      <c r="C40" s="7"/>
      <c r="D40" s="7"/>
      <c r="E40" s="7"/>
      <c r="F40" s="7"/>
      <c r="G40" s="7"/>
      <c r="H40" s="11"/>
      <c r="I40" s="11"/>
      <c r="J40" s="11"/>
      <c r="K40" s="11"/>
      <c r="L40" s="18" t="s">
        <v>701</v>
      </c>
      <c r="M40" s="22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47"/>
      <c r="Z40" s="47"/>
      <c r="AO40"/>
      <c r="AP40"/>
      <c r="AQ40"/>
      <c r="AR40" s="2"/>
      <c r="AZ40" s="2"/>
      <c r="BO40" s="2"/>
      <c r="BQ40" s="2" t="e">
        <f>VLOOKUP(H40,#REF!,13,FALSE)</f>
        <v>#REF!</v>
      </c>
    </row>
    <row r="41" spans="1:70" s="2" customFormat="1" ht="15" customHeight="1" outlineLevel="2">
      <c r="A41" s="5">
        <v>31</v>
      </c>
      <c r="B41" s="5" t="s">
        <v>11</v>
      </c>
      <c r="C41" s="5" t="s">
        <v>241</v>
      </c>
      <c r="D41" s="5" t="s">
        <v>7</v>
      </c>
      <c r="E41" s="5" t="s">
        <v>67</v>
      </c>
      <c r="F41" s="5" t="s">
        <v>89</v>
      </c>
      <c r="G41" s="5" t="s">
        <v>144</v>
      </c>
      <c r="H41" s="12">
        <v>40001267</v>
      </c>
      <c r="I41" s="42" t="str">
        <f>CONCATENATE(H41,"-",G41)</f>
        <v>40001267-EJECUCION</v>
      </c>
      <c r="J41" s="12"/>
      <c r="K41" s="307" t="str">
        <f>CLEAN(H41)</f>
        <v>40001267</v>
      </c>
      <c r="L41" s="15" t="s">
        <v>809</v>
      </c>
      <c r="M41" s="23">
        <v>483106000</v>
      </c>
      <c r="N41" s="34">
        <v>0</v>
      </c>
      <c r="O41" s="34">
        <v>50000000</v>
      </c>
      <c r="P41" s="310">
        <v>0</v>
      </c>
      <c r="Q41" s="34">
        <v>0</v>
      </c>
      <c r="R41" s="308">
        <v>0</v>
      </c>
      <c r="S41" s="34">
        <f>P41+Q41+R41</f>
        <v>0</v>
      </c>
      <c r="T41" s="34">
        <v>0</v>
      </c>
      <c r="U41" s="34">
        <v>0</v>
      </c>
      <c r="V41" s="34">
        <f>P41+Q41+R41+T41+U41</f>
        <v>0</v>
      </c>
      <c r="W41" s="34">
        <f>O41-V41</f>
        <v>50000000</v>
      </c>
      <c r="X41" s="34">
        <f>M41-(N41+O41)</f>
        <v>433106000</v>
      </c>
      <c r="Y41" s="48" t="s">
        <v>418</v>
      </c>
      <c r="Z41" s="48" t="s">
        <v>10</v>
      </c>
      <c r="AA41" s="2" t="e">
        <v>#N/A</v>
      </c>
      <c r="AB41" s="2" t="e">
        <f>VLOOKUP(H41,#REF!,2,FALSE)</f>
        <v>#REF!</v>
      </c>
      <c r="AC41" s="2" t="e">
        <f>VLOOKUP(I41,#REF!,2,FALSE)</f>
        <v>#REF!</v>
      </c>
      <c r="AD41" s="2" t="e">
        <f>VLOOKUP(H41,#REF!,13,FALSE)</f>
        <v>#REF!</v>
      </c>
      <c r="AE41" s="2" t="e">
        <f>VLOOKUP(I41,#REF!,7,FALSE)</f>
        <v>#REF!</v>
      </c>
      <c r="AF41" s="2">
        <v>25</v>
      </c>
      <c r="AG41" s="2" t="e">
        <f>VLOOKUP(H41,#REF!,13,FALSE)</f>
        <v>#REF!</v>
      </c>
      <c r="AH41" s="2" t="e">
        <f>VLOOKUP(I41,#REF!,2,FALSE)</f>
        <v>#REF!</v>
      </c>
      <c r="AJ41" s="185" t="e">
        <f>VLOOKUP(H41,#REF!,3,FALSE)</f>
        <v>#REF!</v>
      </c>
      <c r="AK41" s="185"/>
      <c r="AL41" s="185" t="e">
        <f>VLOOKUP(H41,#REF!,13,FALSE)</f>
        <v>#REF!</v>
      </c>
      <c r="AM41" s="185" t="e">
        <f>VLOOKUP(CLEAN(H41),#REF!,7,FALSE)</f>
        <v>#REF!</v>
      </c>
      <c r="AN41" s="2" t="e">
        <f>VLOOKUP(H41,#REF!,8,FALSE)</f>
        <v>#REF!</v>
      </c>
      <c r="AO41" s="189" t="e">
        <f>VLOOKUP(H41,#REF!,2,FALSE)</f>
        <v>#REF!</v>
      </c>
      <c r="AP41" s="189" t="e">
        <f>VLOOKUP(H41,#REF!,2,FALSE)</f>
        <v>#REF!</v>
      </c>
      <c r="AQ41" s="189"/>
      <c r="AR41" s="2" t="e">
        <f>VLOOKUP(CLEAN(H41),#REF!,2,FALSE)</f>
        <v>#REF!</v>
      </c>
      <c r="AT41" s="2" t="e">
        <f>VLOOKUP(H41,#REF!,13,FALSE)</f>
        <v>#REF!</v>
      </c>
      <c r="AU41" s="2" t="e">
        <f>VLOOKUP(H41,#REF!,13,FALSE)</f>
        <v>#REF!</v>
      </c>
      <c r="AV41" s="2" t="e">
        <f>VLOOKUP(H41,#REF!,13,FALSE)</f>
        <v>#REF!</v>
      </c>
      <c r="AW41" s="2" t="e">
        <f>VLOOKUP(H41,#REF!,13,FALSE)</f>
        <v>#REF!</v>
      </c>
      <c r="AX41" s="2" t="e">
        <f>VLOOKUP(H41,#REF!,9,FALSE)</f>
        <v>#REF!</v>
      </c>
      <c r="AZ41" s="2" t="e">
        <f>VLOOKUP(H41,#REF!,2,FALSE)</f>
        <v>#REF!</v>
      </c>
      <c r="BF41" s="189" t="e">
        <f>VLOOKUP(CLEAN(H41),#REF!,2,FALSE)</f>
        <v>#REF!</v>
      </c>
      <c r="BG41" s="189" t="e">
        <f>T41-BF41</f>
        <v>#REF!</v>
      </c>
      <c r="BO41" s="2" t="e">
        <f>VLOOKUP(H41,#REF!,13,FALSE)</f>
        <v>#REF!</v>
      </c>
      <c r="BP41" s="2" t="e">
        <f>VLOOKUP(H41,#REF!,2,FALSE)</f>
        <v>#REF!</v>
      </c>
      <c r="BQ41" s="2" t="e">
        <f>VLOOKUP(H41,#REF!,13,FALSE)</f>
        <v>#REF!</v>
      </c>
      <c r="BR41" s="2" t="e">
        <f>VLOOKUP(H41,#REF!,3,FALSE)</f>
        <v>#REF!</v>
      </c>
    </row>
    <row r="42" spans="1:70" ht="15" customHeight="1" outlineLevel="2">
      <c r="A42" s="7"/>
      <c r="B42" s="7"/>
      <c r="C42" s="7"/>
      <c r="D42" s="7"/>
      <c r="E42" s="7"/>
      <c r="F42" s="7"/>
      <c r="G42" s="7"/>
      <c r="H42" s="11"/>
      <c r="I42" s="11"/>
      <c r="J42" s="11"/>
      <c r="K42" s="11"/>
      <c r="L42" s="17" t="s">
        <v>702</v>
      </c>
      <c r="M42" s="27">
        <f>SUBTOTAL(9,M41)</f>
        <v>483106000</v>
      </c>
      <c r="N42" s="27">
        <f t="shared" ref="N42:O42" si="19">SUBTOTAL(9,N41)</f>
        <v>0</v>
      </c>
      <c r="O42" s="27">
        <f t="shared" si="19"/>
        <v>50000000</v>
      </c>
      <c r="P42" s="24">
        <f t="shared" ref="P42:X42" si="20">SUBTOTAL(9,P41)</f>
        <v>0</v>
      </c>
      <c r="Q42" s="24">
        <f t="shared" si="20"/>
        <v>0</v>
      </c>
      <c r="R42" s="24">
        <f t="shared" si="20"/>
        <v>0</v>
      </c>
      <c r="S42" s="27">
        <f t="shared" si="20"/>
        <v>0</v>
      </c>
      <c r="T42" s="27">
        <f t="shared" si="20"/>
        <v>0</v>
      </c>
      <c r="U42" s="27">
        <f t="shared" si="20"/>
        <v>0</v>
      </c>
      <c r="V42" s="27">
        <f t="shared" si="20"/>
        <v>0</v>
      </c>
      <c r="W42" s="27">
        <f t="shared" si="20"/>
        <v>50000000</v>
      </c>
      <c r="X42" s="27">
        <f t="shared" si="20"/>
        <v>433106000</v>
      </c>
      <c r="Y42" s="47"/>
      <c r="Z42" s="47"/>
      <c r="AO42"/>
      <c r="AP42"/>
      <c r="AQ42"/>
      <c r="AR42" s="2"/>
      <c r="AZ42" s="2"/>
      <c r="BO42" s="2"/>
      <c r="BQ42" s="2" t="e">
        <f>VLOOKUP(H42,#REF!,13,FALSE)</f>
        <v>#REF!</v>
      </c>
    </row>
    <row r="43" spans="1:70" ht="15" customHeight="1" outlineLevel="2">
      <c r="A43" s="7"/>
      <c r="B43" s="7"/>
      <c r="C43" s="7"/>
      <c r="D43" s="7"/>
      <c r="E43" s="7"/>
      <c r="F43" s="7"/>
      <c r="G43" s="7"/>
      <c r="H43" s="11"/>
      <c r="I43" s="11"/>
      <c r="J43" s="11"/>
      <c r="K43" s="11"/>
      <c r="L43" s="292"/>
      <c r="M43" s="22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47"/>
      <c r="Z43" s="47"/>
      <c r="AO43"/>
      <c r="AP43"/>
      <c r="AQ43"/>
      <c r="AR43" s="2"/>
      <c r="AZ43" s="2"/>
      <c r="BO43" s="2"/>
      <c r="BP43" s="293"/>
      <c r="BQ43" s="2" t="e">
        <f>VLOOKUP(H43,#REF!,13,FALSE)</f>
        <v>#REF!</v>
      </c>
    </row>
    <row r="44" spans="1:70" ht="15" customHeight="1" outlineLevel="2">
      <c r="A44" s="7"/>
      <c r="B44" s="7"/>
      <c r="C44" s="7"/>
      <c r="D44" s="7"/>
      <c r="E44" s="7"/>
      <c r="F44" s="7"/>
      <c r="G44" s="7"/>
      <c r="H44" s="11"/>
      <c r="I44" s="11"/>
      <c r="J44" s="11"/>
      <c r="K44" s="11"/>
      <c r="L44" s="18" t="s">
        <v>696</v>
      </c>
      <c r="M44" s="22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47"/>
      <c r="Z44" s="47"/>
      <c r="AM44" s="185" t="e">
        <f>VLOOKUP(CLEAN(H44),#REF!,7,FALSE)</f>
        <v>#REF!</v>
      </c>
      <c r="AO44"/>
      <c r="AP44"/>
      <c r="AQ44"/>
      <c r="AR44" s="2" t="e">
        <f>VLOOKUP(CLEAN(H44),#REF!,2,FALSE)</f>
        <v>#REF!</v>
      </c>
      <c r="AZ44" s="2" t="e">
        <f>VLOOKUP(H44,#REF!,2,FALSE)</f>
        <v>#REF!</v>
      </c>
      <c r="BO44" s="2" t="e">
        <f>VLOOKUP(H44,#REF!,13,FALSE)</f>
        <v>#REF!</v>
      </c>
      <c r="BQ44" s="2" t="e">
        <f>VLOOKUP(H44,#REF!,13,FALSE)</f>
        <v>#REF!</v>
      </c>
    </row>
    <row r="45" spans="1:70" s="2" customFormat="1" ht="15" customHeight="1" outlineLevel="2">
      <c r="A45" s="5">
        <v>33</v>
      </c>
      <c r="B45" s="5" t="s">
        <v>5</v>
      </c>
      <c r="C45" s="5" t="s">
        <v>248</v>
      </c>
      <c r="D45" s="5" t="s">
        <v>7</v>
      </c>
      <c r="E45" s="5" t="s">
        <v>67</v>
      </c>
      <c r="F45" s="5" t="s">
        <v>14</v>
      </c>
      <c r="G45" s="5" t="s">
        <v>144</v>
      </c>
      <c r="H45" s="12">
        <v>30068581</v>
      </c>
      <c r="I45" s="42" t="str">
        <f t="shared" ref="I45:I49" si="21">CONCATENATE(H45,"-",G45)</f>
        <v>30068581-EJECUCION</v>
      </c>
      <c r="J45" s="12"/>
      <c r="K45" s="307" t="str">
        <f t="shared" ref="K45:K49" si="22">CLEAN(H45)</f>
        <v>30068581</v>
      </c>
      <c r="L45" s="15" t="s">
        <v>68</v>
      </c>
      <c r="M45" s="23">
        <v>1836998000</v>
      </c>
      <c r="N45" s="34">
        <v>1369473125</v>
      </c>
      <c r="O45" s="34">
        <v>0</v>
      </c>
      <c r="P45" s="310">
        <v>0</v>
      </c>
      <c r="Q45" s="34">
        <v>0</v>
      </c>
      <c r="R45" s="308">
        <v>0</v>
      </c>
      <c r="S45" s="34">
        <f t="shared" ref="S45:S49" si="23">P45+Q45+R45</f>
        <v>0</v>
      </c>
      <c r="T45" s="34">
        <v>0</v>
      </c>
      <c r="U45" s="34">
        <v>0</v>
      </c>
      <c r="V45" s="34">
        <f>P45+Q45+R45+T45+U45</f>
        <v>0</v>
      </c>
      <c r="W45" s="34">
        <f>O45-V45</f>
        <v>0</v>
      </c>
      <c r="X45" s="34">
        <f>M45-(N45+O45)</f>
        <v>467524875</v>
      </c>
      <c r="Y45" s="48" t="s">
        <v>239</v>
      </c>
      <c r="Z45" s="48" t="s">
        <v>8</v>
      </c>
      <c r="AA45" s="2" t="s">
        <v>849</v>
      </c>
      <c r="AB45" s="2" t="e">
        <f>VLOOKUP(H45,#REF!,2,FALSE)</f>
        <v>#REF!</v>
      </c>
      <c r="AC45" s="2" t="e">
        <f>VLOOKUP(I45,#REF!,2,FALSE)</f>
        <v>#REF!</v>
      </c>
      <c r="AD45" s="2" t="e">
        <f>VLOOKUP(H45,#REF!,13,FALSE)</f>
        <v>#REF!</v>
      </c>
      <c r="AE45" s="177" t="e">
        <f>VLOOKUP(I45,#REF!,7,FALSE)</f>
        <v>#REF!</v>
      </c>
      <c r="AF45" s="2">
        <v>25</v>
      </c>
      <c r="AG45" s="2" t="e">
        <f>VLOOKUP(H45,#REF!,13,FALSE)</f>
        <v>#REF!</v>
      </c>
      <c r="AH45" s="2" t="e">
        <f>VLOOKUP(I45,#REF!,2,FALSE)</f>
        <v>#REF!</v>
      </c>
      <c r="AJ45" s="185" t="e">
        <f>VLOOKUP(H45,#REF!,3,FALSE)</f>
        <v>#REF!</v>
      </c>
      <c r="AK45" s="185"/>
      <c r="AL45" s="185"/>
      <c r="AM45" s="185" t="e">
        <f>VLOOKUP(CLEAN(H45),#REF!,7,FALSE)</f>
        <v>#REF!</v>
      </c>
      <c r="AN45" s="2" t="e">
        <f>VLOOKUP(H45,#REF!,8,FALSE)</f>
        <v>#REF!</v>
      </c>
      <c r="AO45" s="189" t="e">
        <f>VLOOKUP(H45,#REF!,2,FALSE)</f>
        <v>#REF!</v>
      </c>
      <c r="AP45" s="189" t="e">
        <f>VLOOKUP(H45,#REF!,2,FALSE)</f>
        <v>#REF!</v>
      </c>
      <c r="AQ45" s="189"/>
      <c r="AR45" s="2" t="e">
        <f>VLOOKUP(CLEAN(H45),#REF!,2,FALSE)</f>
        <v>#REF!</v>
      </c>
      <c r="AT45" s="2" t="e">
        <f>VLOOKUP(H45,#REF!,13,FALSE)</f>
        <v>#REF!</v>
      </c>
      <c r="AU45" s="2" t="e">
        <f>VLOOKUP(H45,#REF!,13,FALSE)</f>
        <v>#REF!</v>
      </c>
      <c r="AV45" s="2" t="e">
        <f>VLOOKUP(H45,#REF!,13,FALSE)</f>
        <v>#REF!</v>
      </c>
      <c r="AW45" s="2" t="e">
        <f>VLOOKUP(H45,#REF!,13,FALSE)</f>
        <v>#REF!</v>
      </c>
      <c r="AX45" s="2" t="e">
        <f>VLOOKUP(H45,#REF!,9,FALSE)</f>
        <v>#REF!</v>
      </c>
      <c r="AZ45" s="2" t="e">
        <f>VLOOKUP(H45,#REF!,2,FALSE)</f>
        <v>#REF!</v>
      </c>
      <c r="BF45" s="189" t="e">
        <f>VLOOKUP(CLEAN(H45),#REF!,2,FALSE)</f>
        <v>#REF!</v>
      </c>
      <c r="BG45" s="189" t="e">
        <f>T45-BF45</f>
        <v>#REF!</v>
      </c>
      <c r="BO45" s="2" t="e">
        <f>VLOOKUP(H45,#REF!,13,FALSE)</f>
        <v>#REF!</v>
      </c>
      <c r="BP45" s="2" t="e">
        <f>VLOOKUP(H45,#REF!,2,FALSE)</f>
        <v>#REF!</v>
      </c>
      <c r="BQ45" s="2" t="e">
        <f>VLOOKUP(H45,#REF!,13,FALSE)</f>
        <v>#REF!</v>
      </c>
      <c r="BR45" s="2" t="e">
        <f>VLOOKUP(H45,#REF!,3,FALSE)</f>
        <v>#REF!</v>
      </c>
    </row>
    <row r="46" spans="1:70" s="2" customFormat="1" ht="15" customHeight="1" outlineLevel="2">
      <c r="A46" s="5">
        <v>31</v>
      </c>
      <c r="B46" s="5" t="s">
        <v>11</v>
      </c>
      <c r="C46" s="5" t="s">
        <v>248</v>
      </c>
      <c r="D46" s="5" t="s">
        <v>7</v>
      </c>
      <c r="E46" s="5" t="s">
        <v>67</v>
      </c>
      <c r="F46" s="5" t="s">
        <v>457</v>
      </c>
      <c r="G46" s="5" t="s">
        <v>9</v>
      </c>
      <c r="H46" s="12">
        <v>40001236</v>
      </c>
      <c r="I46" s="42" t="str">
        <f t="shared" si="21"/>
        <v>40001236-DISEÑO</v>
      </c>
      <c r="J46" s="12"/>
      <c r="K46" s="307" t="str">
        <f t="shared" si="22"/>
        <v>40001236</v>
      </c>
      <c r="L46" s="15" t="s">
        <v>509</v>
      </c>
      <c r="M46" s="23">
        <v>60000000</v>
      </c>
      <c r="N46" s="34">
        <v>0</v>
      </c>
      <c r="O46" s="34">
        <v>10000000</v>
      </c>
      <c r="P46" s="310">
        <v>0</v>
      </c>
      <c r="Q46" s="34">
        <v>0</v>
      </c>
      <c r="R46" s="308">
        <v>0</v>
      </c>
      <c r="S46" s="34">
        <f t="shared" si="23"/>
        <v>0</v>
      </c>
      <c r="T46" s="34">
        <v>0</v>
      </c>
      <c r="U46" s="34">
        <v>0</v>
      </c>
      <c r="V46" s="34">
        <f>P46+Q46+R46+T46+U46</f>
        <v>0</v>
      </c>
      <c r="W46" s="34">
        <f>O46-V46</f>
        <v>10000000</v>
      </c>
      <c r="X46" s="34">
        <f>M46-(N46+O46)</f>
        <v>50000000</v>
      </c>
      <c r="Y46" s="48" t="s">
        <v>382</v>
      </c>
      <c r="Z46" s="48" t="s">
        <v>357</v>
      </c>
      <c r="AA46" s="2" t="e">
        <v>#N/A</v>
      </c>
      <c r="AB46" s="2" t="e">
        <f>VLOOKUP(H46,#REF!,2,FALSE)</f>
        <v>#REF!</v>
      </c>
      <c r="AC46" s="2" t="e">
        <f>VLOOKUP(I46,#REF!,2,FALSE)</f>
        <v>#REF!</v>
      </c>
      <c r="AD46" s="2" t="e">
        <f>VLOOKUP(H46,#REF!,13,FALSE)</f>
        <v>#REF!</v>
      </c>
      <c r="AE46" s="2" t="e">
        <f>VLOOKUP(I46,#REF!,7,FALSE)</f>
        <v>#REF!</v>
      </c>
      <c r="AF46" s="2">
        <v>25</v>
      </c>
      <c r="AG46" s="2" t="e">
        <f>VLOOKUP(H46,#REF!,13,FALSE)</f>
        <v>#REF!</v>
      </c>
      <c r="AH46" s="2" t="e">
        <f>VLOOKUP(I46,#REF!,2,FALSE)</f>
        <v>#REF!</v>
      </c>
      <c r="AJ46" s="185" t="e">
        <f>VLOOKUP(H46,#REF!,3,FALSE)</f>
        <v>#REF!</v>
      </c>
      <c r="AK46" s="185"/>
      <c r="AL46" s="185" t="e">
        <f>VLOOKUP(H46,#REF!,13,FALSE)</f>
        <v>#REF!</v>
      </c>
      <c r="AM46" s="185" t="e">
        <f>VLOOKUP(CLEAN(H46),#REF!,7,FALSE)</f>
        <v>#REF!</v>
      </c>
      <c r="AN46" s="2" t="e">
        <f>VLOOKUP(H46,#REF!,8,FALSE)</f>
        <v>#REF!</v>
      </c>
      <c r="AO46" s="189" t="e">
        <f>VLOOKUP(H46,#REF!,2,FALSE)</f>
        <v>#REF!</v>
      </c>
      <c r="AP46" s="189" t="e">
        <f>VLOOKUP(H46,#REF!,2,FALSE)</f>
        <v>#REF!</v>
      </c>
      <c r="AQ46" s="189"/>
      <c r="AR46" s="2" t="e">
        <f>VLOOKUP(CLEAN(H46),#REF!,2,FALSE)</f>
        <v>#REF!</v>
      </c>
      <c r="AT46" s="2" t="e">
        <f>VLOOKUP(H46,#REF!,13,FALSE)</f>
        <v>#REF!</v>
      </c>
      <c r="AU46" s="2" t="e">
        <f>VLOOKUP(H46,#REF!,13,FALSE)</f>
        <v>#REF!</v>
      </c>
      <c r="AV46" s="2" t="e">
        <f>VLOOKUP(H46,#REF!,13,FALSE)</f>
        <v>#REF!</v>
      </c>
      <c r="AW46" s="2" t="e">
        <f>VLOOKUP(H46,#REF!,13,FALSE)</f>
        <v>#REF!</v>
      </c>
      <c r="AX46" s="2" t="e">
        <f>VLOOKUP(H46,#REF!,9,FALSE)</f>
        <v>#REF!</v>
      </c>
      <c r="AZ46" s="2" t="e">
        <f>VLOOKUP(H46,#REF!,2,FALSE)</f>
        <v>#REF!</v>
      </c>
      <c r="BF46" s="189" t="e">
        <f>VLOOKUP(CLEAN(H46),#REF!,2,FALSE)</f>
        <v>#REF!</v>
      </c>
      <c r="BG46" s="189" t="e">
        <f>T46-BF46</f>
        <v>#REF!</v>
      </c>
      <c r="BO46" s="2" t="e">
        <f>VLOOKUP(H46,#REF!,13,FALSE)</f>
        <v>#REF!</v>
      </c>
      <c r="BP46" s="2" t="e">
        <f>VLOOKUP(H46,#REF!,2,FALSE)</f>
        <v>#REF!</v>
      </c>
      <c r="BQ46" s="2" t="e">
        <f>VLOOKUP(H46,#REF!,13,FALSE)</f>
        <v>#REF!</v>
      </c>
      <c r="BR46" s="2" t="e">
        <f>VLOOKUP(H46,#REF!,3,FALSE)</f>
        <v>#REF!</v>
      </c>
    </row>
    <row r="47" spans="1:70" s="2" customFormat="1" ht="15" customHeight="1" outlineLevel="2">
      <c r="A47" s="5">
        <v>31</v>
      </c>
      <c r="B47" s="5" t="s">
        <v>11</v>
      </c>
      <c r="C47" s="5" t="s">
        <v>248</v>
      </c>
      <c r="D47" s="5" t="s">
        <v>7</v>
      </c>
      <c r="E47" s="5" t="s">
        <v>67</v>
      </c>
      <c r="F47" s="5" t="s">
        <v>457</v>
      </c>
      <c r="G47" s="5" t="s">
        <v>9</v>
      </c>
      <c r="H47" s="12">
        <v>40001280</v>
      </c>
      <c r="I47" s="42" t="str">
        <f t="shared" si="21"/>
        <v>40001280-DISEÑO</v>
      </c>
      <c r="J47" s="12"/>
      <c r="K47" s="307" t="str">
        <f t="shared" si="22"/>
        <v>40001280</v>
      </c>
      <c r="L47" s="15" t="s">
        <v>510</v>
      </c>
      <c r="M47" s="23">
        <v>80000000</v>
      </c>
      <c r="N47" s="34">
        <v>0</v>
      </c>
      <c r="O47" s="34">
        <v>15000000</v>
      </c>
      <c r="P47" s="310">
        <v>0</v>
      </c>
      <c r="Q47" s="34">
        <v>0</v>
      </c>
      <c r="R47" s="308">
        <v>0</v>
      </c>
      <c r="S47" s="34">
        <f t="shared" si="23"/>
        <v>0</v>
      </c>
      <c r="T47" s="34">
        <v>0</v>
      </c>
      <c r="U47" s="34">
        <v>0</v>
      </c>
      <c r="V47" s="34">
        <f>P47+Q47+R47+T47+U47</f>
        <v>0</v>
      </c>
      <c r="W47" s="34">
        <f>O47-V47</f>
        <v>15000000</v>
      </c>
      <c r="X47" s="34">
        <f>M47-(N47+O47)</f>
        <v>65000000</v>
      </c>
      <c r="Y47" s="48" t="s">
        <v>382</v>
      </c>
      <c r="Z47" s="48" t="s">
        <v>357</v>
      </c>
      <c r="AA47" s="2" t="e">
        <v>#N/A</v>
      </c>
      <c r="AB47" s="2" t="e">
        <f>VLOOKUP(H47,#REF!,2,FALSE)</f>
        <v>#REF!</v>
      </c>
      <c r="AC47" s="2" t="e">
        <f>VLOOKUP(I47,#REF!,2,FALSE)</f>
        <v>#REF!</v>
      </c>
      <c r="AD47" s="2" t="e">
        <f>VLOOKUP(H47,#REF!,13,FALSE)</f>
        <v>#REF!</v>
      </c>
      <c r="AE47" s="2" t="e">
        <f>VLOOKUP(I47,#REF!,7,FALSE)</f>
        <v>#REF!</v>
      </c>
      <c r="AF47" s="2">
        <v>25</v>
      </c>
      <c r="AG47" s="2" t="e">
        <f>VLOOKUP(H47,#REF!,13,FALSE)</f>
        <v>#REF!</v>
      </c>
      <c r="AH47" s="2" t="e">
        <f>VLOOKUP(I47,#REF!,2,FALSE)</f>
        <v>#REF!</v>
      </c>
      <c r="AJ47" s="185" t="e">
        <f>VLOOKUP(H47,#REF!,3,FALSE)</f>
        <v>#REF!</v>
      </c>
      <c r="AK47" s="185"/>
      <c r="AL47" s="185" t="e">
        <f>VLOOKUP(H47,#REF!,13,FALSE)</f>
        <v>#REF!</v>
      </c>
      <c r="AM47" s="185" t="e">
        <f>VLOOKUP(CLEAN(H47),#REF!,7,FALSE)</f>
        <v>#REF!</v>
      </c>
      <c r="AN47" s="2" t="e">
        <f>VLOOKUP(H47,#REF!,8,FALSE)</f>
        <v>#REF!</v>
      </c>
      <c r="AO47" s="189" t="e">
        <f>VLOOKUP(H47,#REF!,2,FALSE)</f>
        <v>#REF!</v>
      </c>
      <c r="AP47" s="189" t="e">
        <f>VLOOKUP(H47,#REF!,2,FALSE)</f>
        <v>#REF!</v>
      </c>
      <c r="AQ47" s="189"/>
      <c r="AR47" s="2" t="e">
        <f>VLOOKUP(CLEAN(H47),#REF!,2,FALSE)</f>
        <v>#REF!</v>
      </c>
      <c r="AT47" s="2" t="e">
        <f>VLOOKUP(H47,#REF!,13,FALSE)</f>
        <v>#REF!</v>
      </c>
      <c r="AU47" s="2" t="e">
        <f>VLOOKUP(H47,#REF!,13,FALSE)</f>
        <v>#REF!</v>
      </c>
      <c r="AV47" s="2" t="e">
        <f>VLOOKUP(H47,#REF!,13,FALSE)</f>
        <v>#REF!</v>
      </c>
      <c r="AW47" s="2" t="e">
        <f>VLOOKUP(H47,#REF!,13,FALSE)</f>
        <v>#REF!</v>
      </c>
      <c r="AX47" s="2" t="e">
        <f>VLOOKUP(H47,#REF!,9,FALSE)</f>
        <v>#REF!</v>
      </c>
      <c r="AZ47" s="2" t="e">
        <f>VLOOKUP(H47,#REF!,2,FALSE)</f>
        <v>#REF!</v>
      </c>
      <c r="BF47" s="189" t="e">
        <f>VLOOKUP(CLEAN(H47),#REF!,2,FALSE)</f>
        <v>#REF!</v>
      </c>
      <c r="BG47" s="189" t="e">
        <f>T47-BF47</f>
        <v>#REF!</v>
      </c>
      <c r="BO47" s="2" t="e">
        <f>VLOOKUP(H47,#REF!,13,FALSE)</f>
        <v>#REF!</v>
      </c>
      <c r="BP47" s="2" t="e">
        <f>VLOOKUP(H47,#REF!,2,FALSE)</f>
        <v>#REF!</v>
      </c>
      <c r="BQ47" s="2" t="e">
        <f>VLOOKUP(H47,#REF!,13,FALSE)</f>
        <v>#REF!</v>
      </c>
      <c r="BR47" s="2" t="e">
        <f>VLOOKUP(H47,#REF!,3,FALSE)</f>
        <v>#REF!</v>
      </c>
    </row>
    <row r="48" spans="1:70" s="2" customFormat="1" ht="15" customHeight="1" outlineLevel="2">
      <c r="A48" s="5">
        <v>31</v>
      </c>
      <c r="B48" s="5" t="s">
        <v>11</v>
      </c>
      <c r="C48" s="5" t="s">
        <v>251</v>
      </c>
      <c r="D48" s="5" t="s">
        <v>7</v>
      </c>
      <c r="E48" s="5" t="s">
        <v>67</v>
      </c>
      <c r="F48" s="5" t="s">
        <v>457</v>
      </c>
      <c r="G48" s="5" t="s">
        <v>9</v>
      </c>
      <c r="H48" s="12">
        <v>40001260</v>
      </c>
      <c r="I48" s="42" t="str">
        <f t="shared" si="21"/>
        <v>40001260-DISEÑO</v>
      </c>
      <c r="J48" s="12"/>
      <c r="K48" s="307" t="str">
        <f t="shared" si="22"/>
        <v>40001260</v>
      </c>
      <c r="L48" s="15" t="s">
        <v>511</v>
      </c>
      <c r="M48" s="23">
        <v>40000000</v>
      </c>
      <c r="N48" s="34">
        <v>0</v>
      </c>
      <c r="O48" s="34">
        <v>10000000</v>
      </c>
      <c r="P48" s="310">
        <v>0</v>
      </c>
      <c r="Q48" s="34">
        <v>0</v>
      </c>
      <c r="R48" s="308">
        <v>0</v>
      </c>
      <c r="S48" s="34">
        <f t="shared" si="23"/>
        <v>0</v>
      </c>
      <c r="T48" s="34">
        <v>0</v>
      </c>
      <c r="U48" s="34">
        <v>0</v>
      </c>
      <c r="V48" s="34">
        <f>P48+Q48+R48+T48+U48</f>
        <v>0</v>
      </c>
      <c r="W48" s="34">
        <f>O48-V48</f>
        <v>10000000</v>
      </c>
      <c r="X48" s="34">
        <f>M48-(N48+O48)</f>
        <v>30000000</v>
      </c>
      <c r="Y48" s="48" t="s">
        <v>382</v>
      </c>
      <c r="Z48" s="48" t="s">
        <v>357</v>
      </c>
      <c r="AA48" s="2" t="e">
        <v>#N/A</v>
      </c>
      <c r="AB48" s="2" t="e">
        <f>VLOOKUP(H48,#REF!,2,FALSE)</f>
        <v>#REF!</v>
      </c>
      <c r="AC48" s="2" t="e">
        <f>VLOOKUP(I48,#REF!,2,FALSE)</f>
        <v>#REF!</v>
      </c>
      <c r="AD48" s="2" t="e">
        <f>VLOOKUP(H48,#REF!,13,FALSE)</f>
        <v>#REF!</v>
      </c>
      <c r="AE48" s="2" t="e">
        <f>VLOOKUP(I48,#REF!,7,FALSE)</f>
        <v>#REF!</v>
      </c>
      <c r="AF48" s="2">
        <v>25</v>
      </c>
      <c r="AG48" s="2" t="e">
        <f>VLOOKUP(H48,#REF!,13,FALSE)</f>
        <v>#REF!</v>
      </c>
      <c r="AH48" s="2" t="e">
        <f>VLOOKUP(I48,#REF!,2,FALSE)</f>
        <v>#REF!</v>
      </c>
      <c r="AJ48" s="185" t="e">
        <f>VLOOKUP(H48,#REF!,3,FALSE)</f>
        <v>#REF!</v>
      </c>
      <c r="AK48" s="185"/>
      <c r="AL48" s="185" t="e">
        <f>VLOOKUP(H48,#REF!,13,FALSE)</f>
        <v>#REF!</v>
      </c>
      <c r="AM48" s="185" t="e">
        <f>VLOOKUP(CLEAN(H48),#REF!,7,FALSE)</f>
        <v>#REF!</v>
      </c>
      <c r="AN48" s="2" t="e">
        <f>VLOOKUP(H48,#REF!,8,FALSE)</f>
        <v>#REF!</v>
      </c>
      <c r="AO48" s="189" t="e">
        <f>VLOOKUP(H48,#REF!,2,FALSE)</f>
        <v>#REF!</v>
      </c>
      <c r="AP48" s="189" t="e">
        <f>VLOOKUP(H48,#REF!,2,FALSE)</f>
        <v>#REF!</v>
      </c>
      <c r="AQ48" s="189"/>
      <c r="AR48" s="2" t="e">
        <f>VLOOKUP(CLEAN(H48),#REF!,2,FALSE)</f>
        <v>#REF!</v>
      </c>
      <c r="AT48" s="2" t="e">
        <f>VLOOKUP(H48,#REF!,13,FALSE)</f>
        <v>#REF!</v>
      </c>
      <c r="AU48" s="2" t="e">
        <f>VLOOKUP(H48,#REF!,13,FALSE)</f>
        <v>#REF!</v>
      </c>
      <c r="AV48" s="2" t="e">
        <f>VLOOKUP(H48,#REF!,13,FALSE)</f>
        <v>#REF!</v>
      </c>
      <c r="AW48" s="2" t="e">
        <f>VLOOKUP(H48,#REF!,13,FALSE)</f>
        <v>#REF!</v>
      </c>
      <c r="AX48" s="2" t="e">
        <f>VLOOKUP(H48,#REF!,9,FALSE)</f>
        <v>#REF!</v>
      </c>
      <c r="AZ48" s="2" t="e">
        <f>VLOOKUP(H48,#REF!,2,FALSE)</f>
        <v>#REF!</v>
      </c>
      <c r="BF48" s="189" t="e">
        <f>VLOOKUP(CLEAN(H48),#REF!,2,FALSE)</f>
        <v>#REF!</v>
      </c>
      <c r="BG48" s="189" t="e">
        <f>T48-BF48</f>
        <v>#REF!</v>
      </c>
      <c r="BO48" s="2" t="e">
        <f>VLOOKUP(H48,#REF!,13,FALSE)</f>
        <v>#REF!</v>
      </c>
      <c r="BP48" s="2" t="e">
        <f>VLOOKUP(H48,#REF!,2,FALSE)</f>
        <v>#REF!</v>
      </c>
      <c r="BQ48" s="2" t="e">
        <f>VLOOKUP(H48,#REF!,13,FALSE)</f>
        <v>#REF!</v>
      </c>
      <c r="BR48" s="2" t="e">
        <f>VLOOKUP(H48,#REF!,3,FALSE)</f>
        <v>#REF!</v>
      </c>
    </row>
    <row r="49" spans="1:70" s="2" customFormat="1" ht="15" customHeight="1" outlineLevel="2">
      <c r="A49" s="5">
        <v>31</v>
      </c>
      <c r="B49" s="5" t="s">
        <v>11</v>
      </c>
      <c r="C49" s="5" t="s">
        <v>248</v>
      </c>
      <c r="D49" s="5" t="s">
        <v>7</v>
      </c>
      <c r="E49" s="5" t="s">
        <v>67</v>
      </c>
      <c r="F49" s="5" t="s">
        <v>457</v>
      </c>
      <c r="G49" s="5" t="s">
        <v>144</v>
      </c>
      <c r="H49" s="12">
        <v>40001253</v>
      </c>
      <c r="I49" s="42" t="str">
        <f t="shared" si="21"/>
        <v>40001253-EJECUCION</v>
      </c>
      <c r="J49" s="12"/>
      <c r="K49" s="307" t="str">
        <f t="shared" si="22"/>
        <v>40001253</v>
      </c>
      <c r="L49" s="15" t="s">
        <v>642</v>
      </c>
      <c r="M49" s="23">
        <v>187385000</v>
      </c>
      <c r="N49" s="34">
        <v>0</v>
      </c>
      <c r="O49" s="34">
        <v>50000000</v>
      </c>
      <c r="P49" s="310">
        <v>0</v>
      </c>
      <c r="Q49" s="34">
        <v>0</v>
      </c>
      <c r="R49" s="308">
        <v>0</v>
      </c>
      <c r="S49" s="34">
        <f t="shared" si="23"/>
        <v>0</v>
      </c>
      <c r="T49" s="34">
        <v>0</v>
      </c>
      <c r="U49" s="34">
        <v>0</v>
      </c>
      <c r="V49" s="34">
        <f>P49+Q49+R49+T49+U49</f>
        <v>0</v>
      </c>
      <c r="W49" s="34">
        <f>O49-V49</f>
        <v>50000000</v>
      </c>
      <c r="X49" s="34">
        <f>M49-(N49+O49)</f>
        <v>137385000</v>
      </c>
      <c r="Y49" s="48" t="s">
        <v>382</v>
      </c>
      <c r="Z49" s="48" t="s">
        <v>421</v>
      </c>
      <c r="AA49" s="2" t="e">
        <v>#N/A</v>
      </c>
      <c r="AB49" s="2" t="e">
        <f>VLOOKUP(H49,#REF!,2,FALSE)</f>
        <v>#REF!</v>
      </c>
      <c r="AC49" s="2" t="e">
        <f>VLOOKUP(I49,#REF!,2,FALSE)</f>
        <v>#REF!</v>
      </c>
      <c r="AD49" s="2" t="e">
        <f>VLOOKUP(H49,#REF!,13,FALSE)</f>
        <v>#REF!</v>
      </c>
      <c r="AE49" s="2" t="e">
        <f>VLOOKUP(I49,#REF!,7,FALSE)</f>
        <v>#REF!</v>
      </c>
      <c r="AF49" s="2">
        <v>25</v>
      </c>
      <c r="AG49" s="2" t="e">
        <f>VLOOKUP(H49,#REF!,13,FALSE)</f>
        <v>#REF!</v>
      </c>
      <c r="AH49" s="2" t="e">
        <f>VLOOKUP(I49,#REF!,2,FALSE)</f>
        <v>#REF!</v>
      </c>
      <c r="AJ49" s="185" t="e">
        <f>VLOOKUP(H49,#REF!,3,FALSE)</f>
        <v>#REF!</v>
      </c>
      <c r="AK49" s="185"/>
      <c r="AL49" s="185" t="e">
        <f>VLOOKUP(H49,#REF!,13,FALSE)</f>
        <v>#REF!</v>
      </c>
      <c r="AM49" s="185" t="e">
        <f>VLOOKUP(CLEAN(H49),#REF!,7,FALSE)</f>
        <v>#REF!</v>
      </c>
      <c r="AN49" s="2" t="e">
        <f>VLOOKUP(H49,#REF!,8,FALSE)</f>
        <v>#REF!</v>
      </c>
      <c r="AO49" s="189" t="e">
        <f>VLOOKUP(H49,#REF!,2,FALSE)</f>
        <v>#REF!</v>
      </c>
      <c r="AP49" s="189" t="e">
        <f>VLOOKUP(H49,#REF!,2,FALSE)</f>
        <v>#REF!</v>
      </c>
      <c r="AQ49" s="189"/>
      <c r="AR49" s="2" t="e">
        <f>VLOOKUP(CLEAN(H49),#REF!,2,FALSE)</f>
        <v>#REF!</v>
      </c>
      <c r="AT49" s="2" t="e">
        <f>VLOOKUP(H49,#REF!,13,FALSE)</f>
        <v>#REF!</v>
      </c>
      <c r="AU49" s="2" t="e">
        <f>VLOOKUP(H49,#REF!,13,FALSE)</f>
        <v>#REF!</v>
      </c>
      <c r="AV49" s="2" t="e">
        <f>VLOOKUP(H49,#REF!,13,FALSE)</f>
        <v>#REF!</v>
      </c>
      <c r="AW49" s="2" t="e">
        <f>VLOOKUP(H49,#REF!,13,FALSE)</f>
        <v>#REF!</v>
      </c>
      <c r="AX49" s="2" t="e">
        <f>VLOOKUP(H49,#REF!,9,FALSE)</f>
        <v>#REF!</v>
      </c>
      <c r="AZ49" s="2" t="e">
        <f>VLOOKUP(H49,#REF!,2,FALSE)</f>
        <v>#REF!</v>
      </c>
      <c r="BF49" s="189" t="e">
        <f>VLOOKUP(CLEAN(H49),#REF!,2,FALSE)</f>
        <v>#REF!</v>
      </c>
      <c r="BG49" s="189" t="e">
        <f>T49-BF49</f>
        <v>#REF!</v>
      </c>
      <c r="BO49" s="2" t="e">
        <f>VLOOKUP(H49,#REF!,13,FALSE)</f>
        <v>#REF!</v>
      </c>
      <c r="BP49" s="2" t="e">
        <f>VLOOKUP(H49,#REF!,2,FALSE)</f>
        <v>#REF!</v>
      </c>
      <c r="BQ49" s="2" t="e">
        <f>VLOOKUP(H49,#REF!,13,FALSE)</f>
        <v>#REF!</v>
      </c>
      <c r="BR49" s="2" t="e">
        <f>VLOOKUP(H49,#REF!,3,FALSE)</f>
        <v>#REF!</v>
      </c>
    </row>
    <row r="50" spans="1:70" ht="15" customHeight="1" outlineLevel="2">
      <c r="A50" s="7"/>
      <c r="B50" s="7"/>
      <c r="C50" s="7"/>
      <c r="D50" s="7"/>
      <c r="E50" s="7"/>
      <c r="F50" s="7"/>
      <c r="G50" s="7"/>
      <c r="H50" s="11"/>
      <c r="I50" s="11"/>
      <c r="J50" s="11"/>
      <c r="K50" s="11"/>
      <c r="L50" s="17" t="s">
        <v>693</v>
      </c>
      <c r="M50" s="27">
        <f t="shared" ref="M50:X50" si="24">SUBTOTAL(9,M45:M49)</f>
        <v>2204383000</v>
      </c>
      <c r="N50" s="27">
        <f t="shared" si="24"/>
        <v>1369473125</v>
      </c>
      <c r="O50" s="27">
        <f t="shared" si="24"/>
        <v>85000000</v>
      </c>
      <c r="P50" s="24">
        <f t="shared" si="24"/>
        <v>0</v>
      </c>
      <c r="Q50" s="24">
        <f t="shared" si="24"/>
        <v>0</v>
      </c>
      <c r="R50" s="24">
        <f t="shared" si="24"/>
        <v>0</v>
      </c>
      <c r="S50" s="27">
        <f t="shared" si="24"/>
        <v>0</v>
      </c>
      <c r="T50" s="27">
        <f t="shared" si="24"/>
        <v>0</v>
      </c>
      <c r="U50" s="27">
        <f t="shared" si="24"/>
        <v>0</v>
      </c>
      <c r="V50" s="27">
        <f t="shared" si="24"/>
        <v>0</v>
      </c>
      <c r="W50" s="27">
        <f t="shared" si="24"/>
        <v>85000000</v>
      </c>
      <c r="X50" s="27">
        <f t="shared" si="24"/>
        <v>749909875</v>
      </c>
      <c r="Y50" s="47"/>
      <c r="Z50" s="47"/>
      <c r="AM50" s="185" t="e">
        <f>VLOOKUP(CLEAN(H50),#REF!,7,FALSE)</f>
        <v>#REF!</v>
      </c>
      <c r="AO50"/>
      <c r="AP50"/>
      <c r="AQ50"/>
      <c r="AR50" s="2" t="e">
        <f>VLOOKUP(CLEAN(H50),#REF!,2,FALSE)</f>
        <v>#REF!</v>
      </c>
      <c r="AZ50" s="2" t="e">
        <f>VLOOKUP(H50,#REF!,2,FALSE)</f>
        <v>#REF!</v>
      </c>
      <c r="BO50" s="2" t="e">
        <f>VLOOKUP(H50,#REF!,13,FALSE)</f>
        <v>#REF!</v>
      </c>
      <c r="BQ50" s="2" t="e">
        <f>VLOOKUP(H50,#REF!,13,FALSE)</f>
        <v>#REF!</v>
      </c>
    </row>
    <row r="51" spans="1:70" ht="15" customHeight="1" outlineLevel="2">
      <c r="A51" s="7"/>
      <c r="B51" s="7"/>
      <c r="C51" s="7"/>
      <c r="D51" s="7"/>
      <c r="E51" s="7"/>
      <c r="F51" s="7"/>
      <c r="G51" s="7"/>
      <c r="H51" s="11"/>
      <c r="I51" s="11"/>
      <c r="J51" s="11"/>
      <c r="K51" s="11"/>
      <c r="L51" s="292"/>
      <c r="M51" s="22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47"/>
      <c r="Z51" s="47"/>
      <c r="AM51" s="185" t="e">
        <f>VLOOKUP(CLEAN(H51),#REF!,7,FALSE)</f>
        <v>#REF!</v>
      </c>
      <c r="AO51"/>
      <c r="AP51"/>
      <c r="AQ51"/>
      <c r="AR51" s="2" t="e">
        <f>VLOOKUP(CLEAN(H51),#REF!,2,FALSE)</f>
        <v>#REF!</v>
      </c>
      <c r="AZ51" s="2" t="e">
        <f>VLOOKUP(H51,#REF!,2,FALSE)</f>
        <v>#REF!</v>
      </c>
      <c r="BO51" s="2" t="e">
        <f>VLOOKUP(H51,#REF!,13,FALSE)</f>
        <v>#REF!</v>
      </c>
      <c r="BP51" s="293"/>
      <c r="BQ51" s="2" t="e">
        <f>VLOOKUP(H51,#REF!,13,FALSE)</f>
        <v>#REF!</v>
      </c>
    </row>
    <row r="52" spans="1:70" ht="18.75" customHeight="1" outlineLevel="1">
      <c r="A52" s="7"/>
      <c r="B52" s="7"/>
      <c r="C52" s="7"/>
      <c r="D52" s="7"/>
      <c r="E52" s="8"/>
      <c r="F52" s="7"/>
      <c r="G52" s="7"/>
      <c r="H52" s="11"/>
      <c r="I52" s="11"/>
      <c r="J52" s="11"/>
      <c r="K52" s="11"/>
      <c r="L52" s="45" t="s">
        <v>508</v>
      </c>
      <c r="M52" s="46">
        <f t="shared" ref="M52:X52" si="25">M50+M38+M42</f>
        <v>2707269000</v>
      </c>
      <c r="N52" s="46">
        <f t="shared" si="25"/>
        <v>1373229125</v>
      </c>
      <c r="O52" s="46">
        <f t="shared" si="25"/>
        <v>140934000</v>
      </c>
      <c r="P52" s="46">
        <f t="shared" si="25"/>
        <v>0</v>
      </c>
      <c r="Q52" s="46">
        <f t="shared" si="25"/>
        <v>0</v>
      </c>
      <c r="R52" s="46">
        <f t="shared" si="25"/>
        <v>0</v>
      </c>
      <c r="S52" s="46">
        <f t="shared" si="25"/>
        <v>0</v>
      </c>
      <c r="T52" s="46">
        <f t="shared" si="25"/>
        <v>0</v>
      </c>
      <c r="U52" s="46">
        <f t="shared" si="25"/>
        <v>0</v>
      </c>
      <c r="V52" s="46">
        <f t="shared" si="25"/>
        <v>0</v>
      </c>
      <c r="W52" s="46">
        <f t="shared" si="25"/>
        <v>140934000</v>
      </c>
      <c r="X52" s="46">
        <f t="shared" si="25"/>
        <v>1193105875</v>
      </c>
      <c r="Y52" s="47"/>
      <c r="Z52" s="47"/>
      <c r="AM52" s="185" t="e">
        <f>VLOOKUP(CLEAN(H52),#REF!,7,FALSE)</f>
        <v>#REF!</v>
      </c>
      <c r="AO52"/>
      <c r="AP52"/>
      <c r="AQ52"/>
      <c r="AR52" s="2" t="e">
        <f>VLOOKUP(CLEAN(H52),#REF!,2,FALSE)</f>
        <v>#REF!</v>
      </c>
      <c r="AZ52" s="2" t="e">
        <f>VLOOKUP(H52,#REF!,2,FALSE)</f>
        <v>#REF!</v>
      </c>
      <c r="BO52" s="2" t="e">
        <f>VLOOKUP(H52,#REF!,13,FALSE)</f>
        <v>#REF!</v>
      </c>
      <c r="BQ52" s="2" t="e">
        <f>VLOOKUP(H52,#REF!,13,FALSE)</f>
        <v>#REF!</v>
      </c>
    </row>
    <row r="53" spans="1:70" s="3" customFormat="1" ht="15" customHeight="1" outlineLevel="1">
      <c r="A53" s="7"/>
      <c r="B53" s="7"/>
      <c r="C53" s="7"/>
      <c r="D53" s="7"/>
      <c r="E53" s="8"/>
      <c r="F53" s="7"/>
      <c r="G53" s="7"/>
      <c r="H53" s="11"/>
      <c r="I53" s="11"/>
      <c r="J53" s="11"/>
      <c r="K53" s="11"/>
      <c r="L53" s="294"/>
      <c r="M53" s="26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47"/>
      <c r="Z53" s="47"/>
      <c r="AJ53" s="186"/>
      <c r="AK53" s="186"/>
      <c r="AL53" s="186"/>
      <c r="AM53" s="185" t="e">
        <f>VLOOKUP(CLEAN(H53),#REF!,7,FALSE)</f>
        <v>#REF!</v>
      </c>
      <c r="AR53" s="2" t="e">
        <f>VLOOKUP(CLEAN(H53),#REF!,2,FALSE)</f>
        <v>#REF!</v>
      </c>
      <c r="AZ53" s="2" t="e">
        <f>VLOOKUP(H53,#REF!,2,FALSE)</f>
        <v>#REF!</v>
      </c>
      <c r="BF53" s="193"/>
      <c r="BO53" s="2" t="e">
        <f>VLOOKUP(H53,#REF!,13,FALSE)</f>
        <v>#REF!</v>
      </c>
      <c r="BP53" s="7"/>
      <c r="BQ53" s="2" t="e">
        <f>VLOOKUP(H53,#REF!,13,FALSE)</f>
        <v>#REF!</v>
      </c>
    </row>
    <row r="54" spans="1:70" ht="26.25" customHeight="1" outlineLevel="1">
      <c r="A54" s="7"/>
      <c r="B54" s="7"/>
      <c r="C54" s="7"/>
      <c r="D54" s="7"/>
      <c r="E54" s="8"/>
      <c r="F54" s="7"/>
      <c r="G54" s="7"/>
      <c r="H54" s="11"/>
      <c r="I54" s="11"/>
      <c r="J54" s="11"/>
      <c r="K54" s="11"/>
      <c r="L54" s="57" t="s">
        <v>178</v>
      </c>
      <c r="M54" s="26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49"/>
      <c r="Z54" s="49"/>
      <c r="AM54" s="185" t="e">
        <f>VLOOKUP(CLEAN(H54),#REF!,7,FALSE)</f>
        <v>#REF!</v>
      </c>
      <c r="AO54"/>
      <c r="AP54"/>
      <c r="AQ54"/>
      <c r="AR54" s="2" t="e">
        <f>VLOOKUP(CLEAN(H54),#REF!,2,FALSE)</f>
        <v>#REF!</v>
      </c>
      <c r="AZ54" s="2" t="e">
        <f>VLOOKUP(H54,#REF!,2,FALSE)</f>
        <v>#REF!</v>
      </c>
      <c r="BO54" s="2" t="e">
        <f>VLOOKUP(H54,#REF!,13,FALSE)</f>
        <v>#REF!</v>
      </c>
      <c r="BQ54" s="2" t="e">
        <f>VLOOKUP(H54,#REF!,13,FALSE)</f>
        <v>#REF!</v>
      </c>
    </row>
    <row r="55" spans="1:70" ht="15" customHeight="1" outlineLevel="1">
      <c r="A55" s="7"/>
      <c r="B55" s="7"/>
      <c r="C55" s="7"/>
      <c r="D55" s="7"/>
      <c r="E55" s="8"/>
      <c r="F55" s="7"/>
      <c r="G55" s="7"/>
      <c r="H55" s="11"/>
      <c r="I55" s="11"/>
      <c r="J55" s="11"/>
      <c r="K55" s="11"/>
      <c r="L55" s="18" t="s">
        <v>695</v>
      </c>
      <c r="M55" s="26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47"/>
      <c r="Z55" s="47"/>
      <c r="AM55" s="185" t="e">
        <f>VLOOKUP(CLEAN(H55),#REF!,7,FALSE)</f>
        <v>#REF!</v>
      </c>
      <c r="AO55"/>
      <c r="AP55"/>
      <c r="AQ55"/>
      <c r="AR55" s="2" t="e">
        <f>VLOOKUP(CLEAN(H55),#REF!,2,FALSE)</f>
        <v>#REF!</v>
      </c>
      <c r="AZ55" s="2" t="e">
        <f>VLOOKUP(H55,#REF!,2,FALSE)</f>
        <v>#REF!</v>
      </c>
      <c r="BO55" s="2" t="e">
        <f>VLOOKUP(H55,#REF!,13,FALSE)</f>
        <v>#REF!</v>
      </c>
      <c r="BQ55" s="2" t="e">
        <f>VLOOKUP(H55,#REF!,13,FALSE)</f>
        <v>#REF!</v>
      </c>
    </row>
    <row r="56" spans="1:70" s="2" customFormat="1" ht="15" customHeight="1" outlineLevel="2">
      <c r="A56" s="5">
        <v>31</v>
      </c>
      <c r="B56" s="5" t="s">
        <v>5</v>
      </c>
      <c r="C56" s="5" t="s">
        <v>240</v>
      </c>
      <c r="D56" s="5" t="s">
        <v>7</v>
      </c>
      <c r="E56" s="5" t="s">
        <v>16</v>
      </c>
      <c r="F56" s="5" t="s">
        <v>457</v>
      </c>
      <c r="G56" s="5" t="s">
        <v>9</v>
      </c>
      <c r="H56" s="12">
        <v>30171924</v>
      </c>
      <c r="I56" s="42" t="str">
        <f t="shared" ref="I56:I58" si="26">CONCATENATE(H56,"-",G56)</f>
        <v>30171924-DISEÑO</v>
      </c>
      <c r="J56" s="12" t="s">
        <v>710</v>
      </c>
      <c r="K56" s="307" t="str">
        <f t="shared" ref="K56:K58" si="27">CLEAN(H56)</f>
        <v>30171924</v>
      </c>
      <c r="L56" s="15" t="s">
        <v>449</v>
      </c>
      <c r="M56" s="23">
        <v>17905700</v>
      </c>
      <c r="N56" s="34">
        <v>11161820</v>
      </c>
      <c r="O56" s="34">
        <v>6743880</v>
      </c>
      <c r="P56" s="310">
        <v>0</v>
      </c>
      <c r="Q56" s="34">
        <v>0</v>
      </c>
      <c r="R56" s="308">
        <v>0</v>
      </c>
      <c r="S56" s="34">
        <f t="shared" ref="S56:S58" si="28">P56+Q56+R56</f>
        <v>0</v>
      </c>
      <c r="T56" s="34">
        <v>0</v>
      </c>
      <c r="U56" s="34">
        <v>0</v>
      </c>
      <c r="V56" s="34">
        <f>P56+Q56+R56+T56+U56</f>
        <v>0</v>
      </c>
      <c r="W56" s="34">
        <f>O56-V56</f>
        <v>6743880</v>
      </c>
      <c r="X56" s="34">
        <f>M56-(N56+O56)</f>
        <v>0</v>
      </c>
      <c r="Y56" s="48" t="s">
        <v>239</v>
      </c>
      <c r="Z56" s="48" t="s">
        <v>8</v>
      </c>
      <c r="AA56" s="2" t="s">
        <v>848</v>
      </c>
      <c r="AB56" s="2" t="e">
        <f>VLOOKUP(H56,#REF!,2,FALSE)</f>
        <v>#REF!</v>
      </c>
      <c r="AC56" s="2" t="e">
        <f>VLOOKUP(I56,#REF!,2,FALSE)</f>
        <v>#REF!</v>
      </c>
      <c r="AD56" s="2" t="e">
        <f>VLOOKUP(H56,#REF!,13,FALSE)</f>
        <v>#REF!</v>
      </c>
      <c r="AE56" s="177" t="e">
        <f>VLOOKUP(I56,#REF!,7,FALSE)</f>
        <v>#REF!</v>
      </c>
      <c r="AF56" s="2">
        <v>25</v>
      </c>
      <c r="AG56" s="2" t="e">
        <f>VLOOKUP(H56,#REF!,13,FALSE)</f>
        <v>#REF!</v>
      </c>
      <c r="AH56" s="2" t="e">
        <f>VLOOKUP(I56,#REF!,2,FALSE)</f>
        <v>#REF!</v>
      </c>
      <c r="AJ56" s="185" t="e">
        <f>VLOOKUP(H56,#REF!,3,FALSE)</f>
        <v>#REF!</v>
      </c>
      <c r="AK56" s="185"/>
      <c r="AL56" s="185" t="e">
        <f>VLOOKUP(H56,#REF!,13,FALSE)</f>
        <v>#REF!</v>
      </c>
      <c r="AM56" s="185" t="e">
        <f>VLOOKUP(CLEAN(H56),#REF!,7,FALSE)</f>
        <v>#REF!</v>
      </c>
      <c r="AN56" s="2" t="e">
        <f>VLOOKUP(H56,#REF!,8,FALSE)</f>
        <v>#REF!</v>
      </c>
      <c r="AO56" s="189" t="e">
        <f>VLOOKUP(H56,#REF!,2,FALSE)</f>
        <v>#REF!</v>
      </c>
      <c r="AP56" s="189" t="e">
        <f>VLOOKUP(H56,#REF!,2,FALSE)</f>
        <v>#REF!</v>
      </c>
      <c r="AQ56" s="189"/>
      <c r="AR56" s="2" t="e">
        <f>VLOOKUP(CLEAN(H56),#REF!,2,FALSE)</f>
        <v>#REF!</v>
      </c>
      <c r="AT56" s="2" t="e">
        <f>VLOOKUP(H56,#REF!,13,FALSE)</f>
        <v>#REF!</v>
      </c>
      <c r="AU56" s="2" t="e">
        <f>VLOOKUP(H56,#REF!,13,FALSE)</f>
        <v>#REF!</v>
      </c>
      <c r="AV56" s="2" t="e">
        <f>VLOOKUP(H56,#REF!,13,FALSE)</f>
        <v>#REF!</v>
      </c>
      <c r="AW56" s="2" t="e">
        <f>VLOOKUP(H56,#REF!,13,FALSE)</f>
        <v>#REF!</v>
      </c>
      <c r="AX56" s="2" t="e">
        <f>VLOOKUP(H56,#REF!,9,FALSE)</f>
        <v>#REF!</v>
      </c>
      <c r="AZ56" s="189" t="e">
        <f>VLOOKUP(H56,#REF!,2,FALSE)</f>
        <v>#REF!</v>
      </c>
      <c r="BF56" s="189" t="e">
        <f>VLOOKUP(CLEAN(H56),#REF!,2,FALSE)</f>
        <v>#REF!</v>
      </c>
      <c r="BG56" s="189" t="e">
        <f>T56-BF56</f>
        <v>#REF!</v>
      </c>
      <c r="BO56" s="2" t="e">
        <f>VLOOKUP(H56,#REF!,13,FALSE)</f>
        <v>#REF!</v>
      </c>
      <c r="BP56" s="2" t="e">
        <f>VLOOKUP(H56,#REF!,2,FALSE)</f>
        <v>#REF!</v>
      </c>
      <c r="BQ56" s="2" t="e">
        <f>VLOOKUP(H56,#REF!,13,FALSE)</f>
        <v>#REF!</v>
      </c>
      <c r="BR56" s="2" t="e">
        <f>VLOOKUP(H56,#REF!,3,FALSE)</f>
        <v>#REF!</v>
      </c>
    </row>
    <row r="57" spans="1:70" s="2" customFormat="1" ht="15" customHeight="1" outlineLevel="2">
      <c r="A57" s="5">
        <v>31</v>
      </c>
      <c r="B57" s="5" t="s">
        <v>11</v>
      </c>
      <c r="C57" s="5" t="s">
        <v>240</v>
      </c>
      <c r="D57" s="5" t="s">
        <v>7</v>
      </c>
      <c r="E57" s="5" t="s">
        <v>16</v>
      </c>
      <c r="F57" s="5" t="s">
        <v>89</v>
      </c>
      <c r="G57" s="5" t="s">
        <v>9</v>
      </c>
      <c r="H57" s="12">
        <v>30068433</v>
      </c>
      <c r="I57" s="42" t="str">
        <f t="shared" si="26"/>
        <v>30068433-DISEÑO</v>
      </c>
      <c r="J57" s="12" t="s">
        <v>711</v>
      </c>
      <c r="K57" s="307" t="str">
        <f t="shared" si="27"/>
        <v>30068433</v>
      </c>
      <c r="L57" s="15" t="s">
        <v>497</v>
      </c>
      <c r="M57" s="23">
        <v>507925000</v>
      </c>
      <c r="N57" s="34">
        <v>12832500</v>
      </c>
      <c r="O57" s="34">
        <v>20000000</v>
      </c>
      <c r="P57" s="310">
        <v>0</v>
      </c>
      <c r="Q57" s="34">
        <v>0</v>
      </c>
      <c r="R57" s="308">
        <v>0</v>
      </c>
      <c r="S57" s="34">
        <f t="shared" si="28"/>
        <v>0</v>
      </c>
      <c r="T57" s="34">
        <v>0</v>
      </c>
      <c r="U57" s="34">
        <v>0</v>
      </c>
      <c r="V57" s="34">
        <f>P57+Q57+R57+T57+U57</f>
        <v>0</v>
      </c>
      <c r="W57" s="34">
        <f>O57-V57</f>
        <v>20000000</v>
      </c>
      <c r="X57" s="34">
        <f>M57-(N57+O57)</f>
        <v>475092500</v>
      </c>
      <c r="Y57" s="48" t="s">
        <v>239</v>
      </c>
      <c r="Z57" s="48" t="s">
        <v>8</v>
      </c>
      <c r="AA57" s="2" t="s">
        <v>848</v>
      </c>
      <c r="AB57" s="2" t="e">
        <f>VLOOKUP(H57,#REF!,2,FALSE)</f>
        <v>#REF!</v>
      </c>
      <c r="AC57" s="2" t="e">
        <f>VLOOKUP(I57,#REF!,2,FALSE)</f>
        <v>#REF!</v>
      </c>
      <c r="AD57" s="2" t="e">
        <f>VLOOKUP(H57,#REF!,13,FALSE)</f>
        <v>#REF!</v>
      </c>
      <c r="AE57" s="2" t="e">
        <f>VLOOKUP(I57,#REF!,7,FALSE)</f>
        <v>#REF!</v>
      </c>
      <c r="AF57" s="2">
        <v>25</v>
      </c>
      <c r="AG57" s="2" t="e">
        <f>VLOOKUP(H57,#REF!,13,FALSE)</f>
        <v>#REF!</v>
      </c>
      <c r="AH57" s="2" t="e">
        <f>VLOOKUP(I57,#REF!,2,FALSE)</f>
        <v>#REF!</v>
      </c>
      <c r="AJ57" s="185" t="e">
        <f>VLOOKUP(H57,#REF!,3,FALSE)</f>
        <v>#REF!</v>
      </c>
      <c r="AK57" s="185"/>
      <c r="AL57" s="185" t="e">
        <f>VLOOKUP(H57,#REF!,13,FALSE)</f>
        <v>#REF!</v>
      </c>
      <c r="AM57" s="185" t="e">
        <f>VLOOKUP(CLEAN(H57),#REF!,7,FALSE)</f>
        <v>#REF!</v>
      </c>
      <c r="AN57" s="2" t="e">
        <f>VLOOKUP(H57,#REF!,8,FALSE)</f>
        <v>#REF!</v>
      </c>
      <c r="AO57" s="189" t="e">
        <f>VLOOKUP(H57,#REF!,2,FALSE)</f>
        <v>#REF!</v>
      </c>
      <c r="AP57" s="189" t="e">
        <f>VLOOKUP(H57,#REF!,2,FALSE)</f>
        <v>#REF!</v>
      </c>
      <c r="AQ57" s="189"/>
      <c r="AR57" s="2" t="e">
        <f>VLOOKUP(CLEAN(H57),#REF!,2,FALSE)</f>
        <v>#REF!</v>
      </c>
      <c r="AT57" s="2" t="e">
        <f>VLOOKUP(H57,#REF!,13,FALSE)</f>
        <v>#REF!</v>
      </c>
      <c r="AU57" s="2" t="e">
        <f>VLOOKUP(H57,#REF!,13,FALSE)</f>
        <v>#REF!</v>
      </c>
      <c r="AV57" s="2" t="e">
        <f>VLOOKUP(H57,#REF!,13,FALSE)</f>
        <v>#REF!</v>
      </c>
      <c r="AW57" s="2" t="e">
        <f>VLOOKUP(H57,#REF!,13,FALSE)</f>
        <v>#REF!</v>
      </c>
      <c r="AX57" s="2" t="e">
        <f>VLOOKUP(H57,#REF!,9,FALSE)</f>
        <v>#REF!</v>
      </c>
      <c r="AZ57" s="189" t="e">
        <f>VLOOKUP(H57,#REF!,2,FALSE)</f>
        <v>#REF!</v>
      </c>
      <c r="BF57" s="189" t="e">
        <f>VLOOKUP(CLEAN(H57),#REF!,2,FALSE)</f>
        <v>#REF!</v>
      </c>
      <c r="BG57" s="189" t="e">
        <f>T57-BF57</f>
        <v>#REF!</v>
      </c>
      <c r="BO57" s="2" t="e">
        <f>VLOOKUP(H57,#REF!,13,FALSE)</f>
        <v>#REF!</v>
      </c>
      <c r="BP57" s="2" t="e">
        <f>VLOOKUP(H57,#REF!,2,FALSE)</f>
        <v>#REF!</v>
      </c>
      <c r="BQ57" s="2" t="e">
        <f>VLOOKUP(H57,#REF!,13,FALSE)</f>
        <v>#REF!</v>
      </c>
      <c r="BR57" s="2" t="e">
        <f>VLOOKUP(H57,#REF!,3,FALSE)</f>
        <v>#REF!</v>
      </c>
    </row>
    <row r="58" spans="1:70" s="2" customFormat="1" ht="15" customHeight="1" outlineLevel="2">
      <c r="A58" s="5">
        <v>31</v>
      </c>
      <c r="B58" s="5" t="s">
        <v>5</v>
      </c>
      <c r="C58" s="5" t="s">
        <v>248</v>
      </c>
      <c r="D58" s="5" t="s">
        <v>7</v>
      </c>
      <c r="E58" s="5" t="s">
        <v>16</v>
      </c>
      <c r="F58" s="5" t="s">
        <v>14</v>
      </c>
      <c r="G58" s="5" t="s">
        <v>144</v>
      </c>
      <c r="H58" s="12">
        <v>30074834</v>
      </c>
      <c r="I58" s="42" t="str">
        <f t="shared" si="26"/>
        <v>30074834-EJECUCION</v>
      </c>
      <c r="J58" s="12"/>
      <c r="K58" s="307" t="str">
        <f t="shared" si="27"/>
        <v>30074834</v>
      </c>
      <c r="L58" s="15" t="s">
        <v>536</v>
      </c>
      <c r="M58" s="23">
        <v>999484566</v>
      </c>
      <c r="N58" s="34">
        <v>929328037</v>
      </c>
      <c r="O58" s="34">
        <v>55588067</v>
      </c>
      <c r="P58" s="310">
        <v>55588067</v>
      </c>
      <c r="Q58" s="34">
        <v>0</v>
      </c>
      <c r="R58" s="308">
        <v>0</v>
      </c>
      <c r="S58" s="34">
        <f t="shared" si="28"/>
        <v>55588067</v>
      </c>
      <c r="T58" s="34">
        <v>0</v>
      </c>
      <c r="U58" s="34">
        <v>0</v>
      </c>
      <c r="V58" s="34">
        <f>P58+Q58+R58+T58+U58</f>
        <v>55588067</v>
      </c>
      <c r="W58" s="34">
        <f>O58-V58</f>
        <v>0</v>
      </c>
      <c r="X58" s="34">
        <f>M58-(N58+O58)</f>
        <v>14568462</v>
      </c>
      <c r="Y58" s="48" t="s">
        <v>239</v>
      </c>
      <c r="Z58" s="48" t="s">
        <v>8</v>
      </c>
      <c r="AA58" s="2" t="e">
        <v>#N/A</v>
      </c>
      <c r="AB58" s="2" t="e">
        <f>VLOOKUP(H58,#REF!,2,FALSE)</f>
        <v>#REF!</v>
      </c>
      <c r="AC58" s="2" t="e">
        <f>VLOOKUP(I58,#REF!,2,FALSE)</f>
        <v>#REF!</v>
      </c>
      <c r="AD58" s="2" t="e">
        <f>VLOOKUP(H58,#REF!,13,FALSE)</f>
        <v>#REF!</v>
      </c>
      <c r="AE58" s="177" t="e">
        <f>VLOOKUP(I58,#REF!,7,FALSE)</f>
        <v>#REF!</v>
      </c>
      <c r="AF58" s="2">
        <v>25</v>
      </c>
      <c r="AG58" s="2" t="e">
        <f>VLOOKUP(H58,#REF!,13,FALSE)</f>
        <v>#REF!</v>
      </c>
      <c r="AH58" s="2" t="e">
        <f>VLOOKUP(I58,#REF!,2,FALSE)</f>
        <v>#REF!</v>
      </c>
      <c r="AJ58" s="185" t="e">
        <f>VLOOKUP(H58,#REF!,3,FALSE)</f>
        <v>#REF!</v>
      </c>
      <c r="AK58" s="185"/>
      <c r="AL58" s="185" t="e">
        <f>VLOOKUP(H58,#REF!,13,FALSE)</f>
        <v>#REF!</v>
      </c>
      <c r="AM58" s="185" t="e">
        <f>VLOOKUP(CLEAN(H58),#REF!,7,FALSE)</f>
        <v>#REF!</v>
      </c>
      <c r="AN58" s="2" t="e">
        <f>VLOOKUP(H58,#REF!,8,FALSE)</f>
        <v>#REF!</v>
      </c>
      <c r="AO58" s="189" t="e">
        <f>VLOOKUP(H58,#REF!,2,FALSE)</f>
        <v>#REF!</v>
      </c>
      <c r="AP58" s="189" t="e">
        <f>VLOOKUP(H58,#REF!,2,FALSE)</f>
        <v>#REF!</v>
      </c>
      <c r="AQ58" s="189"/>
      <c r="AR58" s="2" t="e">
        <f>VLOOKUP(CLEAN(H58),#REF!,2,FALSE)</f>
        <v>#REF!</v>
      </c>
      <c r="AT58" s="2" t="e">
        <f>VLOOKUP(H58,#REF!,13,FALSE)</f>
        <v>#REF!</v>
      </c>
      <c r="AU58" s="2" t="e">
        <f>VLOOKUP(H58,#REF!,13,FALSE)</f>
        <v>#REF!</v>
      </c>
      <c r="AV58" s="2" t="e">
        <f>VLOOKUP(H58,#REF!,13,FALSE)</f>
        <v>#REF!</v>
      </c>
      <c r="AW58" s="2" t="e">
        <f>VLOOKUP(H58,#REF!,13,FALSE)</f>
        <v>#REF!</v>
      </c>
      <c r="AX58" s="2" t="e">
        <f>VLOOKUP(H58,#REF!,9,FALSE)</f>
        <v>#REF!</v>
      </c>
      <c r="AZ58" s="189" t="e">
        <f>VLOOKUP(H58,#REF!,2,FALSE)</f>
        <v>#REF!</v>
      </c>
      <c r="BF58" s="189" t="e">
        <f>VLOOKUP(CLEAN(H58),#REF!,2,FALSE)</f>
        <v>#REF!</v>
      </c>
      <c r="BG58" s="189" t="e">
        <f>T58-BF58</f>
        <v>#REF!</v>
      </c>
      <c r="BO58" s="2" t="e">
        <f>VLOOKUP(H58,#REF!,13,FALSE)</f>
        <v>#REF!</v>
      </c>
      <c r="BP58" s="2" t="e">
        <f>VLOOKUP(H58,#REF!,2,FALSE)</f>
        <v>#REF!</v>
      </c>
      <c r="BQ58" s="2" t="e">
        <f>VLOOKUP(H58,#REF!,13,FALSE)</f>
        <v>#REF!</v>
      </c>
      <c r="BR58" s="2" t="e">
        <f>VLOOKUP(H58,#REF!,3,FALSE)</f>
        <v>#REF!</v>
      </c>
    </row>
    <row r="59" spans="1:70" ht="15" customHeight="1" outlineLevel="2">
      <c r="A59" s="7"/>
      <c r="B59" s="7"/>
      <c r="C59" s="7"/>
      <c r="D59" s="7"/>
      <c r="E59" s="7"/>
      <c r="F59" s="7"/>
      <c r="G59" s="7"/>
      <c r="H59" s="11"/>
      <c r="I59" s="11"/>
      <c r="J59" s="11"/>
      <c r="K59" s="11"/>
      <c r="L59" s="17" t="s">
        <v>691</v>
      </c>
      <c r="M59" s="41">
        <f>SUBTOTAL(9,M56:M58)</f>
        <v>1525315266</v>
      </c>
      <c r="N59" s="41">
        <f t="shared" ref="N59:O59" si="29">SUBTOTAL(9,N56:N58)</f>
        <v>953322357</v>
      </c>
      <c r="O59" s="41">
        <f t="shared" si="29"/>
        <v>82331947</v>
      </c>
      <c r="P59" s="41">
        <f t="shared" ref="P59:X59" si="30">SUBTOTAL(9,P56:P58)</f>
        <v>55588067</v>
      </c>
      <c r="Q59" s="41">
        <f t="shared" si="30"/>
        <v>0</v>
      </c>
      <c r="R59" s="41">
        <f t="shared" si="30"/>
        <v>0</v>
      </c>
      <c r="S59" s="41">
        <f t="shared" si="30"/>
        <v>55588067</v>
      </c>
      <c r="T59" s="41">
        <f t="shared" si="30"/>
        <v>0</v>
      </c>
      <c r="U59" s="41">
        <f t="shared" si="30"/>
        <v>0</v>
      </c>
      <c r="V59" s="41">
        <f t="shared" si="30"/>
        <v>55588067</v>
      </c>
      <c r="W59" s="41">
        <f t="shared" si="30"/>
        <v>26743880</v>
      </c>
      <c r="X59" s="41">
        <f t="shared" si="30"/>
        <v>489660962</v>
      </c>
      <c r="Y59" s="47"/>
      <c r="Z59" s="47"/>
      <c r="AM59" s="185" t="e">
        <f>VLOOKUP(CLEAN(H59),#REF!,7,FALSE)</f>
        <v>#REF!</v>
      </c>
      <c r="AO59"/>
      <c r="AP59"/>
      <c r="AQ59"/>
      <c r="AR59" s="2" t="e">
        <f>VLOOKUP(CLEAN(H59),#REF!,2,FALSE)</f>
        <v>#REF!</v>
      </c>
      <c r="AZ59" s="2" t="e">
        <f>VLOOKUP(H59,#REF!,2,FALSE)</f>
        <v>#REF!</v>
      </c>
      <c r="BO59" s="2" t="e">
        <f>VLOOKUP(H59,#REF!,13,FALSE)</f>
        <v>#REF!</v>
      </c>
      <c r="BQ59" s="2" t="e">
        <f>VLOOKUP(H59,#REF!,13,FALSE)</f>
        <v>#REF!</v>
      </c>
    </row>
    <row r="60" spans="1:70" ht="15" customHeight="1" outlineLevel="2">
      <c r="A60" s="7"/>
      <c r="B60" s="7"/>
      <c r="C60" s="7"/>
      <c r="D60" s="7"/>
      <c r="E60" s="7"/>
      <c r="F60" s="7"/>
      <c r="G60" s="7"/>
      <c r="H60" s="11"/>
      <c r="I60" s="11"/>
      <c r="J60" s="11"/>
      <c r="K60" s="11"/>
      <c r="L60" s="292"/>
      <c r="M60" s="22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47"/>
      <c r="Z60" s="47"/>
      <c r="AM60" s="185" t="e">
        <f>VLOOKUP(CLEAN(H60),#REF!,7,FALSE)</f>
        <v>#REF!</v>
      </c>
      <c r="AO60"/>
      <c r="AP60"/>
      <c r="AQ60"/>
      <c r="AR60" s="2" t="e">
        <f>VLOOKUP(CLEAN(H60),#REF!,2,FALSE)</f>
        <v>#REF!</v>
      </c>
      <c r="AZ60" s="2" t="e">
        <f>VLOOKUP(H60,#REF!,2,FALSE)</f>
        <v>#REF!</v>
      </c>
      <c r="BO60" s="2" t="e">
        <f>VLOOKUP(H60,#REF!,13,FALSE)</f>
        <v>#REF!</v>
      </c>
      <c r="BP60" s="293"/>
      <c r="BQ60" s="2" t="e">
        <f>VLOOKUP(H60,#REF!,13,FALSE)</f>
        <v>#REF!</v>
      </c>
    </row>
    <row r="61" spans="1:70" ht="15" customHeight="1" outlineLevel="2">
      <c r="A61" s="7"/>
      <c r="B61" s="7"/>
      <c r="C61" s="7"/>
      <c r="D61" s="7"/>
      <c r="E61" s="7"/>
      <c r="F61" s="7"/>
      <c r="G61" s="7"/>
      <c r="H61" s="11"/>
      <c r="I61" s="11"/>
      <c r="J61" s="11"/>
      <c r="K61" s="11"/>
      <c r="L61" s="18" t="s">
        <v>698</v>
      </c>
      <c r="M61" s="22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47"/>
      <c r="Z61" s="47"/>
      <c r="AO61"/>
      <c r="AP61"/>
      <c r="AQ61"/>
      <c r="AR61" s="2" t="e">
        <f>VLOOKUP(CLEAN(H61),#REF!,2,FALSE)</f>
        <v>#REF!</v>
      </c>
      <c r="AZ61" s="2" t="e">
        <f>VLOOKUP(H61,#REF!,2,FALSE)</f>
        <v>#REF!</v>
      </c>
      <c r="BO61" s="2" t="e">
        <f>VLOOKUP(H61,#REF!,13,FALSE)</f>
        <v>#REF!</v>
      </c>
      <c r="BQ61" s="2" t="e">
        <f>VLOOKUP(H61,#REF!,13,FALSE)</f>
        <v>#REF!</v>
      </c>
    </row>
    <row r="62" spans="1:70" s="2" customFormat="1" ht="15" customHeight="1" outlineLevel="2">
      <c r="A62" s="5">
        <v>31</v>
      </c>
      <c r="B62" s="5" t="s">
        <v>5</v>
      </c>
      <c r="C62" s="5" t="s">
        <v>240</v>
      </c>
      <c r="D62" s="5" t="s">
        <v>7</v>
      </c>
      <c r="E62" s="5" t="s">
        <v>16</v>
      </c>
      <c r="F62" s="5" t="s">
        <v>457</v>
      </c>
      <c r="G62" s="5" t="s">
        <v>9</v>
      </c>
      <c r="H62" s="12">
        <v>30171923</v>
      </c>
      <c r="I62" s="42" t="str">
        <f t="shared" ref="I62:I64" si="31">CONCATENATE(H62,"-",G62)</f>
        <v>30171923-DISEÑO</v>
      </c>
      <c r="J62" s="12" t="s">
        <v>712</v>
      </c>
      <c r="K62" s="307" t="str">
        <f t="shared" ref="K62:K64" si="32">CLEAN(H62)</f>
        <v>30171923</v>
      </c>
      <c r="L62" s="15" t="s">
        <v>450</v>
      </c>
      <c r="M62" s="23">
        <v>19500000</v>
      </c>
      <c r="N62" s="34">
        <v>3900000</v>
      </c>
      <c r="O62" s="34">
        <v>15600000</v>
      </c>
      <c r="P62" s="310">
        <v>0</v>
      </c>
      <c r="Q62" s="34">
        <v>0</v>
      </c>
      <c r="R62" s="308">
        <v>0</v>
      </c>
      <c r="S62" s="34">
        <f t="shared" ref="S62:S64" si="33">P62+Q62+R62</f>
        <v>0</v>
      </c>
      <c r="T62" s="34">
        <v>0</v>
      </c>
      <c r="U62" s="34">
        <v>0</v>
      </c>
      <c r="V62" s="34">
        <f>P62+Q62+R62+T62+U62</f>
        <v>0</v>
      </c>
      <c r="W62" s="34">
        <f>O62-V62</f>
        <v>15600000</v>
      </c>
      <c r="X62" s="34">
        <f>M62-(N62+O62)</f>
        <v>0</v>
      </c>
      <c r="Y62" s="48" t="s">
        <v>85</v>
      </c>
      <c r="Z62" s="48" t="s">
        <v>8</v>
      </c>
      <c r="AA62" s="2" t="s">
        <v>848</v>
      </c>
      <c r="AB62" s="2" t="e">
        <f>VLOOKUP(H62,#REF!,2,FALSE)</f>
        <v>#REF!</v>
      </c>
      <c r="AC62" s="2" t="e">
        <f>VLOOKUP(I62,#REF!,2,FALSE)</f>
        <v>#REF!</v>
      </c>
      <c r="AD62" s="2" t="e">
        <f>VLOOKUP(H62,#REF!,13,FALSE)</f>
        <v>#REF!</v>
      </c>
      <c r="AE62" s="177" t="e">
        <f>VLOOKUP(I62,#REF!,7,FALSE)</f>
        <v>#REF!</v>
      </c>
      <c r="AF62" s="2">
        <v>25</v>
      </c>
      <c r="AG62" s="2" t="e">
        <f>VLOOKUP(H62,#REF!,13,FALSE)</f>
        <v>#REF!</v>
      </c>
      <c r="AH62" s="2" t="e">
        <f>VLOOKUP(I62,#REF!,2,FALSE)</f>
        <v>#REF!</v>
      </c>
      <c r="AJ62" s="185" t="e">
        <f>VLOOKUP(H62,#REF!,3,FALSE)</f>
        <v>#REF!</v>
      </c>
      <c r="AK62" s="185"/>
      <c r="AL62" s="185" t="e">
        <f>VLOOKUP(H62,#REF!,13,FALSE)</f>
        <v>#REF!</v>
      </c>
      <c r="AM62" s="185" t="e">
        <f>VLOOKUP(CLEAN(H62),#REF!,7,FALSE)</f>
        <v>#REF!</v>
      </c>
      <c r="AN62" s="2" t="e">
        <f>VLOOKUP(H62,#REF!,8,FALSE)</f>
        <v>#REF!</v>
      </c>
      <c r="AO62" s="189" t="e">
        <f>VLOOKUP(H62,#REF!,2,FALSE)</f>
        <v>#REF!</v>
      </c>
      <c r="AP62" s="189" t="e">
        <f>VLOOKUP(H62,#REF!,2,FALSE)</f>
        <v>#REF!</v>
      </c>
      <c r="AQ62" s="189"/>
      <c r="AR62" s="2" t="e">
        <f>VLOOKUP(CLEAN(H62),#REF!,2,FALSE)</f>
        <v>#REF!</v>
      </c>
      <c r="AT62" s="2" t="e">
        <f>VLOOKUP(H62,#REF!,13,FALSE)</f>
        <v>#REF!</v>
      </c>
      <c r="AU62" s="2" t="e">
        <f>VLOOKUP(H62,#REF!,13,FALSE)</f>
        <v>#REF!</v>
      </c>
      <c r="AV62" s="2" t="e">
        <f>VLOOKUP(H62,#REF!,13,FALSE)</f>
        <v>#REF!</v>
      </c>
      <c r="AW62" s="2" t="e">
        <f>VLOOKUP(H62,#REF!,13,FALSE)</f>
        <v>#REF!</v>
      </c>
      <c r="AX62" s="2" t="e">
        <f>VLOOKUP(H62,#REF!,9,FALSE)</f>
        <v>#REF!</v>
      </c>
      <c r="AZ62" s="189" t="e">
        <f>VLOOKUP(H62,#REF!,2,FALSE)</f>
        <v>#REF!</v>
      </c>
      <c r="BF62" s="189" t="e">
        <f>VLOOKUP(CLEAN(H62),#REF!,2,FALSE)</f>
        <v>#REF!</v>
      </c>
      <c r="BG62" s="189" t="e">
        <f>T62-BF62</f>
        <v>#REF!</v>
      </c>
      <c r="BO62" s="2" t="e">
        <f>VLOOKUP(H62,#REF!,13,FALSE)</f>
        <v>#REF!</v>
      </c>
      <c r="BP62" s="2" t="e">
        <f>VLOOKUP(H62,#REF!,2,FALSE)</f>
        <v>#REF!</v>
      </c>
      <c r="BQ62" s="2" t="e">
        <f>VLOOKUP(H62,#REF!,13,FALSE)</f>
        <v>#REF!</v>
      </c>
      <c r="BR62" s="2" t="e">
        <f>VLOOKUP(H62,#REF!,3,FALSE)</f>
        <v>#REF!</v>
      </c>
    </row>
    <row r="63" spans="1:70" s="2" customFormat="1" ht="15" customHeight="1" outlineLevel="2">
      <c r="A63" s="5">
        <v>31</v>
      </c>
      <c r="B63" s="5" t="s">
        <v>11</v>
      </c>
      <c r="C63" s="5" t="s">
        <v>251</v>
      </c>
      <c r="D63" s="5" t="s">
        <v>7</v>
      </c>
      <c r="E63" s="5" t="s">
        <v>16</v>
      </c>
      <c r="F63" s="5" t="s">
        <v>89</v>
      </c>
      <c r="G63" s="5" t="s">
        <v>144</v>
      </c>
      <c r="H63" s="12">
        <v>40000636</v>
      </c>
      <c r="I63" s="42" t="str">
        <f t="shared" si="31"/>
        <v>40000636-EJECUCION</v>
      </c>
      <c r="J63" s="12"/>
      <c r="K63" s="307" t="str">
        <f t="shared" si="32"/>
        <v>40000636</v>
      </c>
      <c r="L63" s="15" t="s">
        <v>643</v>
      </c>
      <c r="M63" s="23">
        <v>139062000</v>
      </c>
      <c r="N63" s="34">
        <v>0</v>
      </c>
      <c r="O63" s="34">
        <v>20000000</v>
      </c>
      <c r="P63" s="310">
        <v>0</v>
      </c>
      <c r="Q63" s="34">
        <v>0</v>
      </c>
      <c r="R63" s="308">
        <v>0</v>
      </c>
      <c r="S63" s="34">
        <f t="shared" si="33"/>
        <v>0</v>
      </c>
      <c r="T63" s="34">
        <v>0</v>
      </c>
      <c r="U63" s="34">
        <v>0</v>
      </c>
      <c r="V63" s="34">
        <f>P63+Q63+R63+T63+U63</f>
        <v>0</v>
      </c>
      <c r="W63" s="34">
        <f>O63-V63</f>
        <v>20000000</v>
      </c>
      <c r="X63" s="34">
        <f>M63-(N63+O63)</f>
        <v>119062000</v>
      </c>
      <c r="Y63" s="48" t="s">
        <v>85</v>
      </c>
      <c r="Z63" s="48" t="s">
        <v>10</v>
      </c>
      <c r="AA63" s="2" t="s">
        <v>848</v>
      </c>
      <c r="AB63" s="2" t="e">
        <f>VLOOKUP(H63,#REF!,2,FALSE)</f>
        <v>#REF!</v>
      </c>
      <c r="AC63" s="2" t="e">
        <f>VLOOKUP(I63,#REF!,2,FALSE)</f>
        <v>#REF!</v>
      </c>
      <c r="AD63" s="2" t="e">
        <f>VLOOKUP(H63,#REF!,13,FALSE)</f>
        <v>#REF!</v>
      </c>
      <c r="AE63" s="2" t="e">
        <f>VLOOKUP(I63,#REF!,7,FALSE)</f>
        <v>#REF!</v>
      </c>
      <c r="AF63" s="2">
        <v>25</v>
      </c>
      <c r="AG63" s="2" t="e">
        <f>VLOOKUP(H63,#REF!,13,FALSE)</f>
        <v>#REF!</v>
      </c>
      <c r="AH63" s="2" t="e">
        <f>VLOOKUP(I63,#REF!,2,FALSE)</f>
        <v>#REF!</v>
      </c>
      <c r="AJ63" s="185" t="e">
        <f>VLOOKUP(H63,#REF!,3,FALSE)</f>
        <v>#REF!</v>
      </c>
      <c r="AK63" s="185"/>
      <c r="AL63" s="185" t="e">
        <f>VLOOKUP(H63,#REF!,13,FALSE)</f>
        <v>#REF!</v>
      </c>
      <c r="AM63" s="185" t="e">
        <f>VLOOKUP(CLEAN(H63),#REF!,7,FALSE)</f>
        <v>#REF!</v>
      </c>
      <c r="AN63" s="2" t="e">
        <f>VLOOKUP(H63,#REF!,8,FALSE)</f>
        <v>#REF!</v>
      </c>
      <c r="AO63" s="189" t="e">
        <f>VLOOKUP(H63,#REF!,2,FALSE)</f>
        <v>#REF!</v>
      </c>
      <c r="AP63" s="189" t="e">
        <f>VLOOKUP(H63,#REF!,2,FALSE)</f>
        <v>#REF!</v>
      </c>
      <c r="AQ63" s="189"/>
      <c r="AR63" s="2" t="e">
        <f>VLOOKUP(CLEAN(H63),#REF!,2,FALSE)</f>
        <v>#REF!</v>
      </c>
      <c r="AT63" s="2" t="e">
        <f>VLOOKUP(H63,#REF!,13,FALSE)</f>
        <v>#REF!</v>
      </c>
      <c r="AU63" s="2" t="e">
        <f>VLOOKUP(H63,#REF!,13,FALSE)</f>
        <v>#REF!</v>
      </c>
      <c r="AV63" s="2" t="e">
        <f>VLOOKUP(H63,#REF!,13,FALSE)</f>
        <v>#REF!</v>
      </c>
      <c r="AW63" s="2" t="e">
        <f>VLOOKUP(H63,#REF!,13,FALSE)</f>
        <v>#REF!</v>
      </c>
      <c r="AX63" s="2" t="e">
        <f>VLOOKUP(H63,#REF!,9,FALSE)</f>
        <v>#REF!</v>
      </c>
      <c r="AZ63" s="189" t="e">
        <f>VLOOKUP(H63,#REF!,2,FALSE)</f>
        <v>#REF!</v>
      </c>
      <c r="BF63" s="189" t="e">
        <f>VLOOKUP(CLEAN(H63),#REF!,2,FALSE)</f>
        <v>#REF!</v>
      </c>
      <c r="BG63" s="189" t="e">
        <f>T63-BF63</f>
        <v>#REF!</v>
      </c>
      <c r="BO63" s="2" t="e">
        <f>VLOOKUP(H63,#REF!,13,FALSE)</f>
        <v>#REF!</v>
      </c>
      <c r="BP63" s="2" t="e">
        <f>VLOOKUP(H63,#REF!,2,FALSE)</f>
        <v>#REF!</v>
      </c>
      <c r="BQ63" s="2" t="e">
        <f>VLOOKUP(H63,#REF!,13,FALSE)</f>
        <v>#REF!</v>
      </c>
      <c r="BR63" s="2" t="e">
        <f>VLOOKUP(H63,#REF!,3,FALSE)</f>
        <v>#REF!</v>
      </c>
    </row>
    <row r="64" spans="1:70" s="2" customFormat="1" ht="15" customHeight="1" outlineLevel="2">
      <c r="A64" s="5">
        <v>29</v>
      </c>
      <c r="B64" s="5" t="s">
        <v>54</v>
      </c>
      <c r="C64" s="5" t="s">
        <v>251</v>
      </c>
      <c r="D64" s="5" t="s">
        <v>7</v>
      </c>
      <c r="E64" s="5" t="s">
        <v>16</v>
      </c>
      <c r="F64" s="5" t="s">
        <v>457</v>
      </c>
      <c r="G64" s="5" t="s">
        <v>144</v>
      </c>
      <c r="H64" s="12">
        <v>40000513</v>
      </c>
      <c r="I64" s="311" t="str">
        <f t="shared" si="31"/>
        <v>40000513-EJECUCION</v>
      </c>
      <c r="J64" s="190"/>
      <c r="K64" s="309" t="str">
        <f t="shared" si="32"/>
        <v>40000513</v>
      </c>
      <c r="L64" s="15" t="s">
        <v>492</v>
      </c>
      <c r="M64" s="23">
        <v>73173100</v>
      </c>
      <c r="N64" s="34">
        <v>0</v>
      </c>
      <c r="O64" s="34">
        <v>73173100</v>
      </c>
      <c r="P64" s="310">
        <v>0</v>
      </c>
      <c r="Q64" s="34">
        <v>0</v>
      </c>
      <c r="R64" s="308">
        <v>0</v>
      </c>
      <c r="S64" s="34">
        <f t="shared" si="33"/>
        <v>0</v>
      </c>
      <c r="T64" s="34">
        <v>0</v>
      </c>
      <c r="U64" s="34">
        <v>0</v>
      </c>
      <c r="V64" s="34">
        <f>P64+Q64+R64+T64+U64</f>
        <v>0</v>
      </c>
      <c r="W64" s="34">
        <f>O64-V64</f>
        <v>73173100</v>
      </c>
      <c r="X64" s="34">
        <f>M64-(N64+O64)</f>
        <v>0</v>
      </c>
      <c r="Y64" s="48" t="s">
        <v>460</v>
      </c>
      <c r="Z64" s="48" t="s">
        <v>10</v>
      </c>
      <c r="AA64" s="2" t="e">
        <v>#N/A</v>
      </c>
      <c r="AB64" s="2" t="e">
        <f>VLOOKUP(H64,#REF!,2,FALSE)</f>
        <v>#REF!</v>
      </c>
      <c r="AC64" s="2" t="e">
        <f>VLOOKUP(I64,#REF!,2,FALSE)</f>
        <v>#REF!</v>
      </c>
      <c r="AD64" s="2" t="e">
        <f>VLOOKUP(H64,#REF!,13,FALSE)</f>
        <v>#REF!</v>
      </c>
      <c r="AE64" s="2" t="e">
        <f>VLOOKUP(I64,#REF!,7,FALSE)</f>
        <v>#REF!</v>
      </c>
      <c r="AF64" s="2">
        <v>25</v>
      </c>
      <c r="AG64" s="2" t="e">
        <f>VLOOKUP(H64,#REF!,13,FALSE)</f>
        <v>#REF!</v>
      </c>
      <c r="AH64" s="2" t="e">
        <f>VLOOKUP(I64,#REF!,2,FALSE)</f>
        <v>#REF!</v>
      </c>
      <c r="AJ64" s="185" t="e">
        <f>VLOOKUP(H64,#REF!,3,FALSE)</f>
        <v>#REF!</v>
      </c>
      <c r="AK64" s="185" t="s">
        <v>684</v>
      </c>
      <c r="AL64" s="185" t="e">
        <f>VLOOKUP(H64,#REF!,13,FALSE)</f>
        <v>#REF!</v>
      </c>
      <c r="AM64" s="185" t="e">
        <f>VLOOKUP(CLEAN(H64),#REF!,7,FALSE)</f>
        <v>#REF!</v>
      </c>
      <c r="AN64" s="2" t="e">
        <f>VLOOKUP(H64,#REF!,8,FALSE)</f>
        <v>#REF!</v>
      </c>
      <c r="AO64" s="189" t="e">
        <f>VLOOKUP(H64,#REF!,2,FALSE)</f>
        <v>#REF!</v>
      </c>
      <c r="AP64" s="189" t="e">
        <f>VLOOKUP(H64,#REF!,2,FALSE)</f>
        <v>#REF!</v>
      </c>
      <c r="AQ64" s="189"/>
      <c r="AR64" s="2" t="e">
        <f>VLOOKUP(CLEAN(H64),#REF!,2,FALSE)</f>
        <v>#REF!</v>
      </c>
      <c r="AT64" s="2" t="e">
        <f>VLOOKUP(H64,#REF!,13,FALSE)</f>
        <v>#REF!</v>
      </c>
      <c r="AU64" s="2" t="e">
        <f>VLOOKUP(H64,#REF!,13,FALSE)</f>
        <v>#REF!</v>
      </c>
      <c r="AV64" s="2" t="e">
        <f>VLOOKUP(H64,#REF!,13,FALSE)</f>
        <v>#REF!</v>
      </c>
      <c r="AW64" s="2" t="e">
        <f>VLOOKUP(H64,#REF!,13,FALSE)</f>
        <v>#REF!</v>
      </c>
      <c r="AX64" s="2" t="e">
        <f>VLOOKUP(H64,#REF!,9,FALSE)</f>
        <v>#REF!</v>
      </c>
      <c r="AZ64" s="2" t="e">
        <f>VLOOKUP(H64,#REF!,2,FALSE)</f>
        <v>#REF!</v>
      </c>
      <c r="BF64" s="189" t="e">
        <f>VLOOKUP(CLEAN(H64),#REF!,2,FALSE)</f>
        <v>#REF!</v>
      </c>
      <c r="BG64" s="189" t="e">
        <f>T64-BF64</f>
        <v>#REF!</v>
      </c>
      <c r="BO64" s="2" t="e">
        <f>VLOOKUP(H64,#REF!,13,FALSE)</f>
        <v>#REF!</v>
      </c>
      <c r="BP64" s="2" t="e">
        <f>VLOOKUP(H64,#REF!,2,FALSE)</f>
        <v>#REF!</v>
      </c>
      <c r="BQ64" s="2" t="e">
        <f>VLOOKUP(H64,#REF!,13,FALSE)</f>
        <v>#REF!</v>
      </c>
      <c r="BR64" s="2" t="e">
        <f>VLOOKUP(H64,#REF!,3,FALSE)</f>
        <v>#REF!</v>
      </c>
    </row>
    <row r="65" spans="1:70" ht="15" customHeight="1" outlineLevel="2">
      <c r="A65" s="7"/>
      <c r="B65" s="7"/>
      <c r="C65" s="7"/>
      <c r="D65" s="7"/>
      <c r="E65" s="7"/>
      <c r="F65" s="7"/>
      <c r="G65" s="7"/>
      <c r="H65" s="11"/>
      <c r="I65" s="11"/>
      <c r="J65" s="11"/>
      <c r="K65" s="11"/>
      <c r="L65" s="17" t="s">
        <v>692</v>
      </c>
      <c r="M65" s="27">
        <f>SUBTOTAL(9,M62:M64)</f>
        <v>231735100</v>
      </c>
      <c r="N65" s="27">
        <f t="shared" ref="N65:O65" si="34">SUBTOTAL(9,N62:N64)</f>
        <v>3900000</v>
      </c>
      <c r="O65" s="27">
        <f t="shared" si="34"/>
        <v>108773100</v>
      </c>
      <c r="P65" s="24">
        <f t="shared" ref="P65:X65" si="35">SUBTOTAL(9,P62:P64)</f>
        <v>0</v>
      </c>
      <c r="Q65" s="24">
        <f t="shared" si="35"/>
        <v>0</v>
      </c>
      <c r="R65" s="24">
        <f t="shared" si="35"/>
        <v>0</v>
      </c>
      <c r="S65" s="27">
        <f t="shared" si="35"/>
        <v>0</v>
      </c>
      <c r="T65" s="27">
        <f t="shared" si="35"/>
        <v>0</v>
      </c>
      <c r="U65" s="27">
        <f t="shared" si="35"/>
        <v>0</v>
      </c>
      <c r="V65" s="27">
        <f t="shared" si="35"/>
        <v>0</v>
      </c>
      <c r="W65" s="27">
        <f t="shared" si="35"/>
        <v>108773100</v>
      </c>
      <c r="X65" s="27">
        <f t="shared" si="35"/>
        <v>119062000</v>
      </c>
      <c r="Y65" s="47"/>
      <c r="Z65" s="47"/>
      <c r="AO65"/>
      <c r="AP65"/>
      <c r="AQ65"/>
      <c r="AR65" s="2" t="e">
        <f>VLOOKUP(CLEAN(H65),#REF!,2,FALSE)</f>
        <v>#REF!</v>
      </c>
      <c r="AZ65" s="2" t="e">
        <f>VLOOKUP(H65,#REF!,2,FALSE)</f>
        <v>#REF!</v>
      </c>
      <c r="BO65" s="2" t="e">
        <f>VLOOKUP(H65,#REF!,13,FALSE)</f>
        <v>#REF!</v>
      </c>
      <c r="BQ65" s="2" t="e">
        <f>VLOOKUP(H65,#REF!,13,FALSE)</f>
        <v>#REF!</v>
      </c>
    </row>
    <row r="66" spans="1:70" ht="15" customHeight="1" outlineLevel="2">
      <c r="A66" s="7"/>
      <c r="B66" s="7"/>
      <c r="C66" s="7"/>
      <c r="D66" s="7"/>
      <c r="E66" s="7"/>
      <c r="F66" s="7"/>
      <c r="G66" s="7"/>
      <c r="H66" s="11"/>
      <c r="I66" s="11"/>
      <c r="J66" s="11"/>
      <c r="K66" s="11"/>
      <c r="L66" s="292"/>
      <c r="M66" s="22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47"/>
      <c r="Z66" s="47"/>
      <c r="AO66"/>
      <c r="AP66"/>
      <c r="AQ66"/>
      <c r="AR66" s="2" t="e">
        <f>VLOOKUP(CLEAN(H66),#REF!,2,FALSE)</f>
        <v>#REF!</v>
      </c>
      <c r="AZ66" s="2" t="e">
        <f>VLOOKUP(H66,#REF!,2,FALSE)</f>
        <v>#REF!</v>
      </c>
      <c r="BO66" s="2" t="e">
        <f>VLOOKUP(H66,#REF!,13,FALSE)</f>
        <v>#REF!</v>
      </c>
      <c r="BP66" s="293"/>
      <c r="BQ66" s="2" t="e">
        <f>VLOOKUP(H66,#REF!,13,FALSE)</f>
        <v>#REF!</v>
      </c>
    </row>
    <row r="67" spans="1:70" ht="15" customHeight="1" outlineLevel="2">
      <c r="A67" s="7"/>
      <c r="B67" s="7"/>
      <c r="C67" s="7"/>
      <c r="D67" s="7"/>
      <c r="E67" s="7"/>
      <c r="F67" s="7"/>
      <c r="G67" s="7"/>
      <c r="H67" s="11"/>
      <c r="I67" s="11"/>
      <c r="J67" s="11"/>
      <c r="K67" s="11"/>
      <c r="L67" s="18" t="s">
        <v>697</v>
      </c>
      <c r="M67" s="22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47"/>
      <c r="Z67" s="47"/>
      <c r="AO67"/>
      <c r="AP67"/>
      <c r="AQ67"/>
      <c r="AR67" s="2" t="e">
        <f>VLOOKUP(CLEAN(H67),#REF!,2,FALSE)</f>
        <v>#REF!</v>
      </c>
      <c r="AZ67" s="2" t="e">
        <f>VLOOKUP(H67,#REF!,2,FALSE)</f>
        <v>#REF!</v>
      </c>
      <c r="BO67" s="2" t="e">
        <f>VLOOKUP(H67,#REF!,13,FALSE)</f>
        <v>#REF!</v>
      </c>
      <c r="BQ67" s="2" t="e">
        <f>VLOOKUP(H67,#REF!,13,FALSE)</f>
        <v>#REF!</v>
      </c>
    </row>
    <row r="68" spans="1:70" s="2" customFormat="1" ht="15" customHeight="1" outlineLevel="2">
      <c r="A68" s="5">
        <v>31</v>
      </c>
      <c r="B68" s="5" t="s">
        <v>5</v>
      </c>
      <c r="C68" s="5" t="s">
        <v>311</v>
      </c>
      <c r="D68" s="5" t="s">
        <v>7</v>
      </c>
      <c r="E68" s="5" t="s">
        <v>16</v>
      </c>
      <c r="F68" s="5" t="s">
        <v>457</v>
      </c>
      <c r="G68" s="5" t="s">
        <v>144</v>
      </c>
      <c r="H68" s="12">
        <v>30134906</v>
      </c>
      <c r="I68" s="42" t="str">
        <f>CONCATENATE(H68,"-",G68)</f>
        <v>30134906-EJECUCION</v>
      </c>
      <c r="J68" s="12"/>
      <c r="K68" s="307" t="str">
        <f>CLEAN(H68)</f>
        <v>30134906</v>
      </c>
      <c r="L68" s="15" t="s">
        <v>473</v>
      </c>
      <c r="M68" s="23">
        <f>1727840672+1046167</f>
        <v>1728886839</v>
      </c>
      <c r="N68" s="34">
        <v>1727840672</v>
      </c>
      <c r="O68" s="34">
        <v>1046167</v>
      </c>
      <c r="P68" s="310">
        <v>1046167</v>
      </c>
      <c r="Q68" s="34">
        <v>0</v>
      </c>
      <c r="R68" s="308">
        <v>0</v>
      </c>
      <c r="S68" s="34">
        <f>P68+Q68+R68</f>
        <v>1046167</v>
      </c>
      <c r="T68" s="34">
        <v>0</v>
      </c>
      <c r="U68" s="34">
        <v>0</v>
      </c>
      <c r="V68" s="34">
        <f>P68+Q68+R68+T68+U68</f>
        <v>1046167</v>
      </c>
      <c r="W68" s="34">
        <f>O68-V68</f>
        <v>0</v>
      </c>
      <c r="X68" s="34">
        <f>M68-(N68+O68)</f>
        <v>0</v>
      </c>
      <c r="Y68" s="48" t="s">
        <v>460</v>
      </c>
      <c r="Z68" s="48" t="s">
        <v>8</v>
      </c>
      <c r="AA68" s="2" t="s">
        <v>849</v>
      </c>
      <c r="AB68" s="2" t="e">
        <f>VLOOKUP(H68,#REF!,2,FALSE)</f>
        <v>#REF!</v>
      </c>
      <c r="AC68" s="2" t="e">
        <f>VLOOKUP(I68,#REF!,2,FALSE)</f>
        <v>#REF!</v>
      </c>
      <c r="AD68" s="2" t="e">
        <f>VLOOKUP(H68,#REF!,13,FALSE)</f>
        <v>#REF!</v>
      </c>
      <c r="AE68" s="2" t="e">
        <f>VLOOKUP(I68,#REF!,7,FALSE)</f>
        <v>#REF!</v>
      </c>
      <c r="AF68" s="2">
        <v>25</v>
      </c>
      <c r="AG68" s="2" t="e">
        <f>VLOOKUP(H68,#REF!,13,FALSE)</f>
        <v>#REF!</v>
      </c>
      <c r="AH68" s="2" t="e">
        <f>VLOOKUP(I68,#REF!,2,FALSE)</f>
        <v>#REF!</v>
      </c>
      <c r="AJ68" s="185" t="e">
        <f>VLOOKUP(H68,#REF!,3,FALSE)</f>
        <v>#REF!</v>
      </c>
      <c r="AK68" s="185"/>
      <c r="AL68" s="185" t="e">
        <f>VLOOKUP(H68,#REF!,13,FALSE)</f>
        <v>#REF!</v>
      </c>
      <c r="AM68" s="185" t="e">
        <f>VLOOKUP(CLEAN(H68),#REF!,7,FALSE)</f>
        <v>#REF!</v>
      </c>
      <c r="AN68" s="2" t="e">
        <f>VLOOKUP(H68,#REF!,8,FALSE)</f>
        <v>#REF!</v>
      </c>
      <c r="AO68" s="189" t="e">
        <f>VLOOKUP(H68,#REF!,2,FALSE)</f>
        <v>#REF!</v>
      </c>
      <c r="AP68" s="189" t="e">
        <f>VLOOKUP(H68,#REF!,2,FALSE)</f>
        <v>#REF!</v>
      </c>
      <c r="AQ68" s="189"/>
      <c r="AR68" s="2" t="e">
        <f>VLOOKUP(CLEAN(H68),#REF!,2,FALSE)</f>
        <v>#REF!</v>
      </c>
      <c r="AT68" s="2" t="e">
        <f>VLOOKUP(H68,#REF!,13,FALSE)</f>
        <v>#REF!</v>
      </c>
      <c r="AU68" s="2" t="e">
        <f>VLOOKUP(H68,#REF!,13,FALSE)</f>
        <v>#REF!</v>
      </c>
      <c r="AV68" s="2" t="e">
        <f>VLOOKUP(H68,#REF!,13,FALSE)</f>
        <v>#REF!</v>
      </c>
      <c r="AW68" s="2" t="e">
        <f>VLOOKUP(H68,#REF!,13,FALSE)</f>
        <v>#REF!</v>
      </c>
      <c r="AX68" s="2" t="e">
        <f>VLOOKUP(H68,#REF!,9,FALSE)</f>
        <v>#REF!</v>
      </c>
      <c r="AZ68" s="189" t="e">
        <f>VLOOKUP(H68,#REF!,2,FALSE)</f>
        <v>#REF!</v>
      </c>
      <c r="BF68" s="189" t="e">
        <f>VLOOKUP(CLEAN(H68),#REF!,2,FALSE)</f>
        <v>#REF!</v>
      </c>
      <c r="BG68" s="189" t="e">
        <f>T68-BF68</f>
        <v>#REF!</v>
      </c>
      <c r="BO68" s="2" t="e">
        <f>VLOOKUP(H68,#REF!,13,FALSE)</f>
        <v>#REF!</v>
      </c>
      <c r="BP68" s="2" t="e">
        <f>VLOOKUP(H68,#REF!,2,FALSE)</f>
        <v>#REF!</v>
      </c>
      <c r="BQ68" s="2" t="e">
        <f>VLOOKUP(H68,#REF!,13,FALSE)</f>
        <v>#REF!</v>
      </c>
      <c r="BR68" s="2" t="e">
        <f>VLOOKUP(H68,#REF!,3,FALSE)</f>
        <v>#REF!</v>
      </c>
    </row>
    <row r="69" spans="1:70" ht="15" customHeight="1" outlineLevel="2">
      <c r="A69" s="7"/>
      <c r="B69" s="7"/>
      <c r="C69" s="7"/>
      <c r="D69" s="7"/>
      <c r="E69" s="7"/>
      <c r="F69" s="7"/>
      <c r="G69" s="7"/>
      <c r="H69" s="11"/>
      <c r="I69" s="11"/>
      <c r="J69" s="11"/>
      <c r="K69" s="11"/>
      <c r="L69" s="17" t="s">
        <v>694</v>
      </c>
      <c r="M69" s="27">
        <f>SUBTOTAL(9,M68)</f>
        <v>1728886839</v>
      </c>
      <c r="N69" s="27">
        <f t="shared" ref="N69:O69" si="36">SUBTOTAL(9,N68)</f>
        <v>1727840672</v>
      </c>
      <c r="O69" s="27">
        <f t="shared" si="36"/>
        <v>1046167</v>
      </c>
      <c r="P69" s="24">
        <f t="shared" ref="P69:X69" si="37">SUBTOTAL(9,P68)</f>
        <v>1046167</v>
      </c>
      <c r="Q69" s="24">
        <f t="shared" si="37"/>
        <v>0</v>
      </c>
      <c r="R69" s="24">
        <f t="shared" si="37"/>
        <v>0</v>
      </c>
      <c r="S69" s="27">
        <f t="shared" si="37"/>
        <v>1046167</v>
      </c>
      <c r="T69" s="27">
        <f t="shared" si="37"/>
        <v>0</v>
      </c>
      <c r="U69" s="27">
        <f t="shared" si="37"/>
        <v>0</v>
      </c>
      <c r="V69" s="27">
        <f t="shared" si="37"/>
        <v>1046167</v>
      </c>
      <c r="W69" s="27">
        <f t="shared" si="37"/>
        <v>0</v>
      </c>
      <c r="X69" s="27">
        <f t="shared" si="37"/>
        <v>0</v>
      </c>
      <c r="Y69" s="47"/>
      <c r="Z69" s="47"/>
      <c r="AO69"/>
      <c r="AP69"/>
      <c r="AQ69"/>
      <c r="AR69" s="2" t="e">
        <f>VLOOKUP(CLEAN(H69),#REF!,2,FALSE)</f>
        <v>#REF!</v>
      </c>
      <c r="AZ69" s="2" t="e">
        <f>VLOOKUP(H69,#REF!,2,FALSE)</f>
        <v>#REF!</v>
      </c>
      <c r="BO69" s="2" t="e">
        <f>VLOOKUP(H69,#REF!,13,FALSE)</f>
        <v>#REF!</v>
      </c>
      <c r="BQ69" s="2" t="e">
        <f>VLOOKUP(H69,#REF!,13,FALSE)</f>
        <v>#REF!</v>
      </c>
    </row>
    <row r="70" spans="1:70" ht="15" customHeight="1" outlineLevel="2">
      <c r="A70" s="7"/>
      <c r="B70" s="7"/>
      <c r="C70" s="7"/>
      <c r="D70" s="7"/>
      <c r="E70" s="7"/>
      <c r="F70" s="7"/>
      <c r="G70" s="7"/>
      <c r="H70" s="11"/>
      <c r="I70" s="11"/>
      <c r="J70" s="11"/>
      <c r="K70" s="11"/>
      <c r="L70" s="292"/>
      <c r="M70" s="22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47"/>
      <c r="Z70" s="47"/>
      <c r="AO70"/>
      <c r="AP70"/>
      <c r="AQ70"/>
      <c r="AR70" s="2" t="e">
        <f>VLOOKUP(CLEAN(H70),#REF!,2,FALSE)</f>
        <v>#REF!</v>
      </c>
      <c r="AZ70" s="2" t="e">
        <f>VLOOKUP(H70,#REF!,2,FALSE)</f>
        <v>#REF!</v>
      </c>
      <c r="BO70" s="2" t="e">
        <f>VLOOKUP(H70,#REF!,13,FALSE)</f>
        <v>#REF!</v>
      </c>
      <c r="BP70" s="293"/>
      <c r="BQ70" s="2" t="e">
        <f>VLOOKUP(H70,#REF!,13,FALSE)</f>
        <v>#REF!</v>
      </c>
    </row>
    <row r="71" spans="1:70" ht="15" customHeight="1" outlineLevel="2">
      <c r="A71" s="7"/>
      <c r="B71" s="7"/>
      <c r="C71" s="7"/>
      <c r="D71" s="7"/>
      <c r="E71" s="7"/>
      <c r="F71" s="7"/>
      <c r="G71" s="7"/>
      <c r="H71" s="11"/>
      <c r="I71" s="11"/>
      <c r="J71" s="11"/>
      <c r="K71" s="11"/>
      <c r="L71" s="18" t="s">
        <v>701</v>
      </c>
      <c r="M71" s="22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47"/>
      <c r="Z71" s="47"/>
      <c r="AM71" s="185" t="e">
        <f>VLOOKUP(CLEAN(H71),#REF!,7,FALSE)</f>
        <v>#REF!</v>
      </c>
      <c r="AO71"/>
      <c r="AP71"/>
      <c r="AQ71"/>
      <c r="AR71" s="2" t="e">
        <f>VLOOKUP(CLEAN(H71),#REF!,2,FALSE)</f>
        <v>#REF!</v>
      </c>
      <c r="AZ71" s="2" t="e">
        <f>VLOOKUP(H71,#REF!,2,FALSE)</f>
        <v>#REF!</v>
      </c>
      <c r="BO71" s="2" t="e">
        <f>VLOOKUP(H71,#REF!,13,FALSE)</f>
        <v>#REF!</v>
      </c>
      <c r="BQ71" s="2" t="e">
        <f>VLOOKUP(H71,#REF!,13,FALSE)</f>
        <v>#REF!</v>
      </c>
    </row>
    <row r="72" spans="1:70" s="2" customFormat="1" ht="15" customHeight="1" outlineLevel="2">
      <c r="A72" s="5">
        <v>31</v>
      </c>
      <c r="B72" s="5" t="s">
        <v>54</v>
      </c>
      <c r="C72" s="5" t="s">
        <v>248</v>
      </c>
      <c r="D72" s="5" t="s">
        <v>7</v>
      </c>
      <c r="E72" s="5" t="s">
        <v>16</v>
      </c>
      <c r="F72" s="5" t="s">
        <v>457</v>
      </c>
      <c r="G72" s="5" t="s">
        <v>144</v>
      </c>
      <c r="H72" s="12">
        <v>30397335</v>
      </c>
      <c r="I72" s="42" t="str">
        <f t="shared" ref="I72:I74" si="38">CONCATENATE(H72,"-",G72)</f>
        <v>30397335-EJECUCION</v>
      </c>
      <c r="J72" s="12"/>
      <c r="K72" s="307" t="str">
        <f t="shared" ref="K72:K74" si="39">CLEAN(H72)</f>
        <v>30397335</v>
      </c>
      <c r="L72" s="15" t="s">
        <v>822</v>
      </c>
      <c r="M72" s="23">
        <v>529939000</v>
      </c>
      <c r="N72" s="34">
        <v>0</v>
      </c>
      <c r="O72" s="34">
        <v>52993900</v>
      </c>
      <c r="P72" s="310">
        <v>0</v>
      </c>
      <c r="Q72" s="34">
        <v>0</v>
      </c>
      <c r="R72" s="308">
        <v>0</v>
      </c>
      <c r="S72" s="34">
        <f t="shared" ref="S72:S74" si="40">P72+Q72+R72</f>
        <v>0</v>
      </c>
      <c r="T72" s="34">
        <v>0</v>
      </c>
      <c r="U72" s="34">
        <v>0</v>
      </c>
      <c r="V72" s="34">
        <f>P72+Q72+R72+T72+U72</f>
        <v>0</v>
      </c>
      <c r="W72" s="34">
        <f>O72-V72</f>
        <v>52993900</v>
      </c>
      <c r="X72" s="34">
        <f>M72-(N72+O72)</f>
        <v>476945100</v>
      </c>
      <c r="Y72" s="48" t="s">
        <v>243</v>
      </c>
      <c r="Z72" s="48" t="s">
        <v>8</v>
      </c>
      <c r="AA72" s="2" t="s">
        <v>848</v>
      </c>
      <c r="AB72" s="2" t="e">
        <f>VLOOKUP(H72,#REF!,2,FALSE)</f>
        <v>#REF!</v>
      </c>
      <c r="AC72" s="2" t="e">
        <f>VLOOKUP(I72,#REF!,2,FALSE)</f>
        <v>#REF!</v>
      </c>
      <c r="AD72" s="2" t="e">
        <f>VLOOKUP(H72,#REF!,13,FALSE)</f>
        <v>#REF!</v>
      </c>
      <c r="AE72" s="2" t="e">
        <f>VLOOKUP(I72,#REF!,7,FALSE)</f>
        <v>#REF!</v>
      </c>
      <c r="AF72" s="2">
        <v>25</v>
      </c>
      <c r="AG72" s="2" t="e">
        <f>VLOOKUP(H72,#REF!,13,FALSE)</f>
        <v>#REF!</v>
      </c>
      <c r="AH72" s="2" t="e">
        <f>VLOOKUP(I72,#REF!,2,FALSE)</f>
        <v>#REF!</v>
      </c>
      <c r="AJ72" s="185" t="e">
        <f>VLOOKUP(H72,#REF!,3,FALSE)</f>
        <v>#REF!</v>
      </c>
      <c r="AK72" s="185"/>
      <c r="AL72" s="185" t="e">
        <f>VLOOKUP(H72,#REF!,13,FALSE)</f>
        <v>#REF!</v>
      </c>
      <c r="AM72" s="185" t="e">
        <f>VLOOKUP(CLEAN(H72),#REF!,7,FALSE)</f>
        <v>#REF!</v>
      </c>
      <c r="AN72" s="2" t="e">
        <f>VLOOKUP(H72,#REF!,8,FALSE)</f>
        <v>#REF!</v>
      </c>
      <c r="AO72" s="189" t="e">
        <f>VLOOKUP(H72,#REF!,2,FALSE)</f>
        <v>#REF!</v>
      </c>
      <c r="AP72" s="189" t="e">
        <f>VLOOKUP(H72,#REF!,2,FALSE)</f>
        <v>#REF!</v>
      </c>
      <c r="AQ72" s="189"/>
      <c r="AR72" s="2" t="e">
        <f>VLOOKUP(CLEAN(H72),#REF!,2,FALSE)</f>
        <v>#REF!</v>
      </c>
      <c r="AT72" s="2" t="e">
        <f>VLOOKUP(H72,#REF!,13,FALSE)</f>
        <v>#REF!</v>
      </c>
      <c r="AU72" s="2" t="e">
        <f>VLOOKUP(H72,#REF!,13,FALSE)</f>
        <v>#REF!</v>
      </c>
      <c r="AV72" s="2" t="e">
        <f>VLOOKUP(H72,#REF!,13,FALSE)</f>
        <v>#REF!</v>
      </c>
      <c r="AW72" s="2" t="e">
        <f>VLOOKUP(H72,#REF!,13,FALSE)</f>
        <v>#REF!</v>
      </c>
      <c r="AX72" s="2" t="e">
        <f>VLOOKUP(H72,#REF!,9,FALSE)</f>
        <v>#REF!</v>
      </c>
      <c r="AY72" s="2" t="e">
        <f>VLOOKUP(H72,#REF!,2,FALSE)</f>
        <v>#REF!</v>
      </c>
      <c r="AZ72" s="189" t="e">
        <f>VLOOKUP(H72,#REF!,2,FALSE)</f>
        <v>#REF!</v>
      </c>
      <c r="BF72" s="189" t="e">
        <f>VLOOKUP(CLEAN(H72),#REF!,2,FALSE)</f>
        <v>#REF!</v>
      </c>
      <c r="BG72" s="189" t="e">
        <f>T72-BF72</f>
        <v>#REF!</v>
      </c>
      <c r="BO72" s="2" t="e">
        <f>VLOOKUP(H72,#REF!,13,FALSE)</f>
        <v>#REF!</v>
      </c>
      <c r="BP72" s="2" t="e">
        <f>VLOOKUP(H72,#REF!,2,FALSE)</f>
        <v>#REF!</v>
      </c>
      <c r="BQ72" s="2" t="e">
        <f>VLOOKUP(H72,#REF!,13,FALSE)</f>
        <v>#REF!</v>
      </c>
      <c r="BR72" s="2" t="e">
        <f>VLOOKUP(H72,#REF!,3,FALSE)</f>
        <v>#REF!</v>
      </c>
    </row>
    <row r="73" spans="1:70" s="2" customFormat="1" ht="15" customHeight="1" outlineLevel="2">
      <c r="A73" s="5">
        <v>31</v>
      </c>
      <c r="B73" s="5" t="s">
        <v>54</v>
      </c>
      <c r="C73" s="5" t="s">
        <v>241</v>
      </c>
      <c r="D73" s="5" t="s">
        <v>7</v>
      </c>
      <c r="E73" s="5" t="s">
        <v>16</v>
      </c>
      <c r="F73" s="5" t="s">
        <v>89</v>
      </c>
      <c r="G73" s="5" t="s">
        <v>144</v>
      </c>
      <c r="H73" s="12">
        <v>40000611</v>
      </c>
      <c r="I73" s="42" t="str">
        <f t="shared" si="38"/>
        <v>40000611-EJECUCION</v>
      </c>
      <c r="J73" s="12"/>
      <c r="K73" s="307" t="str">
        <f t="shared" si="39"/>
        <v>40000611</v>
      </c>
      <c r="L73" s="15" t="s">
        <v>496</v>
      </c>
      <c r="M73" s="23">
        <v>222275000</v>
      </c>
      <c r="N73" s="34">
        <v>0</v>
      </c>
      <c r="O73" s="34">
        <v>20000000</v>
      </c>
      <c r="P73" s="310">
        <v>0</v>
      </c>
      <c r="Q73" s="34">
        <v>0</v>
      </c>
      <c r="R73" s="308">
        <v>0</v>
      </c>
      <c r="S73" s="34">
        <f t="shared" si="40"/>
        <v>0</v>
      </c>
      <c r="T73" s="34">
        <v>0</v>
      </c>
      <c r="U73" s="34">
        <v>0</v>
      </c>
      <c r="V73" s="34">
        <f>P73+Q73+R73+T73+U73</f>
        <v>0</v>
      </c>
      <c r="W73" s="34">
        <f>O73-V73</f>
        <v>20000000</v>
      </c>
      <c r="X73" s="34">
        <f>M73-(N73+O73)</f>
        <v>202275000</v>
      </c>
      <c r="Y73" s="48" t="s">
        <v>243</v>
      </c>
      <c r="Z73" s="48" t="s">
        <v>10</v>
      </c>
      <c r="AA73" s="2" t="s">
        <v>848</v>
      </c>
      <c r="AB73" s="2" t="e">
        <f>VLOOKUP(H73,#REF!,2,FALSE)</f>
        <v>#REF!</v>
      </c>
      <c r="AC73" s="2" t="e">
        <f>VLOOKUP(I73,#REF!,2,FALSE)</f>
        <v>#REF!</v>
      </c>
      <c r="AD73" s="2" t="e">
        <f>VLOOKUP(H73,#REF!,13,FALSE)</f>
        <v>#REF!</v>
      </c>
      <c r="AE73" s="2" t="e">
        <f>VLOOKUP(I73,#REF!,7,FALSE)</f>
        <v>#REF!</v>
      </c>
      <c r="AF73" s="2">
        <v>25</v>
      </c>
      <c r="AG73" s="2" t="e">
        <f>VLOOKUP(H73,#REF!,13,FALSE)</f>
        <v>#REF!</v>
      </c>
      <c r="AH73" s="2" t="e">
        <f>VLOOKUP(I73,#REF!,2,FALSE)</f>
        <v>#REF!</v>
      </c>
      <c r="AJ73" s="185" t="e">
        <f>VLOOKUP(H73,#REF!,3,FALSE)</f>
        <v>#REF!</v>
      </c>
      <c r="AK73" s="185"/>
      <c r="AL73" s="185" t="e">
        <f>VLOOKUP(H73,#REF!,13,FALSE)</f>
        <v>#REF!</v>
      </c>
      <c r="AM73" s="185" t="e">
        <f>VLOOKUP(CLEAN(H73),#REF!,7,FALSE)</f>
        <v>#REF!</v>
      </c>
      <c r="AN73" s="2" t="e">
        <f>VLOOKUP(H73,#REF!,8,FALSE)</f>
        <v>#REF!</v>
      </c>
      <c r="AO73" s="189" t="e">
        <f>VLOOKUP(H73,#REF!,2,FALSE)</f>
        <v>#REF!</v>
      </c>
      <c r="AP73" s="189" t="e">
        <f>VLOOKUP(H73,#REF!,2,FALSE)</f>
        <v>#REF!</v>
      </c>
      <c r="AQ73" s="189"/>
      <c r="AR73" s="2" t="e">
        <f>VLOOKUP(CLEAN(H73),#REF!,2,FALSE)</f>
        <v>#REF!</v>
      </c>
      <c r="AT73" s="2" t="e">
        <f>VLOOKUP(H73,#REF!,13,FALSE)</f>
        <v>#REF!</v>
      </c>
      <c r="AU73" s="2" t="e">
        <f>VLOOKUP(H73,#REF!,13,FALSE)</f>
        <v>#REF!</v>
      </c>
      <c r="AV73" s="2" t="e">
        <f>VLOOKUP(H73,#REF!,13,FALSE)</f>
        <v>#REF!</v>
      </c>
      <c r="AW73" s="2" t="e">
        <f>VLOOKUP(H73,#REF!,13,FALSE)</f>
        <v>#REF!</v>
      </c>
      <c r="AX73" s="2" t="e">
        <f>VLOOKUP(H73,#REF!,9,FALSE)</f>
        <v>#REF!</v>
      </c>
      <c r="AY73" s="2" t="e">
        <f>VLOOKUP(H73,#REF!,2,FALSE)</f>
        <v>#REF!</v>
      </c>
      <c r="AZ73" s="189" t="e">
        <f>VLOOKUP(H73,#REF!,2,FALSE)</f>
        <v>#REF!</v>
      </c>
      <c r="BF73" s="189" t="e">
        <f>VLOOKUP(CLEAN(H73),#REF!,2,FALSE)</f>
        <v>#REF!</v>
      </c>
      <c r="BG73" s="189" t="e">
        <f>T73-BF73</f>
        <v>#REF!</v>
      </c>
      <c r="BO73" s="2" t="e">
        <f>VLOOKUP(H73,#REF!,13,FALSE)</f>
        <v>#REF!</v>
      </c>
      <c r="BP73" s="2" t="e">
        <f>VLOOKUP(H73,#REF!,2,FALSE)</f>
        <v>#REF!</v>
      </c>
      <c r="BQ73" s="2" t="e">
        <f>VLOOKUP(H73,#REF!,13,FALSE)</f>
        <v>#REF!</v>
      </c>
      <c r="BR73" s="2" t="e">
        <f>VLOOKUP(H73,#REF!,3,FALSE)</f>
        <v>#REF!</v>
      </c>
    </row>
    <row r="74" spans="1:70" s="2" customFormat="1" ht="15" customHeight="1" outlineLevel="2">
      <c r="A74" s="5">
        <v>31</v>
      </c>
      <c r="B74" s="5" t="s">
        <v>5</v>
      </c>
      <c r="C74" s="5" t="s">
        <v>240</v>
      </c>
      <c r="D74" s="5" t="s">
        <v>7</v>
      </c>
      <c r="E74" s="5" t="s">
        <v>16</v>
      </c>
      <c r="F74" s="5" t="s">
        <v>457</v>
      </c>
      <c r="G74" s="5" t="s">
        <v>9</v>
      </c>
      <c r="H74" s="12">
        <v>30171875</v>
      </c>
      <c r="I74" s="42" t="str">
        <f t="shared" si="38"/>
        <v>30171875-DISEÑO</v>
      </c>
      <c r="J74" s="12" t="s">
        <v>713</v>
      </c>
      <c r="K74" s="307" t="str">
        <f t="shared" si="39"/>
        <v>30171875</v>
      </c>
      <c r="L74" s="15" t="s">
        <v>90</v>
      </c>
      <c r="M74" s="23">
        <v>19500000</v>
      </c>
      <c r="N74" s="34">
        <v>0</v>
      </c>
      <c r="O74" s="34">
        <f>14500000-1046167</f>
        <v>13453833</v>
      </c>
      <c r="P74" s="310">
        <v>0</v>
      </c>
      <c r="Q74" s="34">
        <v>0</v>
      </c>
      <c r="R74" s="308">
        <v>0</v>
      </c>
      <c r="S74" s="34">
        <f t="shared" si="40"/>
        <v>0</v>
      </c>
      <c r="T74" s="34">
        <v>0</v>
      </c>
      <c r="U74" s="34">
        <v>0</v>
      </c>
      <c r="V74" s="34">
        <f>P74+Q74+R74+T74+U74</f>
        <v>0</v>
      </c>
      <c r="W74" s="34">
        <f>O74-V74</f>
        <v>13453833</v>
      </c>
      <c r="X74" s="34">
        <f>M74-(N74+O74)</f>
        <v>6046167</v>
      </c>
      <c r="Y74" s="48" t="s">
        <v>418</v>
      </c>
      <c r="Z74" s="48" t="s">
        <v>8</v>
      </c>
      <c r="AA74" s="2" t="s">
        <v>848</v>
      </c>
      <c r="AB74" s="2" t="e">
        <f>VLOOKUP(H74,#REF!,2,FALSE)</f>
        <v>#REF!</v>
      </c>
      <c r="AC74" s="2" t="e">
        <f>VLOOKUP(I74,#REF!,2,FALSE)</f>
        <v>#REF!</v>
      </c>
      <c r="AD74" s="2" t="e">
        <f>VLOOKUP(H74,#REF!,13,FALSE)</f>
        <v>#REF!</v>
      </c>
      <c r="AE74" s="177" t="e">
        <f>VLOOKUP(I74,#REF!,7,FALSE)</f>
        <v>#REF!</v>
      </c>
      <c r="AF74" s="2">
        <v>25</v>
      </c>
      <c r="AG74" s="2" t="e">
        <f>VLOOKUP(H74,#REF!,13,FALSE)</f>
        <v>#REF!</v>
      </c>
      <c r="AH74" s="2" t="e">
        <f>VLOOKUP(I74,#REF!,2,FALSE)</f>
        <v>#REF!</v>
      </c>
      <c r="AJ74" s="185" t="e">
        <f>VLOOKUP(H74,#REF!,3,FALSE)</f>
        <v>#REF!</v>
      </c>
      <c r="AK74" s="185" t="s">
        <v>684</v>
      </c>
      <c r="AL74" s="185" t="e">
        <f>VLOOKUP(H74,#REF!,13,FALSE)</f>
        <v>#REF!</v>
      </c>
      <c r="AM74" s="185" t="e">
        <f>VLOOKUP(CLEAN(H74),#REF!,7,FALSE)</f>
        <v>#REF!</v>
      </c>
      <c r="AN74" s="2" t="e">
        <f>VLOOKUP(H74,#REF!,8,FALSE)</f>
        <v>#REF!</v>
      </c>
      <c r="AO74" s="189" t="e">
        <f>VLOOKUP(H74,#REF!,2,FALSE)</f>
        <v>#REF!</v>
      </c>
      <c r="AP74" s="189" t="e">
        <f>VLOOKUP(H74,#REF!,2,FALSE)</f>
        <v>#REF!</v>
      </c>
      <c r="AQ74" s="189"/>
      <c r="AR74" s="2" t="e">
        <f>VLOOKUP(CLEAN(H74),#REF!,2,FALSE)</f>
        <v>#REF!</v>
      </c>
      <c r="AT74" s="2" t="e">
        <f>VLOOKUP(H74,#REF!,13,FALSE)</f>
        <v>#REF!</v>
      </c>
      <c r="AU74" s="2" t="e">
        <f>VLOOKUP(H74,#REF!,13,FALSE)</f>
        <v>#REF!</v>
      </c>
      <c r="AV74" s="2" t="e">
        <f>VLOOKUP(H74,#REF!,13,FALSE)</f>
        <v>#REF!</v>
      </c>
      <c r="AW74" s="2" t="e">
        <f>VLOOKUP(H74,#REF!,13,FALSE)</f>
        <v>#REF!</v>
      </c>
      <c r="AX74" s="2" t="e">
        <f>VLOOKUP(H74,#REF!,9,FALSE)</f>
        <v>#REF!</v>
      </c>
      <c r="AZ74" s="2" t="e">
        <f>VLOOKUP(H74,#REF!,2,FALSE)</f>
        <v>#REF!</v>
      </c>
      <c r="BF74" s="189" t="e">
        <f>VLOOKUP(CLEAN(H74),#REF!,2,FALSE)</f>
        <v>#REF!</v>
      </c>
      <c r="BG74" s="189" t="e">
        <f>T74-BF74</f>
        <v>#REF!</v>
      </c>
      <c r="BO74" s="2" t="e">
        <f>VLOOKUP(H74,#REF!,13,FALSE)</f>
        <v>#REF!</v>
      </c>
      <c r="BP74" s="2" t="e">
        <f>VLOOKUP(H74,#REF!,2,FALSE)</f>
        <v>#REF!</v>
      </c>
      <c r="BQ74" s="2" t="e">
        <f>VLOOKUP(H74,#REF!,13,FALSE)</f>
        <v>#REF!</v>
      </c>
      <c r="BR74" s="2" t="e">
        <f>VLOOKUP(H74,#REF!,3,FALSE)</f>
        <v>#REF!</v>
      </c>
    </row>
    <row r="75" spans="1:70" ht="15" customHeight="1" outlineLevel="2">
      <c r="A75" s="7"/>
      <c r="B75" s="7"/>
      <c r="C75" s="7"/>
      <c r="D75" s="7"/>
      <c r="E75" s="7"/>
      <c r="F75" s="7"/>
      <c r="G75" s="7"/>
      <c r="H75" s="11"/>
      <c r="I75" s="14"/>
      <c r="J75" s="14"/>
      <c r="K75" s="14"/>
      <c r="L75" s="17" t="s">
        <v>702</v>
      </c>
      <c r="M75" s="41">
        <f t="shared" ref="M75:X75" si="41">SUBTOTAL(9,M72:M74)</f>
        <v>771714000</v>
      </c>
      <c r="N75" s="41">
        <f t="shared" si="41"/>
        <v>0</v>
      </c>
      <c r="O75" s="41">
        <f t="shared" si="41"/>
        <v>86447733</v>
      </c>
      <c r="P75" s="41">
        <f t="shared" si="41"/>
        <v>0</v>
      </c>
      <c r="Q75" s="41">
        <f t="shared" si="41"/>
        <v>0</v>
      </c>
      <c r="R75" s="41">
        <f t="shared" si="41"/>
        <v>0</v>
      </c>
      <c r="S75" s="41">
        <f t="shared" si="41"/>
        <v>0</v>
      </c>
      <c r="T75" s="41">
        <f t="shared" si="41"/>
        <v>0</v>
      </c>
      <c r="U75" s="41">
        <f t="shared" si="41"/>
        <v>0</v>
      </c>
      <c r="V75" s="41">
        <f t="shared" si="41"/>
        <v>0</v>
      </c>
      <c r="W75" s="41">
        <f t="shared" si="41"/>
        <v>86447733</v>
      </c>
      <c r="X75" s="41">
        <f t="shared" si="41"/>
        <v>685266267</v>
      </c>
      <c r="Y75" s="50"/>
      <c r="Z75" s="50"/>
      <c r="AM75" s="185" t="e">
        <f>VLOOKUP(CLEAN(H75),#REF!,7,FALSE)</f>
        <v>#REF!</v>
      </c>
      <c r="AO75"/>
      <c r="AP75"/>
      <c r="AQ75"/>
      <c r="AR75" s="2" t="e">
        <f>VLOOKUP(CLEAN(H75),#REF!,2,FALSE)</f>
        <v>#REF!</v>
      </c>
      <c r="AZ75" s="2" t="e">
        <f>VLOOKUP(H75,#REF!,2,FALSE)</f>
        <v>#REF!</v>
      </c>
      <c r="BO75" s="2" t="e">
        <f>VLOOKUP(H75,#REF!,13,FALSE)</f>
        <v>#REF!</v>
      </c>
      <c r="BQ75" s="2" t="e">
        <f>VLOOKUP(H75,#REF!,13,FALSE)</f>
        <v>#REF!</v>
      </c>
    </row>
    <row r="76" spans="1:70" ht="15" customHeight="1" outlineLevel="2">
      <c r="A76" s="7"/>
      <c r="B76" s="7"/>
      <c r="C76" s="7"/>
      <c r="D76" s="7"/>
      <c r="E76" s="7"/>
      <c r="F76" s="7"/>
      <c r="G76" s="7"/>
      <c r="H76" s="11"/>
      <c r="I76" s="11"/>
      <c r="J76" s="11"/>
      <c r="K76" s="11"/>
      <c r="L76" s="292"/>
      <c r="M76" s="22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47"/>
      <c r="Z76" s="47"/>
      <c r="AM76" s="185" t="e">
        <f>VLOOKUP(CLEAN(H76),#REF!,7,FALSE)</f>
        <v>#REF!</v>
      </c>
      <c r="AO76"/>
      <c r="AP76"/>
      <c r="AQ76"/>
      <c r="AR76" s="2" t="e">
        <f>VLOOKUP(CLEAN(H76),#REF!,2,FALSE)</f>
        <v>#REF!</v>
      </c>
      <c r="AZ76" s="2" t="e">
        <f>VLOOKUP(H76,#REF!,2,FALSE)</f>
        <v>#REF!</v>
      </c>
      <c r="BO76" s="2" t="e">
        <f>VLOOKUP(H76,#REF!,13,FALSE)</f>
        <v>#REF!</v>
      </c>
      <c r="BP76" s="293"/>
      <c r="BQ76" s="2" t="e">
        <f>VLOOKUP(H76,#REF!,13,FALSE)</f>
        <v>#REF!</v>
      </c>
    </row>
    <row r="77" spans="1:70" ht="15" customHeight="1" outlineLevel="2">
      <c r="A77" s="7"/>
      <c r="B77" s="7"/>
      <c r="C77" s="7"/>
      <c r="D77" s="7"/>
      <c r="E77" s="7"/>
      <c r="F77" s="7"/>
      <c r="G77" s="7"/>
      <c r="H77" s="11"/>
      <c r="I77" s="11"/>
      <c r="J77" s="11"/>
      <c r="K77" s="11"/>
      <c r="L77" s="18" t="s">
        <v>696</v>
      </c>
      <c r="M77" s="22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47"/>
      <c r="Z77" s="47"/>
      <c r="AM77" s="185" t="e">
        <f>VLOOKUP(CLEAN(H77),#REF!,7,FALSE)</f>
        <v>#REF!</v>
      </c>
      <c r="AO77"/>
      <c r="AP77"/>
      <c r="AQ77"/>
      <c r="AR77" s="2" t="e">
        <f>VLOOKUP(CLEAN(H77),#REF!,2,FALSE)</f>
        <v>#REF!</v>
      </c>
      <c r="AZ77" s="2" t="e">
        <f>VLOOKUP(H77,#REF!,2,FALSE)</f>
        <v>#REF!</v>
      </c>
      <c r="BO77" s="2" t="e">
        <f>VLOOKUP(H77,#REF!,13,FALSE)</f>
        <v>#REF!</v>
      </c>
      <c r="BQ77" s="2" t="e">
        <f>VLOOKUP(H77,#REF!,13,FALSE)</f>
        <v>#REF!</v>
      </c>
    </row>
    <row r="78" spans="1:70" s="2" customFormat="1" ht="15" customHeight="1" outlineLevel="2">
      <c r="A78" s="5">
        <v>31</v>
      </c>
      <c r="B78" s="5" t="s">
        <v>11</v>
      </c>
      <c r="C78" s="5" t="s">
        <v>253</v>
      </c>
      <c r="D78" s="5" t="s">
        <v>7</v>
      </c>
      <c r="E78" s="5" t="s">
        <v>16</v>
      </c>
      <c r="F78" s="5" t="s">
        <v>457</v>
      </c>
      <c r="G78" s="5" t="s">
        <v>144</v>
      </c>
      <c r="H78" s="12">
        <v>30134930</v>
      </c>
      <c r="I78" s="42" t="str">
        <f t="shared" ref="I78:I81" si="42">CONCATENATE(H78,"-",G78)</f>
        <v>30134930-EJECUCION</v>
      </c>
      <c r="J78" s="12"/>
      <c r="K78" s="307" t="str">
        <f t="shared" ref="K78:K81" si="43">CLEAN(H78)</f>
        <v>30134930</v>
      </c>
      <c r="L78" s="15" t="s">
        <v>355</v>
      </c>
      <c r="M78" s="23">
        <v>937003000</v>
      </c>
      <c r="N78" s="34">
        <v>0</v>
      </c>
      <c r="O78" s="34">
        <f>90000000-78377100</f>
        <v>11622900</v>
      </c>
      <c r="P78" s="310">
        <v>0</v>
      </c>
      <c r="Q78" s="34">
        <v>0</v>
      </c>
      <c r="R78" s="308">
        <v>0</v>
      </c>
      <c r="S78" s="34">
        <f t="shared" ref="S78:S81" si="44">P78+Q78+R78</f>
        <v>0</v>
      </c>
      <c r="T78" s="34">
        <v>0</v>
      </c>
      <c r="U78" s="34">
        <v>0</v>
      </c>
      <c r="V78" s="34">
        <f>P78+Q78+R78+T78+U78</f>
        <v>0</v>
      </c>
      <c r="W78" s="34">
        <f>O78-V78</f>
        <v>11622900</v>
      </c>
      <c r="X78" s="34">
        <f>M78-(N78+O78)</f>
        <v>925380100</v>
      </c>
      <c r="Y78" s="48" t="s">
        <v>246</v>
      </c>
      <c r="Z78" s="48" t="s">
        <v>270</v>
      </c>
      <c r="AA78" s="2" t="e">
        <v>#N/A</v>
      </c>
      <c r="AB78" s="2" t="e">
        <f>VLOOKUP(H78,#REF!,2,FALSE)</f>
        <v>#REF!</v>
      </c>
      <c r="AC78" s="2" t="e">
        <f>VLOOKUP(I78,#REF!,2,FALSE)</f>
        <v>#REF!</v>
      </c>
      <c r="AD78" s="2" t="e">
        <f>VLOOKUP(H78,#REF!,13,FALSE)</f>
        <v>#REF!</v>
      </c>
      <c r="AE78" s="2" t="e">
        <f>VLOOKUP(I78,#REF!,7,FALSE)</f>
        <v>#REF!</v>
      </c>
      <c r="AF78" s="2">
        <v>25</v>
      </c>
      <c r="AG78" s="2" t="e">
        <f>VLOOKUP(H78,#REF!,13,FALSE)</f>
        <v>#REF!</v>
      </c>
      <c r="AH78" s="2" t="e">
        <f>VLOOKUP(I78,#REF!,2,FALSE)</f>
        <v>#REF!</v>
      </c>
      <c r="AJ78" s="185" t="e">
        <f>VLOOKUP(H78,#REF!,3,FALSE)</f>
        <v>#REF!</v>
      </c>
      <c r="AK78" s="185"/>
      <c r="AL78" s="185" t="e">
        <f>VLOOKUP(H78,#REF!,13,FALSE)</f>
        <v>#REF!</v>
      </c>
      <c r="AM78" s="185" t="e">
        <f>VLOOKUP(CLEAN(H78),#REF!,7,FALSE)</f>
        <v>#REF!</v>
      </c>
      <c r="AN78" s="2" t="e">
        <f>VLOOKUP(H78,#REF!,8,FALSE)</f>
        <v>#REF!</v>
      </c>
      <c r="AO78" s="189" t="e">
        <f>VLOOKUP(H78,#REF!,2,FALSE)</f>
        <v>#REF!</v>
      </c>
      <c r="AP78" s="189" t="e">
        <f>VLOOKUP(H78,#REF!,2,FALSE)</f>
        <v>#REF!</v>
      </c>
      <c r="AQ78" s="189"/>
      <c r="AR78" s="2" t="e">
        <f>VLOOKUP(CLEAN(H78),#REF!,2,FALSE)</f>
        <v>#REF!</v>
      </c>
      <c r="AT78" s="2" t="e">
        <f>VLOOKUP(H78,#REF!,13,FALSE)</f>
        <v>#REF!</v>
      </c>
      <c r="AU78" s="2" t="e">
        <f>VLOOKUP(H78,#REF!,13,FALSE)</f>
        <v>#REF!</v>
      </c>
      <c r="AV78" s="2" t="e">
        <f>VLOOKUP(H78,#REF!,13,FALSE)</f>
        <v>#REF!</v>
      </c>
      <c r="AW78" s="2" t="e">
        <f>VLOOKUP(H78,#REF!,13,FALSE)</f>
        <v>#REF!</v>
      </c>
      <c r="AX78" s="2" t="e">
        <f>VLOOKUP(H78,#REF!,9,FALSE)</f>
        <v>#REF!</v>
      </c>
      <c r="AZ78" s="2" t="e">
        <f>VLOOKUP(H78,#REF!,2,FALSE)</f>
        <v>#REF!</v>
      </c>
      <c r="BF78" s="189" t="e">
        <f>VLOOKUP(CLEAN(H78),#REF!,2,FALSE)</f>
        <v>#REF!</v>
      </c>
      <c r="BG78" s="189" t="e">
        <f>T78-BF78</f>
        <v>#REF!</v>
      </c>
      <c r="BO78" s="2" t="e">
        <f>VLOOKUP(H78,#REF!,13,FALSE)</f>
        <v>#REF!</v>
      </c>
      <c r="BP78" s="2" t="e">
        <f>VLOOKUP(H78,#REF!,2,FALSE)</f>
        <v>#REF!</v>
      </c>
      <c r="BQ78" s="2" t="e">
        <f>VLOOKUP(H78,#REF!,13,FALSE)</f>
        <v>#REF!</v>
      </c>
      <c r="BR78" s="2" t="e">
        <f>VLOOKUP(H78,#REF!,3,FALSE)</f>
        <v>#REF!</v>
      </c>
    </row>
    <row r="79" spans="1:70" s="2" customFormat="1" ht="15" customHeight="1" outlineLevel="2">
      <c r="A79" s="5">
        <v>31</v>
      </c>
      <c r="B79" s="5" t="s">
        <v>11</v>
      </c>
      <c r="C79" s="5" t="s">
        <v>248</v>
      </c>
      <c r="D79" s="5" t="s">
        <v>7</v>
      </c>
      <c r="E79" s="5" t="s">
        <v>16</v>
      </c>
      <c r="F79" s="5" t="s">
        <v>14</v>
      </c>
      <c r="G79" s="5" t="s">
        <v>9</v>
      </c>
      <c r="H79" s="12">
        <v>30486132</v>
      </c>
      <c r="I79" s="42" t="str">
        <f t="shared" si="42"/>
        <v>30486132-DISEÑO</v>
      </c>
      <c r="J79" s="12"/>
      <c r="K79" s="307" t="str">
        <f t="shared" si="43"/>
        <v>30486132</v>
      </c>
      <c r="L79" s="15" t="s">
        <v>380</v>
      </c>
      <c r="M79" s="23">
        <v>38000000</v>
      </c>
      <c r="N79" s="34">
        <v>0</v>
      </c>
      <c r="O79" s="34">
        <v>5000000</v>
      </c>
      <c r="P79" s="310">
        <v>0</v>
      </c>
      <c r="Q79" s="34">
        <v>0</v>
      </c>
      <c r="R79" s="308">
        <v>0</v>
      </c>
      <c r="S79" s="34">
        <f t="shared" si="44"/>
        <v>0</v>
      </c>
      <c r="T79" s="34">
        <v>0</v>
      </c>
      <c r="U79" s="34">
        <v>0</v>
      </c>
      <c r="V79" s="34">
        <f>P79+Q79+R79+T79+U79</f>
        <v>0</v>
      </c>
      <c r="W79" s="34">
        <f>O79-V79</f>
        <v>5000000</v>
      </c>
      <c r="X79" s="34">
        <f>M79-(N79+O79)</f>
        <v>33000000</v>
      </c>
      <c r="Y79" s="48" t="s">
        <v>246</v>
      </c>
      <c r="Z79" s="48" t="s">
        <v>357</v>
      </c>
      <c r="AA79" s="2" t="e">
        <v>#N/A</v>
      </c>
      <c r="AB79" s="2" t="e">
        <f>VLOOKUP(H79,#REF!,2,FALSE)</f>
        <v>#REF!</v>
      </c>
      <c r="AC79" s="2" t="e">
        <f>VLOOKUP(I79,#REF!,2,FALSE)</f>
        <v>#REF!</v>
      </c>
      <c r="AD79" s="2" t="e">
        <f>VLOOKUP(H79,#REF!,13,FALSE)</f>
        <v>#REF!</v>
      </c>
      <c r="AE79" s="2" t="e">
        <f>VLOOKUP(I79,#REF!,7,FALSE)</f>
        <v>#REF!</v>
      </c>
      <c r="AF79" s="2">
        <v>25</v>
      </c>
      <c r="AG79" s="2" t="e">
        <f>VLOOKUP(H79,#REF!,13,FALSE)</f>
        <v>#REF!</v>
      </c>
      <c r="AH79" s="2" t="e">
        <f>VLOOKUP(I79,#REF!,2,FALSE)</f>
        <v>#REF!</v>
      </c>
      <c r="AJ79" s="185" t="e">
        <f>VLOOKUP(H79,#REF!,3,FALSE)</f>
        <v>#REF!</v>
      </c>
      <c r="AK79" s="185"/>
      <c r="AL79" s="185" t="e">
        <f>VLOOKUP(H79,#REF!,13,FALSE)</f>
        <v>#REF!</v>
      </c>
      <c r="AM79" s="185" t="e">
        <f>VLOOKUP(CLEAN(H79),#REF!,7,FALSE)</f>
        <v>#REF!</v>
      </c>
      <c r="AN79" s="2" t="e">
        <f>VLOOKUP(H79,#REF!,8,FALSE)</f>
        <v>#REF!</v>
      </c>
      <c r="AO79" s="189" t="e">
        <f>VLOOKUP(H79,#REF!,2,FALSE)</f>
        <v>#REF!</v>
      </c>
      <c r="AP79" s="189" t="e">
        <f>VLOOKUP(H79,#REF!,2,FALSE)</f>
        <v>#REF!</v>
      </c>
      <c r="AQ79" s="189"/>
      <c r="AR79" s="2" t="e">
        <f>VLOOKUP(CLEAN(H79),#REF!,2,FALSE)</f>
        <v>#REF!</v>
      </c>
      <c r="AT79" s="2" t="e">
        <f>VLOOKUP(H79,#REF!,13,FALSE)</f>
        <v>#REF!</v>
      </c>
      <c r="AU79" s="2" t="e">
        <f>VLOOKUP(H79,#REF!,13,FALSE)</f>
        <v>#REF!</v>
      </c>
      <c r="AV79" s="2" t="e">
        <f>VLOOKUP(H79,#REF!,13,FALSE)</f>
        <v>#REF!</v>
      </c>
      <c r="AW79" s="2" t="e">
        <f>VLOOKUP(H79,#REF!,13,FALSE)</f>
        <v>#REF!</v>
      </c>
      <c r="AX79" s="2" t="e">
        <f>VLOOKUP(H79,#REF!,9,FALSE)</f>
        <v>#REF!</v>
      </c>
      <c r="AZ79" s="2" t="e">
        <f>VLOOKUP(H79,#REF!,2,FALSE)</f>
        <v>#REF!</v>
      </c>
      <c r="BF79" s="189" t="e">
        <f>VLOOKUP(CLEAN(H79),#REF!,2,FALSE)</f>
        <v>#REF!</v>
      </c>
      <c r="BG79" s="189" t="e">
        <f>T79-BF79</f>
        <v>#REF!</v>
      </c>
      <c r="BO79" s="2" t="e">
        <f>VLOOKUP(H79,#REF!,13,FALSE)</f>
        <v>#REF!</v>
      </c>
      <c r="BP79" s="2" t="e">
        <f>VLOOKUP(H79,#REF!,2,FALSE)</f>
        <v>#REF!</v>
      </c>
      <c r="BQ79" s="2" t="e">
        <f>VLOOKUP(H79,#REF!,13,FALSE)</f>
        <v>#REF!</v>
      </c>
      <c r="BR79" s="2" t="e">
        <f>VLOOKUP(H79,#REF!,3,FALSE)</f>
        <v>#REF!</v>
      </c>
    </row>
    <row r="80" spans="1:70" s="2" customFormat="1" ht="15" customHeight="1" outlineLevel="2">
      <c r="A80" s="5">
        <v>31</v>
      </c>
      <c r="B80" s="5" t="s">
        <v>11</v>
      </c>
      <c r="C80" s="5" t="s">
        <v>252</v>
      </c>
      <c r="D80" s="5" t="s">
        <v>7</v>
      </c>
      <c r="E80" s="5" t="s">
        <v>16</v>
      </c>
      <c r="F80" s="5" t="s">
        <v>75</v>
      </c>
      <c r="G80" s="5" t="s">
        <v>144</v>
      </c>
      <c r="H80" s="12">
        <v>30426925</v>
      </c>
      <c r="I80" s="42" t="str">
        <f t="shared" si="42"/>
        <v>30426925-EJECUCION</v>
      </c>
      <c r="J80" s="12"/>
      <c r="K80" s="307" t="str">
        <f t="shared" si="43"/>
        <v>30426925</v>
      </c>
      <c r="L80" s="15" t="s">
        <v>786</v>
      </c>
      <c r="M80" s="23">
        <v>246139000</v>
      </c>
      <c r="N80" s="34">
        <v>0</v>
      </c>
      <c r="O80" s="34">
        <v>10000000</v>
      </c>
      <c r="P80" s="310">
        <v>0</v>
      </c>
      <c r="Q80" s="34">
        <v>0</v>
      </c>
      <c r="R80" s="308">
        <v>0</v>
      </c>
      <c r="S80" s="34">
        <f t="shared" si="44"/>
        <v>0</v>
      </c>
      <c r="T80" s="34">
        <v>0</v>
      </c>
      <c r="U80" s="34">
        <v>0</v>
      </c>
      <c r="V80" s="34">
        <f>P80+Q80+R80+T80+U80</f>
        <v>0</v>
      </c>
      <c r="W80" s="34">
        <f>O80-V80</f>
        <v>10000000</v>
      </c>
      <c r="X80" s="34">
        <f>M80-(N80+O80)</f>
        <v>236139000</v>
      </c>
      <c r="Y80" s="48" t="s">
        <v>246</v>
      </c>
      <c r="Z80" s="48" t="s">
        <v>357</v>
      </c>
      <c r="AA80" s="2" t="e">
        <v>#N/A</v>
      </c>
      <c r="AB80" s="2" t="e">
        <f>VLOOKUP(H80,#REF!,2,FALSE)</f>
        <v>#REF!</v>
      </c>
      <c r="AC80" s="2" t="e">
        <f>VLOOKUP(I80,#REF!,2,FALSE)</f>
        <v>#REF!</v>
      </c>
      <c r="AD80" s="2" t="e">
        <f>VLOOKUP(H80,#REF!,13,FALSE)</f>
        <v>#REF!</v>
      </c>
      <c r="AE80" s="2" t="e">
        <f>VLOOKUP(I80,#REF!,7,FALSE)</f>
        <v>#REF!</v>
      </c>
      <c r="AF80" s="2">
        <v>25</v>
      </c>
      <c r="AG80" s="2" t="e">
        <f>VLOOKUP(H80,#REF!,13,FALSE)</f>
        <v>#REF!</v>
      </c>
      <c r="AH80" s="2" t="e">
        <f>VLOOKUP(I80,#REF!,2,FALSE)</f>
        <v>#REF!</v>
      </c>
      <c r="AJ80" s="185" t="e">
        <f>VLOOKUP(H80,#REF!,3,FALSE)</f>
        <v>#REF!</v>
      </c>
      <c r="AK80" s="185"/>
      <c r="AL80" s="185" t="e">
        <f>VLOOKUP(H80,#REF!,13,FALSE)</f>
        <v>#REF!</v>
      </c>
      <c r="AM80" s="185" t="e">
        <f>VLOOKUP(CLEAN(H80),#REF!,7,FALSE)</f>
        <v>#REF!</v>
      </c>
      <c r="AN80" s="2" t="e">
        <f>VLOOKUP(H80,#REF!,8,FALSE)</f>
        <v>#REF!</v>
      </c>
      <c r="AO80" s="189" t="e">
        <f>VLOOKUP(H80,#REF!,2,FALSE)</f>
        <v>#REF!</v>
      </c>
      <c r="AP80" s="189" t="e">
        <f>VLOOKUP(H80,#REF!,2,FALSE)</f>
        <v>#REF!</v>
      </c>
      <c r="AQ80" s="189"/>
      <c r="AR80" s="2" t="e">
        <f>VLOOKUP(CLEAN(H80),#REF!,2,FALSE)</f>
        <v>#REF!</v>
      </c>
      <c r="AT80" s="2" t="e">
        <f>VLOOKUP(H80,#REF!,13,FALSE)</f>
        <v>#REF!</v>
      </c>
      <c r="AU80" s="2" t="e">
        <f>VLOOKUP(H80,#REF!,13,FALSE)</f>
        <v>#REF!</v>
      </c>
      <c r="AV80" s="2" t="e">
        <f>VLOOKUP(H80,#REF!,13,FALSE)</f>
        <v>#REF!</v>
      </c>
      <c r="AW80" s="2" t="e">
        <f>VLOOKUP(H80,#REF!,13,FALSE)</f>
        <v>#REF!</v>
      </c>
      <c r="AX80" s="2" t="e">
        <f>VLOOKUP(H80,#REF!,9,FALSE)</f>
        <v>#REF!</v>
      </c>
      <c r="AZ80" s="2" t="e">
        <f>VLOOKUP(H80,#REF!,2,FALSE)</f>
        <v>#REF!</v>
      </c>
      <c r="BF80" s="189" t="e">
        <f>VLOOKUP(CLEAN(H80),#REF!,2,FALSE)</f>
        <v>#REF!</v>
      </c>
      <c r="BG80" s="189" t="e">
        <f>T80-BF80</f>
        <v>#REF!</v>
      </c>
      <c r="BO80" s="2" t="e">
        <f>VLOOKUP(H80,#REF!,13,FALSE)</f>
        <v>#REF!</v>
      </c>
      <c r="BP80" s="2" t="e">
        <f>VLOOKUP(H80,#REF!,2,FALSE)</f>
        <v>#REF!</v>
      </c>
      <c r="BQ80" s="2" t="e">
        <f>VLOOKUP(H80,#REF!,13,FALSE)</f>
        <v>#REF!</v>
      </c>
      <c r="BR80" s="2" t="e">
        <f>VLOOKUP(H80,#REF!,3,FALSE)</f>
        <v>#REF!</v>
      </c>
    </row>
    <row r="81" spans="1:70" s="2" customFormat="1" ht="15" customHeight="1" outlineLevel="2">
      <c r="A81" s="5">
        <v>31</v>
      </c>
      <c r="B81" s="5" t="s">
        <v>11</v>
      </c>
      <c r="C81" s="5" t="s">
        <v>252</v>
      </c>
      <c r="D81" s="5" t="s">
        <v>7</v>
      </c>
      <c r="E81" s="5" t="s">
        <v>16</v>
      </c>
      <c r="F81" s="5" t="s">
        <v>75</v>
      </c>
      <c r="G81" s="5" t="s">
        <v>144</v>
      </c>
      <c r="H81" s="12">
        <v>40000904</v>
      </c>
      <c r="I81" s="42" t="str">
        <f t="shared" si="42"/>
        <v>40000904-EJECUCION</v>
      </c>
      <c r="J81" s="12"/>
      <c r="K81" s="307" t="str">
        <f t="shared" si="43"/>
        <v>40000904</v>
      </c>
      <c r="L81" s="15" t="s">
        <v>785</v>
      </c>
      <c r="M81" s="23">
        <v>214146000</v>
      </c>
      <c r="N81" s="34">
        <v>0</v>
      </c>
      <c r="O81" s="34">
        <v>10000000</v>
      </c>
      <c r="P81" s="310">
        <v>0</v>
      </c>
      <c r="Q81" s="34">
        <v>0</v>
      </c>
      <c r="R81" s="308">
        <v>0</v>
      </c>
      <c r="S81" s="34">
        <f t="shared" si="44"/>
        <v>0</v>
      </c>
      <c r="T81" s="34">
        <v>0</v>
      </c>
      <c r="U81" s="34">
        <v>0</v>
      </c>
      <c r="V81" s="34">
        <f>P81+Q81+R81+T81+U81</f>
        <v>0</v>
      </c>
      <c r="W81" s="34">
        <f>O81-V81</f>
        <v>10000000</v>
      </c>
      <c r="X81" s="34">
        <f>M81-(N81+O81)</f>
        <v>204146000</v>
      </c>
      <c r="Y81" s="48" t="s">
        <v>246</v>
      </c>
      <c r="Z81" s="48" t="s">
        <v>357</v>
      </c>
      <c r="AA81" s="2" t="e">
        <v>#N/A</v>
      </c>
      <c r="AB81" s="2" t="e">
        <f>VLOOKUP(H81,#REF!,2,FALSE)</f>
        <v>#REF!</v>
      </c>
      <c r="AC81" s="2" t="e">
        <f>VLOOKUP(I81,#REF!,2,FALSE)</f>
        <v>#REF!</v>
      </c>
      <c r="AD81" s="2" t="e">
        <f>VLOOKUP(H81,#REF!,13,FALSE)</f>
        <v>#REF!</v>
      </c>
      <c r="AE81" s="2" t="e">
        <f>VLOOKUP(I81,#REF!,7,FALSE)</f>
        <v>#REF!</v>
      </c>
      <c r="AF81" s="2">
        <v>25</v>
      </c>
      <c r="AG81" s="2" t="e">
        <f>VLOOKUP(H81,#REF!,13,FALSE)</f>
        <v>#REF!</v>
      </c>
      <c r="AH81" s="2" t="e">
        <f>VLOOKUP(I81,#REF!,2,FALSE)</f>
        <v>#REF!</v>
      </c>
      <c r="AJ81" s="185" t="e">
        <f>VLOOKUP(H81,#REF!,3,FALSE)</f>
        <v>#REF!</v>
      </c>
      <c r="AK81" s="185"/>
      <c r="AL81" s="185" t="e">
        <f>VLOOKUP(H81,#REF!,13,FALSE)</f>
        <v>#REF!</v>
      </c>
      <c r="AM81" s="185" t="e">
        <f>VLOOKUP(CLEAN(H81),#REF!,7,FALSE)</f>
        <v>#REF!</v>
      </c>
      <c r="AN81" s="2" t="e">
        <f>VLOOKUP(H81,#REF!,8,FALSE)</f>
        <v>#REF!</v>
      </c>
      <c r="AO81" s="189" t="e">
        <f>VLOOKUP(H81,#REF!,2,FALSE)</f>
        <v>#REF!</v>
      </c>
      <c r="AP81" s="189" t="e">
        <f>VLOOKUP(H81,#REF!,2,FALSE)</f>
        <v>#REF!</v>
      </c>
      <c r="AQ81" s="189"/>
      <c r="AR81" s="2" t="e">
        <f>VLOOKUP(CLEAN(H81),#REF!,2,FALSE)</f>
        <v>#REF!</v>
      </c>
      <c r="AT81" s="2" t="e">
        <f>VLOOKUP(H81,#REF!,13,FALSE)</f>
        <v>#REF!</v>
      </c>
      <c r="AU81" s="2" t="e">
        <f>VLOOKUP(H81,#REF!,13,FALSE)</f>
        <v>#REF!</v>
      </c>
      <c r="AV81" s="2" t="e">
        <f>VLOOKUP(H81,#REF!,13,FALSE)</f>
        <v>#REF!</v>
      </c>
      <c r="AW81" s="2" t="e">
        <f>VLOOKUP(H81,#REF!,13,FALSE)</f>
        <v>#REF!</v>
      </c>
      <c r="AX81" s="2" t="e">
        <f>VLOOKUP(H81,#REF!,9,FALSE)</f>
        <v>#REF!</v>
      </c>
      <c r="AZ81" s="2" t="e">
        <f>VLOOKUP(H81,#REF!,2,FALSE)</f>
        <v>#REF!</v>
      </c>
      <c r="BF81" s="189" t="e">
        <f>VLOOKUP(CLEAN(H81),#REF!,2,FALSE)</f>
        <v>#REF!</v>
      </c>
      <c r="BG81" s="189" t="e">
        <f>T81-BF81</f>
        <v>#REF!</v>
      </c>
      <c r="BO81" s="2" t="e">
        <f>VLOOKUP(H81,#REF!,13,FALSE)</f>
        <v>#REF!</v>
      </c>
      <c r="BP81" s="2" t="e">
        <f>VLOOKUP(H81,#REF!,2,FALSE)</f>
        <v>#REF!</v>
      </c>
      <c r="BQ81" s="2" t="e">
        <f>VLOOKUP(H81,#REF!,13,FALSE)</f>
        <v>#REF!</v>
      </c>
      <c r="BR81" s="2" t="e">
        <f>VLOOKUP(H81,#REF!,3,FALSE)</f>
        <v>#REF!</v>
      </c>
    </row>
    <row r="82" spans="1:70" ht="15" customHeight="1" outlineLevel="2">
      <c r="A82" s="7"/>
      <c r="B82" s="7"/>
      <c r="C82" s="7"/>
      <c r="D82" s="7"/>
      <c r="E82" s="7"/>
      <c r="F82" s="7"/>
      <c r="G82" s="7"/>
      <c r="H82" s="11"/>
      <c r="I82" s="11"/>
      <c r="J82" s="11"/>
      <c r="K82" s="11"/>
      <c r="L82" s="17" t="s">
        <v>693</v>
      </c>
      <c r="M82" s="27">
        <f t="shared" ref="M82:X82" si="45">SUBTOTAL(9,M78:M81)</f>
        <v>1435288000</v>
      </c>
      <c r="N82" s="27">
        <f t="shared" si="45"/>
        <v>0</v>
      </c>
      <c r="O82" s="27">
        <f t="shared" si="45"/>
        <v>36622900</v>
      </c>
      <c r="P82" s="27">
        <f t="shared" si="45"/>
        <v>0</v>
      </c>
      <c r="Q82" s="27">
        <f t="shared" si="45"/>
        <v>0</v>
      </c>
      <c r="R82" s="27">
        <f t="shared" si="45"/>
        <v>0</v>
      </c>
      <c r="S82" s="27">
        <f t="shared" si="45"/>
        <v>0</v>
      </c>
      <c r="T82" s="27">
        <f t="shared" si="45"/>
        <v>0</v>
      </c>
      <c r="U82" s="27">
        <f t="shared" si="45"/>
        <v>0</v>
      </c>
      <c r="V82" s="27">
        <f t="shared" si="45"/>
        <v>0</v>
      </c>
      <c r="W82" s="27">
        <f t="shared" si="45"/>
        <v>36622900</v>
      </c>
      <c r="X82" s="27">
        <f t="shared" si="45"/>
        <v>1398665100</v>
      </c>
      <c r="Y82" s="47"/>
      <c r="Z82" s="47"/>
      <c r="AM82" s="185" t="e">
        <f>VLOOKUP(CLEAN(H82),#REF!,7,FALSE)</f>
        <v>#REF!</v>
      </c>
      <c r="AO82"/>
      <c r="AP82"/>
      <c r="AQ82"/>
      <c r="AR82" s="2" t="e">
        <f>VLOOKUP(CLEAN(H82),#REF!,2,FALSE)</f>
        <v>#REF!</v>
      </c>
      <c r="AZ82" s="2" t="e">
        <f>VLOOKUP(H82,#REF!,2,FALSE)</f>
        <v>#REF!</v>
      </c>
      <c r="BO82" s="2" t="e">
        <f>VLOOKUP(H82,#REF!,13,FALSE)</f>
        <v>#REF!</v>
      </c>
      <c r="BQ82" s="2" t="e">
        <f>VLOOKUP(H82,#REF!,13,FALSE)</f>
        <v>#REF!</v>
      </c>
    </row>
    <row r="83" spans="1:70" ht="15" customHeight="1" outlineLevel="2">
      <c r="A83" s="7"/>
      <c r="B83" s="7"/>
      <c r="C83" s="7"/>
      <c r="D83" s="7"/>
      <c r="E83" s="7"/>
      <c r="F83" s="7"/>
      <c r="G83" s="7"/>
      <c r="H83" s="11"/>
      <c r="I83" s="11"/>
      <c r="J83" s="11"/>
      <c r="K83" s="11"/>
      <c r="L83" s="292"/>
      <c r="M83" s="22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47"/>
      <c r="Z83" s="47"/>
      <c r="AM83" s="185" t="e">
        <f>VLOOKUP(CLEAN(H83),#REF!,7,FALSE)</f>
        <v>#REF!</v>
      </c>
      <c r="AO83"/>
      <c r="AP83"/>
      <c r="AQ83"/>
      <c r="AR83" s="2" t="e">
        <f>VLOOKUP(CLEAN(H83),#REF!,2,FALSE)</f>
        <v>#REF!</v>
      </c>
      <c r="AZ83" s="2" t="e">
        <f>VLOOKUP(H83,#REF!,2,FALSE)</f>
        <v>#REF!</v>
      </c>
      <c r="BO83" s="2" t="e">
        <f>VLOOKUP(H83,#REF!,13,FALSE)</f>
        <v>#REF!</v>
      </c>
      <c r="BP83" s="293"/>
      <c r="BQ83" s="2" t="e">
        <f>VLOOKUP(H83,#REF!,13,FALSE)</f>
        <v>#REF!</v>
      </c>
    </row>
    <row r="84" spans="1:70" ht="18.75" customHeight="1" outlineLevel="1">
      <c r="A84" s="7"/>
      <c r="B84" s="7"/>
      <c r="C84" s="7"/>
      <c r="D84" s="7"/>
      <c r="E84" s="8"/>
      <c r="F84" s="7"/>
      <c r="G84" s="7"/>
      <c r="H84" s="11"/>
      <c r="I84" s="11"/>
      <c r="J84" s="11"/>
      <c r="K84" s="11"/>
      <c r="L84" s="45" t="s">
        <v>150</v>
      </c>
      <c r="M84" s="46">
        <f t="shared" ref="M84:X84" si="46">M82+M59+M75+M69+M65</f>
        <v>5692939205</v>
      </c>
      <c r="N84" s="46">
        <f t="shared" si="46"/>
        <v>2685063029</v>
      </c>
      <c r="O84" s="46">
        <f t="shared" si="46"/>
        <v>315221847</v>
      </c>
      <c r="P84" s="46">
        <f t="shared" si="46"/>
        <v>56634234</v>
      </c>
      <c r="Q84" s="46">
        <f t="shared" si="46"/>
        <v>0</v>
      </c>
      <c r="R84" s="46">
        <f t="shared" si="46"/>
        <v>0</v>
      </c>
      <c r="S84" s="46">
        <f t="shared" si="46"/>
        <v>56634234</v>
      </c>
      <c r="T84" s="46">
        <f t="shared" si="46"/>
        <v>0</v>
      </c>
      <c r="U84" s="46">
        <f t="shared" si="46"/>
        <v>0</v>
      </c>
      <c r="V84" s="46">
        <f t="shared" si="46"/>
        <v>56634234</v>
      </c>
      <c r="W84" s="46">
        <f t="shared" si="46"/>
        <v>258587613</v>
      </c>
      <c r="X84" s="46">
        <f t="shared" si="46"/>
        <v>2692654329</v>
      </c>
      <c r="Y84" s="47"/>
      <c r="Z84" s="47"/>
      <c r="AM84" s="185" t="e">
        <f>VLOOKUP(CLEAN(H84),#REF!,7,FALSE)</f>
        <v>#REF!</v>
      </c>
      <c r="AO84"/>
      <c r="AP84"/>
      <c r="AQ84"/>
      <c r="AR84" s="2" t="e">
        <f>VLOOKUP(CLEAN(H84),#REF!,2,FALSE)</f>
        <v>#REF!</v>
      </c>
      <c r="AZ84" s="2" t="e">
        <f>VLOOKUP(H84,#REF!,2,FALSE)</f>
        <v>#REF!</v>
      </c>
      <c r="BO84" s="2" t="e">
        <f>VLOOKUP(H84,#REF!,13,FALSE)</f>
        <v>#REF!</v>
      </c>
      <c r="BQ84" s="2" t="e">
        <f>VLOOKUP(H84,#REF!,13,FALSE)</f>
        <v>#REF!</v>
      </c>
    </row>
    <row r="85" spans="1:70" s="3" customFormat="1" ht="15" customHeight="1" outlineLevel="1">
      <c r="A85" s="7"/>
      <c r="B85" s="7"/>
      <c r="C85" s="7"/>
      <c r="D85" s="7"/>
      <c r="E85" s="8"/>
      <c r="F85" s="7"/>
      <c r="G85" s="7"/>
      <c r="H85" s="11"/>
      <c r="I85" s="11"/>
      <c r="J85" s="11"/>
      <c r="K85" s="11"/>
      <c r="L85" s="294"/>
      <c r="M85" s="26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47"/>
      <c r="Z85" s="47"/>
      <c r="AJ85" s="186"/>
      <c r="AK85" s="186"/>
      <c r="AL85" s="186"/>
      <c r="AM85" s="185" t="e">
        <f>VLOOKUP(CLEAN(H85),#REF!,7,FALSE)</f>
        <v>#REF!</v>
      </c>
      <c r="AR85" s="2" t="e">
        <f>VLOOKUP(CLEAN(H85),#REF!,2,FALSE)</f>
        <v>#REF!</v>
      </c>
      <c r="AZ85" s="2" t="e">
        <f>VLOOKUP(H85,#REF!,2,FALSE)</f>
        <v>#REF!</v>
      </c>
      <c r="BF85" s="193"/>
      <c r="BO85" s="2" t="e">
        <f>VLOOKUP(H85,#REF!,13,FALSE)</f>
        <v>#REF!</v>
      </c>
      <c r="BP85" s="7"/>
      <c r="BQ85" s="2" t="e">
        <f>VLOOKUP(H85,#REF!,13,FALSE)</f>
        <v>#REF!</v>
      </c>
    </row>
    <row r="86" spans="1:70" ht="26.25" customHeight="1" outlineLevel="1">
      <c r="A86" s="7"/>
      <c r="B86" s="7"/>
      <c r="C86" s="7"/>
      <c r="D86" s="7"/>
      <c r="E86" s="8"/>
      <c r="F86" s="7"/>
      <c r="G86" s="7"/>
      <c r="H86" s="11"/>
      <c r="I86" s="11"/>
      <c r="J86" s="11"/>
      <c r="K86" s="11"/>
      <c r="L86" s="57" t="s">
        <v>179</v>
      </c>
      <c r="M86" s="26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47"/>
      <c r="Z86" s="47"/>
      <c r="AM86" s="185" t="e">
        <f>VLOOKUP(CLEAN(H86),#REF!,7,FALSE)</f>
        <v>#REF!</v>
      </c>
      <c r="AO86"/>
      <c r="AP86"/>
      <c r="AQ86"/>
      <c r="AR86" s="2" t="e">
        <f>VLOOKUP(CLEAN(H86),#REF!,2,FALSE)</f>
        <v>#REF!</v>
      </c>
      <c r="AZ86" s="2" t="e">
        <f>VLOOKUP(H86,#REF!,2,FALSE)</f>
        <v>#REF!</v>
      </c>
      <c r="BO86" s="2" t="e">
        <f>VLOOKUP(H86,#REF!,13,FALSE)</f>
        <v>#REF!</v>
      </c>
      <c r="BQ86" s="2" t="e">
        <f>VLOOKUP(H86,#REF!,13,FALSE)</f>
        <v>#REF!</v>
      </c>
    </row>
    <row r="87" spans="1:70" ht="15" customHeight="1" outlineLevel="1">
      <c r="A87" s="7"/>
      <c r="B87" s="7"/>
      <c r="C87" s="7"/>
      <c r="D87" s="7"/>
      <c r="E87" s="8"/>
      <c r="F87" s="7"/>
      <c r="G87" s="7"/>
      <c r="H87" s="11"/>
      <c r="I87" s="11"/>
      <c r="J87" s="11"/>
      <c r="K87" s="11"/>
      <c r="L87" s="18" t="s">
        <v>695</v>
      </c>
      <c r="M87" s="26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47"/>
      <c r="Z87" s="47"/>
      <c r="AM87" s="185" t="e">
        <f>VLOOKUP(CLEAN(H87),#REF!,7,FALSE)</f>
        <v>#REF!</v>
      </c>
      <c r="AO87"/>
      <c r="AP87"/>
      <c r="AQ87"/>
      <c r="AR87" s="2" t="e">
        <f>VLOOKUP(CLEAN(H87),#REF!,2,FALSE)</f>
        <v>#REF!</v>
      </c>
      <c r="AZ87" s="2" t="e">
        <f>VLOOKUP(H87,#REF!,2,FALSE)</f>
        <v>#REF!</v>
      </c>
      <c r="BO87" s="2" t="e">
        <f>VLOOKUP(H87,#REF!,13,FALSE)</f>
        <v>#REF!</v>
      </c>
      <c r="BQ87" s="2" t="e">
        <f>VLOOKUP(H87,#REF!,13,FALSE)</f>
        <v>#REF!</v>
      </c>
    </row>
    <row r="88" spans="1:70" s="2" customFormat="1" ht="15" customHeight="1" outlineLevel="2">
      <c r="A88" s="5">
        <v>31</v>
      </c>
      <c r="B88" s="5" t="s">
        <v>5</v>
      </c>
      <c r="C88" s="5" t="s">
        <v>238</v>
      </c>
      <c r="D88" s="5" t="s">
        <v>7</v>
      </c>
      <c r="E88" s="5" t="s">
        <v>17</v>
      </c>
      <c r="F88" s="5" t="s">
        <v>6</v>
      </c>
      <c r="G88" s="5" t="s">
        <v>144</v>
      </c>
      <c r="H88" s="12">
        <v>30067012</v>
      </c>
      <c r="I88" s="42" t="str">
        <f t="shared" ref="I88:I89" si="47">CONCATENATE(H88,"-",G88)</f>
        <v>30067012-EJECUCION</v>
      </c>
      <c r="J88" s="12"/>
      <c r="K88" s="307" t="str">
        <f t="shared" ref="K88:K89" si="48">CLEAN(H88)</f>
        <v>30067012</v>
      </c>
      <c r="L88" s="15" t="s">
        <v>116</v>
      </c>
      <c r="M88" s="23">
        <v>2959919000</v>
      </c>
      <c r="N88" s="34">
        <v>1753882020</v>
      </c>
      <c r="O88" s="34">
        <v>1159919000</v>
      </c>
      <c r="P88" s="310">
        <v>230610100</v>
      </c>
      <c r="Q88" s="34">
        <v>230581537</v>
      </c>
      <c r="R88" s="308">
        <v>190296590</v>
      </c>
      <c r="S88" s="34">
        <f t="shared" ref="S88:S89" si="49">P88+Q88+R88</f>
        <v>651488227</v>
      </c>
      <c r="T88" s="34">
        <v>112468479</v>
      </c>
      <c r="U88" s="34">
        <v>101261260</v>
      </c>
      <c r="V88" s="34">
        <f>P88+Q88+R88+T88+U88</f>
        <v>865217966</v>
      </c>
      <c r="W88" s="34">
        <f>O88-V88</f>
        <v>294701034</v>
      </c>
      <c r="X88" s="34">
        <f>M88-(N88+O88)</f>
        <v>46117980</v>
      </c>
      <c r="Y88" s="48" t="s">
        <v>239</v>
      </c>
      <c r="Z88" s="48" t="s">
        <v>8</v>
      </c>
      <c r="AA88" s="2" t="s">
        <v>848</v>
      </c>
      <c r="AB88" s="2" t="e">
        <f>VLOOKUP(H88,#REF!,2,FALSE)</f>
        <v>#REF!</v>
      </c>
      <c r="AC88" s="2" t="e">
        <f>VLOOKUP(I88,#REF!,2,FALSE)</f>
        <v>#REF!</v>
      </c>
      <c r="AD88" s="2" t="e">
        <f>VLOOKUP(H88,#REF!,13,FALSE)</f>
        <v>#REF!</v>
      </c>
      <c r="AE88" s="2" t="e">
        <f>VLOOKUP(I88,#REF!,7,FALSE)</f>
        <v>#REF!</v>
      </c>
      <c r="AF88" s="2">
        <v>25</v>
      </c>
      <c r="AG88" s="2" t="e">
        <f>VLOOKUP(H88,#REF!,13,FALSE)</f>
        <v>#REF!</v>
      </c>
      <c r="AH88" s="2" t="e">
        <f>VLOOKUP(I88,#REF!,2,FALSE)</f>
        <v>#REF!</v>
      </c>
      <c r="AJ88" s="185" t="e">
        <f>VLOOKUP(H88,#REF!,3,FALSE)</f>
        <v>#REF!</v>
      </c>
      <c r="AK88" s="185"/>
      <c r="AL88" s="185" t="e">
        <f>VLOOKUP(H88,#REF!,13,FALSE)</f>
        <v>#REF!</v>
      </c>
      <c r="AM88" s="185" t="e">
        <f>VLOOKUP(CLEAN(H88),#REF!,7,FALSE)</f>
        <v>#REF!</v>
      </c>
      <c r="AN88" s="2" t="e">
        <f>VLOOKUP(H88,#REF!,8,FALSE)</f>
        <v>#REF!</v>
      </c>
      <c r="AO88" s="189" t="e">
        <f>VLOOKUP(H88,#REF!,2,FALSE)</f>
        <v>#REF!</v>
      </c>
      <c r="AP88" s="189" t="e">
        <f>VLOOKUP(H88,#REF!,2,FALSE)</f>
        <v>#REF!</v>
      </c>
      <c r="AQ88" s="189" t="e">
        <f>AO88-AP88</f>
        <v>#REF!</v>
      </c>
      <c r="AR88" s="189" t="e">
        <f>VLOOKUP(CLEAN(H88),#REF!,2,FALSE)</f>
        <v>#REF!</v>
      </c>
      <c r="AS88" s="189" t="e">
        <f>T88-AR88</f>
        <v>#REF!</v>
      </c>
      <c r="AT88" s="2" t="e">
        <f>VLOOKUP(H88,#REF!,13,FALSE)</f>
        <v>#REF!</v>
      </c>
      <c r="AU88" s="2" t="e">
        <f>VLOOKUP(H88,#REF!,13,FALSE)</f>
        <v>#REF!</v>
      </c>
      <c r="AV88" s="2" t="e">
        <f>VLOOKUP(H88,#REF!,13,FALSE)</f>
        <v>#REF!</v>
      </c>
      <c r="AW88" s="2" t="e">
        <f>VLOOKUP(H88,#REF!,13,FALSE)</f>
        <v>#REF!</v>
      </c>
      <c r="AX88" s="2" t="e">
        <f>VLOOKUP(H88,#REF!,9,FALSE)</f>
        <v>#REF!</v>
      </c>
      <c r="AZ88" s="189" t="e">
        <f>VLOOKUP(H88,#REF!,2,FALSE)</f>
        <v>#REF!</v>
      </c>
      <c r="BF88" s="189" t="e">
        <f>VLOOKUP(CLEAN(H88),#REF!,2,FALSE)</f>
        <v>#REF!</v>
      </c>
      <c r="BG88" s="189" t="e">
        <f>T88-BF88</f>
        <v>#REF!</v>
      </c>
      <c r="BO88" s="2" t="e">
        <f>VLOOKUP(H88,#REF!,13,FALSE)</f>
        <v>#REF!</v>
      </c>
      <c r="BP88" s="2" t="e">
        <f>VLOOKUP(H88,#REF!,2,FALSE)</f>
        <v>#REF!</v>
      </c>
      <c r="BQ88" s="2" t="e">
        <f>VLOOKUP(H88,#REF!,13,FALSE)</f>
        <v>#REF!</v>
      </c>
      <c r="BR88" s="2" t="e">
        <f>VLOOKUP(H88,#REF!,3,FALSE)</f>
        <v>#REF!</v>
      </c>
    </row>
    <row r="89" spans="1:70" s="2" customFormat="1" ht="15" customHeight="1" outlineLevel="2">
      <c r="A89" s="5">
        <v>31</v>
      </c>
      <c r="B89" s="5" t="s">
        <v>5</v>
      </c>
      <c r="C89" s="5" t="s">
        <v>248</v>
      </c>
      <c r="D89" s="5" t="s">
        <v>7</v>
      </c>
      <c r="E89" s="5" t="s">
        <v>17</v>
      </c>
      <c r="F89" s="5" t="s">
        <v>14</v>
      </c>
      <c r="G89" s="5" t="s">
        <v>144</v>
      </c>
      <c r="H89" s="12">
        <v>20132784</v>
      </c>
      <c r="I89" s="42" t="str">
        <f t="shared" si="47"/>
        <v>20132784-EJECUCION</v>
      </c>
      <c r="J89" s="12"/>
      <c r="K89" s="307" t="str">
        <f t="shared" si="48"/>
        <v>20132784</v>
      </c>
      <c r="L89" s="15" t="s">
        <v>451</v>
      </c>
      <c r="M89" s="23">
        <v>1319103033</v>
      </c>
      <c r="N89" s="34">
        <v>1231260133</v>
      </c>
      <c r="O89" s="34">
        <v>42657804</v>
      </c>
      <c r="P89" s="310">
        <v>37016645</v>
      </c>
      <c r="Q89" s="34">
        <v>0</v>
      </c>
      <c r="R89" s="308">
        <v>0</v>
      </c>
      <c r="S89" s="34">
        <f t="shared" si="49"/>
        <v>37016645</v>
      </c>
      <c r="T89" s="34">
        <v>0</v>
      </c>
      <c r="U89" s="34">
        <v>0</v>
      </c>
      <c r="V89" s="34">
        <f>P89+Q89+R89+T89+U89</f>
        <v>37016645</v>
      </c>
      <c r="W89" s="34">
        <f>O89-V89</f>
        <v>5641159</v>
      </c>
      <c r="X89" s="34">
        <f>M89-(N89+O89)</f>
        <v>45185096</v>
      </c>
      <c r="Y89" s="48" t="s">
        <v>239</v>
      </c>
      <c r="Z89" s="48" t="s">
        <v>8</v>
      </c>
      <c r="AA89" s="2" t="s">
        <v>849</v>
      </c>
      <c r="AB89" s="2" t="e">
        <f>VLOOKUP(H89,#REF!,2,FALSE)</f>
        <v>#REF!</v>
      </c>
      <c r="AC89" s="2" t="e">
        <f>VLOOKUP(I89,#REF!,2,FALSE)</f>
        <v>#REF!</v>
      </c>
      <c r="AD89" s="2" t="e">
        <f>VLOOKUP(H89,#REF!,13,FALSE)</f>
        <v>#REF!</v>
      </c>
      <c r="AE89" s="177" t="e">
        <f>VLOOKUP(I89,#REF!,7,FALSE)</f>
        <v>#REF!</v>
      </c>
      <c r="AF89" s="2">
        <v>25</v>
      </c>
      <c r="AG89" s="2" t="e">
        <f>VLOOKUP(H89,#REF!,13,FALSE)</f>
        <v>#REF!</v>
      </c>
      <c r="AH89" s="2" t="e">
        <f>VLOOKUP(I89,#REF!,2,FALSE)</f>
        <v>#REF!</v>
      </c>
      <c r="AJ89" s="185" t="e">
        <f>VLOOKUP(H89,#REF!,3,FALSE)</f>
        <v>#REF!</v>
      </c>
      <c r="AK89" s="185"/>
      <c r="AL89" s="185" t="e">
        <f>VLOOKUP(H89,#REF!,13,FALSE)</f>
        <v>#REF!</v>
      </c>
      <c r="AM89" s="185" t="e">
        <f>VLOOKUP(CLEAN(H89),#REF!,7,FALSE)</f>
        <v>#REF!</v>
      </c>
      <c r="AN89" s="2" t="e">
        <f>VLOOKUP(H89,#REF!,8,FALSE)</f>
        <v>#REF!</v>
      </c>
      <c r="AO89" s="189" t="e">
        <f>VLOOKUP(H89,#REF!,2,FALSE)</f>
        <v>#REF!</v>
      </c>
      <c r="AP89" s="189" t="e">
        <f>VLOOKUP(H89,#REF!,2,FALSE)</f>
        <v>#REF!</v>
      </c>
      <c r="AQ89" s="189"/>
      <c r="AR89" s="2" t="e">
        <f>VLOOKUP(CLEAN(H89),#REF!,2,FALSE)</f>
        <v>#REF!</v>
      </c>
      <c r="AT89" s="2" t="e">
        <f>VLOOKUP(H89,#REF!,13,FALSE)</f>
        <v>#REF!</v>
      </c>
      <c r="AU89" s="2" t="e">
        <f>VLOOKUP(H89,#REF!,13,FALSE)</f>
        <v>#REF!</v>
      </c>
      <c r="AV89" s="2" t="e">
        <f>VLOOKUP(H89,#REF!,13,FALSE)</f>
        <v>#REF!</v>
      </c>
      <c r="AW89" s="2" t="e">
        <f>VLOOKUP(H89,#REF!,13,FALSE)</f>
        <v>#REF!</v>
      </c>
      <c r="AX89" s="2" t="e">
        <f>VLOOKUP(H89,#REF!,9,FALSE)</f>
        <v>#REF!</v>
      </c>
      <c r="AZ89" s="189" t="e">
        <f>VLOOKUP(H89,#REF!,2,FALSE)</f>
        <v>#REF!</v>
      </c>
      <c r="BF89" s="189" t="e">
        <f>VLOOKUP(CLEAN(H89),#REF!,2,FALSE)</f>
        <v>#REF!</v>
      </c>
      <c r="BG89" s="189" t="e">
        <f>T89-BF89</f>
        <v>#REF!</v>
      </c>
      <c r="BO89" s="2" t="e">
        <f>VLOOKUP(H89,#REF!,13,FALSE)</f>
        <v>#REF!</v>
      </c>
      <c r="BP89" s="2" t="e">
        <f>VLOOKUP(H89,#REF!,2,FALSE)</f>
        <v>#REF!</v>
      </c>
      <c r="BQ89" s="2" t="e">
        <f>VLOOKUP(H89,#REF!,13,FALSE)</f>
        <v>#REF!</v>
      </c>
      <c r="BR89" s="2" t="e">
        <f>VLOOKUP(H89,#REF!,3,FALSE)</f>
        <v>#REF!</v>
      </c>
    </row>
    <row r="90" spans="1:70" ht="15" customHeight="1" outlineLevel="2">
      <c r="A90" s="7"/>
      <c r="B90" s="7"/>
      <c r="C90" s="7"/>
      <c r="D90" s="7"/>
      <c r="E90" s="7"/>
      <c r="F90" s="7"/>
      <c r="G90" s="7"/>
      <c r="H90" s="11"/>
      <c r="I90" s="11"/>
      <c r="J90" s="11"/>
      <c r="K90" s="11"/>
      <c r="L90" s="17" t="s">
        <v>691</v>
      </c>
      <c r="M90" s="27">
        <f t="shared" ref="M90:X90" si="50">SUBTOTAL(9,M88:M89)</f>
        <v>4279022033</v>
      </c>
      <c r="N90" s="27">
        <f t="shared" si="50"/>
        <v>2985142153</v>
      </c>
      <c r="O90" s="27">
        <f t="shared" si="50"/>
        <v>1202576804</v>
      </c>
      <c r="P90" s="27">
        <f t="shared" si="50"/>
        <v>267626745</v>
      </c>
      <c r="Q90" s="27">
        <f t="shared" si="50"/>
        <v>230581537</v>
      </c>
      <c r="R90" s="27">
        <f t="shared" si="50"/>
        <v>190296590</v>
      </c>
      <c r="S90" s="27">
        <f t="shared" si="50"/>
        <v>688504872</v>
      </c>
      <c r="T90" s="27">
        <f t="shared" si="50"/>
        <v>112468479</v>
      </c>
      <c r="U90" s="27">
        <f t="shared" si="50"/>
        <v>101261260</v>
      </c>
      <c r="V90" s="27">
        <f t="shared" si="50"/>
        <v>902234611</v>
      </c>
      <c r="W90" s="27">
        <f t="shared" si="50"/>
        <v>300342193</v>
      </c>
      <c r="X90" s="27">
        <f t="shared" si="50"/>
        <v>91303076</v>
      </c>
      <c r="Y90" s="47"/>
      <c r="Z90" s="47"/>
      <c r="AM90" s="185" t="e">
        <f>VLOOKUP(CLEAN(H90),#REF!,7,FALSE)</f>
        <v>#REF!</v>
      </c>
      <c r="AO90"/>
      <c r="AP90"/>
      <c r="AQ90"/>
      <c r="AR90" s="2" t="e">
        <f>VLOOKUP(CLEAN(H90),#REF!,2,FALSE)</f>
        <v>#REF!</v>
      </c>
      <c r="AZ90" s="2" t="e">
        <f>VLOOKUP(H90,#REF!,2,FALSE)</f>
        <v>#REF!</v>
      </c>
      <c r="BO90" s="2" t="e">
        <f>VLOOKUP(H90,#REF!,13,FALSE)</f>
        <v>#REF!</v>
      </c>
      <c r="BQ90" s="2" t="e">
        <f>VLOOKUP(H90,#REF!,13,FALSE)</f>
        <v>#REF!</v>
      </c>
    </row>
    <row r="91" spans="1:70" ht="15" customHeight="1" outlineLevel="2">
      <c r="A91" s="7"/>
      <c r="B91" s="7"/>
      <c r="C91" s="7"/>
      <c r="D91" s="7"/>
      <c r="E91" s="7"/>
      <c r="F91" s="7"/>
      <c r="G91" s="7"/>
      <c r="H91" s="11"/>
      <c r="I91" s="11"/>
      <c r="J91" s="11"/>
      <c r="K91" s="11"/>
      <c r="L91" s="292"/>
      <c r="M91" s="22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47"/>
      <c r="Z91" s="47"/>
      <c r="AM91" s="185" t="e">
        <f>VLOOKUP(CLEAN(H91),#REF!,7,FALSE)</f>
        <v>#REF!</v>
      </c>
      <c r="AO91"/>
      <c r="AP91"/>
      <c r="AQ91"/>
      <c r="AR91" s="2" t="e">
        <f>VLOOKUP(CLEAN(H91),#REF!,2,FALSE)</f>
        <v>#REF!</v>
      </c>
      <c r="AZ91" s="2" t="e">
        <f>VLOOKUP(H91,#REF!,2,FALSE)</f>
        <v>#REF!</v>
      </c>
      <c r="BO91" s="2" t="e">
        <f>VLOOKUP(H91,#REF!,13,FALSE)</f>
        <v>#REF!</v>
      </c>
      <c r="BP91" s="293"/>
      <c r="BQ91" s="2" t="e">
        <f>VLOOKUP(H91,#REF!,13,FALSE)</f>
        <v>#REF!</v>
      </c>
    </row>
    <row r="92" spans="1:70" ht="15" customHeight="1" outlineLevel="2">
      <c r="A92" s="7"/>
      <c r="B92" s="7"/>
      <c r="C92" s="7"/>
      <c r="D92" s="7"/>
      <c r="E92" s="7"/>
      <c r="F92" s="7"/>
      <c r="G92" s="7"/>
      <c r="H92" s="11"/>
      <c r="I92" s="11"/>
      <c r="J92" s="11"/>
      <c r="K92" s="11"/>
      <c r="L92" s="18" t="s">
        <v>696</v>
      </c>
      <c r="M92" s="22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47"/>
      <c r="Z92" s="47"/>
      <c r="AM92" s="185" t="e">
        <f>VLOOKUP(CLEAN(H92),#REF!,7,FALSE)</f>
        <v>#REF!</v>
      </c>
      <c r="AO92"/>
      <c r="AP92"/>
      <c r="AQ92"/>
      <c r="AR92" s="2" t="e">
        <f>VLOOKUP(CLEAN(H92),#REF!,2,FALSE)</f>
        <v>#REF!</v>
      </c>
      <c r="AZ92" s="2" t="e">
        <f>VLOOKUP(H92,#REF!,2,FALSE)</f>
        <v>#REF!</v>
      </c>
      <c r="BO92" s="2" t="e">
        <f>VLOOKUP(H92,#REF!,13,FALSE)</f>
        <v>#REF!</v>
      </c>
      <c r="BQ92" s="2" t="e">
        <f>VLOOKUP(H92,#REF!,13,FALSE)</f>
        <v>#REF!</v>
      </c>
    </row>
    <row r="93" spans="1:70" s="2" customFormat="1" ht="15" customHeight="1" outlineLevel="2">
      <c r="A93" s="5">
        <v>31</v>
      </c>
      <c r="B93" s="5" t="s">
        <v>11</v>
      </c>
      <c r="C93" s="5" t="s">
        <v>248</v>
      </c>
      <c r="D93" s="5" t="s">
        <v>7</v>
      </c>
      <c r="E93" s="5" t="s">
        <v>17</v>
      </c>
      <c r="F93" s="5" t="s">
        <v>14</v>
      </c>
      <c r="G93" s="5" t="s">
        <v>144</v>
      </c>
      <c r="H93" s="12">
        <v>30485286</v>
      </c>
      <c r="I93" s="42" t="str">
        <f t="shared" ref="I93:I95" si="51">CONCATENATE(H93,"-",G93)</f>
        <v>30485286-EJECUCION</v>
      </c>
      <c r="J93" s="12"/>
      <c r="K93" s="307" t="str">
        <f t="shared" ref="K93:K95" si="52">CLEAN(H93)</f>
        <v>30485286</v>
      </c>
      <c r="L93" s="15" t="s">
        <v>340</v>
      </c>
      <c r="M93" s="23">
        <v>2200000000</v>
      </c>
      <c r="N93" s="34">
        <v>0</v>
      </c>
      <c r="O93" s="34">
        <v>10000000</v>
      </c>
      <c r="P93" s="310">
        <v>0</v>
      </c>
      <c r="Q93" s="34">
        <v>0</v>
      </c>
      <c r="R93" s="308">
        <v>0</v>
      </c>
      <c r="S93" s="34">
        <f t="shared" ref="S93:S95" si="53">P93+Q93+R93</f>
        <v>0</v>
      </c>
      <c r="T93" s="34">
        <v>0</v>
      </c>
      <c r="U93" s="34">
        <v>0</v>
      </c>
      <c r="V93" s="34">
        <f>P93+Q93+R93+T93+U93</f>
        <v>0</v>
      </c>
      <c r="W93" s="34">
        <f>O93-V93</f>
        <v>10000000</v>
      </c>
      <c r="X93" s="34">
        <f>M93-(N93+O93)</f>
        <v>2190000000</v>
      </c>
      <c r="Y93" s="48" t="s">
        <v>246</v>
      </c>
      <c r="Z93" s="48" t="s">
        <v>357</v>
      </c>
      <c r="AA93" s="2" t="e">
        <v>#N/A</v>
      </c>
      <c r="AB93" s="2" t="e">
        <f>VLOOKUP(H93,#REF!,2,FALSE)</f>
        <v>#REF!</v>
      </c>
      <c r="AC93" s="2" t="e">
        <f>VLOOKUP(I93,#REF!,2,FALSE)</f>
        <v>#REF!</v>
      </c>
      <c r="AD93" s="2" t="e">
        <f>VLOOKUP(H93,#REF!,13,FALSE)</f>
        <v>#REF!</v>
      </c>
      <c r="AE93" s="2" t="e">
        <f>VLOOKUP(I93,#REF!,7,FALSE)</f>
        <v>#REF!</v>
      </c>
      <c r="AF93" s="2">
        <v>25</v>
      </c>
      <c r="AG93" s="2" t="e">
        <f>VLOOKUP(H93,#REF!,13,FALSE)</f>
        <v>#REF!</v>
      </c>
      <c r="AH93" s="2" t="e">
        <f>VLOOKUP(I93,#REF!,2,FALSE)</f>
        <v>#REF!</v>
      </c>
      <c r="AJ93" s="185" t="e">
        <f>VLOOKUP(H93,#REF!,3,FALSE)</f>
        <v>#REF!</v>
      </c>
      <c r="AK93" s="185"/>
      <c r="AL93" s="185" t="e">
        <f>VLOOKUP(H93,#REF!,13,FALSE)</f>
        <v>#REF!</v>
      </c>
      <c r="AM93" s="185" t="e">
        <f>VLOOKUP(CLEAN(H93),#REF!,7,FALSE)</f>
        <v>#REF!</v>
      </c>
      <c r="AN93" s="2" t="e">
        <f>VLOOKUP(H93,#REF!,8,FALSE)</f>
        <v>#REF!</v>
      </c>
      <c r="AO93" s="189" t="e">
        <f>VLOOKUP(H93,#REF!,2,FALSE)</f>
        <v>#REF!</v>
      </c>
      <c r="AP93" s="189" t="e">
        <f>VLOOKUP(H93,#REF!,2,FALSE)</f>
        <v>#REF!</v>
      </c>
      <c r="AQ93" s="189"/>
      <c r="AR93" s="2" t="e">
        <f>VLOOKUP(CLEAN(H93),#REF!,2,FALSE)</f>
        <v>#REF!</v>
      </c>
      <c r="AT93" s="2" t="e">
        <f>VLOOKUP(H93,#REF!,13,FALSE)</f>
        <v>#REF!</v>
      </c>
      <c r="AU93" s="2" t="e">
        <f>VLOOKUP(H93,#REF!,13,FALSE)</f>
        <v>#REF!</v>
      </c>
      <c r="AV93" s="2" t="e">
        <f>VLOOKUP(H93,#REF!,13,FALSE)</f>
        <v>#REF!</v>
      </c>
      <c r="AW93" s="2" t="e">
        <f>VLOOKUP(H93,#REF!,13,FALSE)</f>
        <v>#REF!</v>
      </c>
      <c r="AX93" s="2" t="e">
        <f>VLOOKUP(H93,#REF!,9,FALSE)</f>
        <v>#REF!</v>
      </c>
      <c r="AZ93" s="2" t="e">
        <f>VLOOKUP(H93,#REF!,2,FALSE)</f>
        <v>#REF!</v>
      </c>
      <c r="BF93" s="189" t="e">
        <f>VLOOKUP(CLEAN(H93),#REF!,2,FALSE)</f>
        <v>#REF!</v>
      </c>
      <c r="BG93" s="189" t="e">
        <f>T93-BF93</f>
        <v>#REF!</v>
      </c>
      <c r="BO93" s="2" t="e">
        <f>VLOOKUP(H93,#REF!,13,FALSE)</f>
        <v>#REF!</v>
      </c>
      <c r="BP93" s="2" t="e">
        <f>VLOOKUP(H93,#REF!,2,FALSE)</f>
        <v>#REF!</v>
      </c>
      <c r="BQ93" s="2" t="e">
        <f>VLOOKUP(H93,#REF!,13,FALSE)</f>
        <v>#REF!</v>
      </c>
      <c r="BR93" s="2" t="e">
        <f>VLOOKUP(H93,#REF!,3,FALSE)</f>
        <v>#REF!</v>
      </c>
    </row>
    <row r="94" spans="1:70" s="2" customFormat="1" ht="15" customHeight="1" outlineLevel="2">
      <c r="A94" s="5">
        <v>31</v>
      </c>
      <c r="B94" s="5" t="s">
        <v>11</v>
      </c>
      <c r="C94" s="5" t="s">
        <v>251</v>
      </c>
      <c r="D94" s="5" t="s">
        <v>7</v>
      </c>
      <c r="E94" s="5" t="s">
        <v>17</v>
      </c>
      <c r="F94" s="5" t="s">
        <v>457</v>
      </c>
      <c r="G94" s="5" t="s">
        <v>9</v>
      </c>
      <c r="H94" s="12">
        <v>30401324</v>
      </c>
      <c r="I94" s="42" t="str">
        <f t="shared" si="51"/>
        <v>30401324-DISEÑO</v>
      </c>
      <c r="J94" s="12"/>
      <c r="K94" s="307" t="str">
        <f t="shared" si="52"/>
        <v>30401324</v>
      </c>
      <c r="L94" s="15" t="s">
        <v>346</v>
      </c>
      <c r="M94" s="23">
        <v>41500000</v>
      </c>
      <c r="N94" s="34">
        <v>0</v>
      </c>
      <c r="O94" s="34">
        <v>2075000</v>
      </c>
      <c r="P94" s="310">
        <v>0</v>
      </c>
      <c r="Q94" s="34">
        <v>0</v>
      </c>
      <c r="R94" s="308">
        <v>0</v>
      </c>
      <c r="S94" s="34">
        <f t="shared" si="53"/>
        <v>0</v>
      </c>
      <c r="T94" s="34">
        <v>0</v>
      </c>
      <c r="U94" s="34">
        <v>0</v>
      </c>
      <c r="V94" s="34">
        <f>P94+Q94+R94+T94+U94</f>
        <v>0</v>
      </c>
      <c r="W94" s="34">
        <f>O94-V94</f>
        <v>2075000</v>
      </c>
      <c r="X94" s="34">
        <f>M94-(N94+O94)</f>
        <v>39425000</v>
      </c>
      <c r="Y94" s="48" t="s">
        <v>246</v>
      </c>
      <c r="Z94" s="48" t="s">
        <v>357</v>
      </c>
      <c r="AA94" s="2" t="e">
        <v>#N/A</v>
      </c>
      <c r="AB94" s="2" t="e">
        <f>VLOOKUP(H94,#REF!,2,FALSE)</f>
        <v>#REF!</v>
      </c>
      <c r="AC94" s="2" t="e">
        <f>VLOOKUP(I94,#REF!,2,FALSE)</f>
        <v>#REF!</v>
      </c>
      <c r="AD94" s="2" t="e">
        <f>VLOOKUP(H94,#REF!,13,FALSE)</f>
        <v>#REF!</v>
      </c>
      <c r="AE94" s="2" t="e">
        <f>VLOOKUP(I94,#REF!,7,FALSE)</f>
        <v>#REF!</v>
      </c>
      <c r="AF94" s="2">
        <v>25</v>
      </c>
      <c r="AG94" s="2" t="e">
        <f>VLOOKUP(H94,#REF!,13,FALSE)</f>
        <v>#REF!</v>
      </c>
      <c r="AH94" s="2" t="e">
        <f>VLOOKUP(I94,#REF!,2,FALSE)</f>
        <v>#REF!</v>
      </c>
      <c r="AJ94" s="185" t="e">
        <f>VLOOKUP(H94,#REF!,3,FALSE)</f>
        <v>#REF!</v>
      </c>
      <c r="AK94" s="185"/>
      <c r="AL94" s="185" t="e">
        <f>VLOOKUP(H94,#REF!,13,FALSE)</f>
        <v>#REF!</v>
      </c>
      <c r="AM94" s="185" t="e">
        <f>VLOOKUP(CLEAN(H94),#REF!,7,FALSE)</f>
        <v>#REF!</v>
      </c>
      <c r="AN94" s="2" t="e">
        <f>VLOOKUP(H94,#REF!,8,FALSE)</f>
        <v>#REF!</v>
      </c>
      <c r="AO94" s="189" t="e">
        <f>VLOOKUP(H94,#REF!,2,FALSE)</f>
        <v>#REF!</v>
      </c>
      <c r="AP94" s="189" t="e">
        <f>VLOOKUP(H94,#REF!,2,FALSE)</f>
        <v>#REF!</v>
      </c>
      <c r="AQ94" s="189"/>
      <c r="AR94" s="2" t="e">
        <f>VLOOKUP(CLEAN(H94),#REF!,2,FALSE)</f>
        <v>#REF!</v>
      </c>
      <c r="AT94" s="2" t="e">
        <f>VLOOKUP(H94,#REF!,13,FALSE)</f>
        <v>#REF!</v>
      </c>
      <c r="AU94" s="2" t="e">
        <f>VLOOKUP(H94,#REF!,13,FALSE)</f>
        <v>#REF!</v>
      </c>
      <c r="AV94" s="2" t="e">
        <f>VLOOKUP(H94,#REF!,13,FALSE)</f>
        <v>#REF!</v>
      </c>
      <c r="AW94" s="2" t="e">
        <f>VLOOKUP(H94,#REF!,13,FALSE)</f>
        <v>#REF!</v>
      </c>
      <c r="AX94" s="2" t="e">
        <f>VLOOKUP(H94,#REF!,9,FALSE)</f>
        <v>#REF!</v>
      </c>
      <c r="AZ94" s="2" t="e">
        <f>VLOOKUP(H94,#REF!,2,FALSE)</f>
        <v>#REF!</v>
      </c>
      <c r="BF94" s="189" t="e">
        <f>VLOOKUP(CLEAN(H94),#REF!,2,FALSE)</f>
        <v>#REF!</v>
      </c>
      <c r="BG94" s="189" t="e">
        <f>T94-BF94</f>
        <v>#REF!</v>
      </c>
      <c r="BO94" s="2" t="e">
        <f>VLOOKUP(H94,#REF!,13,FALSE)</f>
        <v>#REF!</v>
      </c>
      <c r="BP94" s="2" t="e">
        <f>VLOOKUP(H94,#REF!,2,FALSE)</f>
        <v>#REF!</v>
      </c>
      <c r="BQ94" s="2" t="e">
        <f>VLOOKUP(H94,#REF!,13,FALSE)</f>
        <v>#REF!</v>
      </c>
      <c r="BR94" s="2" t="e">
        <f>VLOOKUP(H94,#REF!,3,FALSE)</f>
        <v>#REF!</v>
      </c>
    </row>
    <row r="95" spans="1:70" s="2" customFormat="1" ht="15" customHeight="1" outlineLevel="2">
      <c r="A95" s="5">
        <v>31</v>
      </c>
      <c r="B95" s="5" t="s">
        <v>11</v>
      </c>
      <c r="C95" s="5" t="s">
        <v>241</v>
      </c>
      <c r="D95" s="5" t="s">
        <v>7</v>
      </c>
      <c r="E95" s="5" t="s">
        <v>17</v>
      </c>
      <c r="F95" s="5" t="s">
        <v>89</v>
      </c>
      <c r="G95" s="5" t="s">
        <v>144</v>
      </c>
      <c r="H95" s="12">
        <v>30359222</v>
      </c>
      <c r="I95" s="42" t="str">
        <f t="shared" si="51"/>
        <v>30359222-EJECUCION</v>
      </c>
      <c r="J95" s="12"/>
      <c r="K95" s="307" t="str">
        <f t="shared" si="52"/>
        <v>30359222</v>
      </c>
      <c r="L95" s="15" t="s">
        <v>388</v>
      </c>
      <c r="M95" s="23">
        <v>274008000</v>
      </c>
      <c r="N95" s="34">
        <v>0</v>
      </c>
      <c r="O95" s="34">
        <v>10000000</v>
      </c>
      <c r="P95" s="310">
        <v>0</v>
      </c>
      <c r="Q95" s="34">
        <v>0</v>
      </c>
      <c r="R95" s="308">
        <v>0</v>
      </c>
      <c r="S95" s="34">
        <f t="shared" si="53"/>
        <v>0</v>
      </c>
      <c r="T95" s="34">
        <v>0</v>
      </c>
      <c r="U95" s="34">
        <v>0</v>
      </c>
      <c r="V95" s="34">
        <f>P95+Q95+R95+T95+U95</f>
        <v>0</v>
      </c>
      <c r="W95" s="34">
        <f>O95-V95</f>
        <v>10000000</v>
      </c>
      <c r="X95" s="34">
        <f>M95-(N95+O95)</f>
        <v>264008000</v>
      </c>
      <c r="Y95" s="48" t="s">
        <v>246</v>
      </c>
      <c r="Z95" s="48" t="s">
        <v>421</v>
      </c>
      <c r="AA95" s="2" t="e">
        <v>#N/A</v>
      </c>
      <c r="AB95" s="2" t="e">
        <f>VLOOKUP(H95,#REF!,2,FALSE)</f>
        <v>#REF!</v>
      </c>
      <c r="AC95" s="2" t="e">
        <f>VLOOKUP(I95,#REF!,2,FALSE)</f>
        <v>#REF!</v>
      </c>
      <c r="AD95" s="2" t="e">
        <f>VLOOKUP(H95,#REF!,13,FALSE)</f>
        <v>#REF!</v>
      </c>
      <c r="AE95" s="2" t="e">
        <f>VLOOKUP(I95,#REF!,7,FALSE)</f>
        <v>#REF!</v>
      </c>
      <c r="AF95" s="2">
        <v>25</v>
      </c>
      <c r="AG95" s="2" t="e">
        <f>VLOOKUP(H95,#REF!,13,FALSE)</f>
        <v>#REF!</v>
      </c>
      <c r="AH95" s="2" t="e">
        <f>VLOOKUP(I95,#REF!,2,FALSE)</f>
        <v>#REF!</v>
      </c>
      <c r="AJ95" s="185" t="e">
        <f>VLOOKUP(H95,#REF!,3,FALSE)</f>
        <v>#REF!</v>
      </c>
      <c r="AK95" s="185"/>
      <c r="AL95" s="185" t="e">
        <f>VLOOKUP(H95,#REF!,13,FALSE)</f>
        <v>#REF!</v>
      </c>
      <c r="AM95" s="185" t="e">
        <f>VLOOKUP(CLEAN(H95),#REF!,7,FALSE)</f>
        <v>#REF!</v>
      </c>
      <c r="AN95" s="2" t="e">
        <f>VLOOKUP(H95,#REF!,8,FALSE)</f>
        <v>#REF!</v>
      </c>
      <c r="AO95" s="189" t="e">
        <f>VLOOKUP(H95,#REF!,2,FALSE)</f>
        <v>#REF!</v>
      </c>
      <c r="AP95" s="189" t="e">
        <f>VLOOKUP(H95,#REF!,2,FALSE)</f>
        <v>#REF!</v>
      </c>
      <c r="AQ95" s="189"/>
      <c r="AR95" s="2" t="e">
        <f>VLOOKUP(CLEAN(H95),#REF!,2,FALSE)</f>
        <v>#REF!</v>
      </c>
      <c r="AT95" s="2" t="e">
        <f>VLOOKUP(H95,#REF!,13,FALSE)</f>
        <v>#REF!</v>
      </c>
      <c r="AU95" s="2" t="e">
        <f>VLOOKUP(H95,#REF!,13,FALSE)</f>
        <v>#REF!</v>
      </c>
      <c r="AV95" s="2" t="e">
        <f>VLOOKUP(H95,#REF!,13,FALSE)</f>
        <v>#REF!</v>
      </c>
      <c r="AW95" s="2" t="e">
        <f>VLOOKUP(H95,#REF!,13,FALSE)</f>
        <v>#REF!</v>
      </c>
      <c r="AX95" s="2" t="e">
        <f>VLOOKUP(H95,#REF!,9,FALSE)</f>
        <v>#REF!</v>
      </c>
      <c r="AZ95" s="2" t="e">
        <f>VLOOKUP(H95,#REF!,2,FALSE)</f>
        <v>#REF!</v>
      </c>
      <c r="BF95" s="189" t="e">
        <f>VLOOKUP(CLEAN(H95),#REF!,2,FALSE)</f>
        <v>#REF!</v>
      </c>
      <c r="BG95" s="189" t="e">
        <f>T95-BF95</f>
        <v>#REF!</v>
      </c>
      <c r="BO95" s="2" t="e">
        <f>VLOOKUP(H95,#REF!,13,FALSE)</f>
        <v>#REF!</v>
      </c>
      <c r="BP95" s="2" t="e">
        <f>VLOOKUP(H95,#REF!,2,FALSE)</f>
        <v>#REF!</v>
      </c>
      <c r="BQ95" s="2" t="e">
        <f>VLOOKUP(H95,#REF!,13,FALSE)</f>
        <v>#REF!</v>
      </c>
      <c r="BR95" s="2" t="e">
        <f>VLOOKUP(H95,#REF!,3,FALSE)</f>
        <v>#REF!</v>
      </c>
    </row>
    <row r="96" spans="1:70" ht="15" customHeight="1" outlineLevel="2">
      <c r="A96" s="7"/>
      <c r="B96" s="7"/>
      <c r="C96" s="7"/>
      <c r="D96" s="7"/>
      <c r="E96" s="7"/>
      <c r="F96" s="7"/>
      <c r="G96" s="7"/>
      <c r="H96" s="11"/>
      <c r="I96" s="11"/>
      <c r="J96" s="11"/>
      <c r="K96" s="11"/>
      <c r="L96" s="17" t="s">
        <v>693</v>
      </c>
      <c r="M96" s="27">
        <f t="shared" ref="M96:X96" si="54">SUBTOTAL(9,M93:M95)</f>
        <v>2515508000</v>
      </c>
      <c r="N96" s="27">
        <f t="shared" si="54"/>
        <v>0</v>
      </c>
      <c r="O96" s="27">
        <f t="shared" si="54"/>
        <v>22075000</v>
      </c>
      <c r="P96" s="24">
        <f t="shared" si="54"/>
        <v>0</v>
      </c>
      <c r="Q96" s="24">
        <f t="shared" si="54"/>
        <v>0</v>
      </c>
      <c r="R96" s="24">
        <f t="shared" si="54"/>
        <v>0</v>
      </c>
      <c r="S96" s="27">
        <f t="shared" si="54"/>
        <v>0</v>
      </c>
      <c r="T96" s="27">
        <f t="shared" si="54"/>
        <v>0</v>
      </c>
      <c r="U96" s="27">
        <f t="shared" si="54"/>
        <v>0</v>
      </c>
      <c r="V96" s="27">
        <f t="shared" si="54"/>
        <v>0</v>
      </c>
      <c r="W96" s="27">
        <f t="shared" si="54"/>
        <v>22075000</v>
      </c>
      <c r="X96" s="27">
        <f t="shared" si="54"/>
        <v>2493433000</v>
      </c>
      <c r="Y96" s="47"/>
      <c r="Z96" s="47"/>
      <c r="AM96" s="185" t="e">
        <f>VLOOKUP(CLEAN(H96),#REF!,7,FALSE)</f>
        <v>#REF!</v>
      </c>
      <c r="AO96"/>
      <c r="AP96"/>
      <c r="AQ96"/>
      <c r="AR96" s="2" t="e">
        <f>VLOOKUP(CLEAN(H96),#REF!,2,FALSE)</f>
        <v>#REF!</v>
      </c>
      <c r="AZ96" s="2" t="e">
        <f>VLOOKUP(H96,#REF!,2,FALSE)</f>
        <v>#REF!</v>
      </c>
      <c r="BO96" s="2" t="e">
        <f>VLOOKUP(H96,#REF!,13,FALSE)</f>
        <v>#REF!</v>
      </c>
      <c r="BQ96" s="2" t="e">
        <f>VLOOKUP(H96,#REF!,13,FALSE)</f>
        <v>#REF!</v>
      </c>
    </row>
    <row r="97" spans="1:70" ht="15" customHeight="1" outlineLevel="2">
      <c r="A97" s="7"/>
      <c r="B97" s="7"/>
      <c r="C97" s="7"/>
      <c r="D97" s="7"/>
      <c r="E97" s="7"/>
      <c r="F97" s="7"/>
      <c r="G97" s="7"/>
      <c r="H97" s="11"/>
      <c r="I97" s="11"/>
      <c r="J97" s="11"/>
      <c r="K97" s="11"/>
      <c r="L97" s="292"/>
      <c r="M97" s="22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47"/>
      <c r="Z97" s="47"/>
      <c r="AM97" s="185" t="e">
        <f>VLOOKUP(CLEAN(H97),#REF!,7,FALSE)</f>
        <v>#REF!</v>
      </c>
      <c r="AO97"/>
      <c r="AP97"/>
      <c r="AQ97"/>
      <c r="AR97" s="2" t="e">
        <f>VLOOKUP(CLEAN(H97),#REF!,2,FALSE)</f>
        <v>#REF!</v>
      </c>
      <c r="AZ97" s="2" t="e">
        <f>VLOOKUP(H97,#REF!,2,FALSE)</f>
        <v>#REF!</v>
      </c>
      <c r="BO97" s="2" t="e">
        <f>VLOOKUP(H97,#REF!,13,FALSE)</f>
        <v>#REF!</v>
      </c>
      <c r="BP97" s="293"/>
      <c r="BQ97" s="2" t="e">
        <f>VLOOKUP(H97,#REF!,13,FALSE)</f>
        <v>#REF!</v>
      </c>
    </row>
    <row r="98" spans="1:70" ht="18.75" customHeight="1" outlineLevel="1">
      <c r="A98" s="7"/>
      <c r="B98" s="7"/>
      <c r="C98" s="7"/>
      <c r="D98" s="7"/>
      <c r="E98" s="8"/>
      <c r="F98" s="7"/>
      <c r="G98" s="7"/>
      <c r="H98" s="11"/>
      <c r="I98" s="11"/>
      <c r="J98" s="11"/>
      <c r="K98" s="11"/>
      <c r="L98" s="45" t="s">
        <v>151</v>
      </c>
      <c r="M98" s="46">
        <f t="shared" ref="M98:X98" si="55">M96+M90</f>
        <v>6794530033</v>
      </c>
      <c r="N98" s="46">
        <f t="shared" si="55"/>
        <v>2985142153</v>
      </c>
      <c r="O98" s="46">
        <f t="shared" si="55"/>
        <v>1224651804</v>
      </c>
      <c r="P98" s="46">
        <f t="shared" si="55"/>
        <v>267626745</v>
      </c>
      <c r="Q98" s="46">
        <f t="shared" si="55"/>
        <v>230581537</v>
      </c>
      <c r="R98" s="46">
        <f t="shared" si="55"/>
        <v>190296590</v>
      </c>
      <c r="S98" s="46">
        <f t="shared" si="55"/>
        <v>688504872</v>
      </c>
      <c r="T98" s="46">
        <f t="shared" si="55"/>
        <v>112468479</v>
      </c>
      <c r="U98" s="46">
        <f t="shared" si="55"/>
        <v>101261260</v>
      </c>
      <c r="V98" s="46">
        <f t="shared" si="55"/>
        <v>902234611</v>
      </c>
      <c r="W98" s="46">
        <f t="shared" si="55"/>
        <v>322417193</v>
      </c>
      <c r="X98" s="46">
        <f t="shared" si="55"/>
        <v>2584736076</v>
      </c>
      <c r="Y98" s="47"/>
      <c r="Z98" s="47"/>
      <c r="AM98" s="185" t="e">
        <f>VLOOKUP(CLEAN(H98),#REF!,7,FALSE)</f>
        <v>#REF!</v>
      </c>
      <c r="AO98"/>
      <c r="AP98"/>
      <c r="AQ98"/>
      <c r="AR98" s="2" t="e">
        <f>VLOOKUP(CLEAN(H98),#REF!,2,FALSE)</f>
        <v>#REF!</v>
      </c>
      <c r="AZ98" s="2" t="e">
        <f>VLOOKUP(H98,#REF!,2,FALSE)</f>
        <v>#REF!</v>
      </c>
      <c r="BO98" s="2" t="e">
        <f>VLOOKUP(H98,#REF!,13,FALSE)</f>
        <v>#REF!</v>
      </c>
      <c r="BQ98" s="2" t="e">
        <f>VLOOKUP(H98,#REF!,13,FALSE)</f>
        <v>#REF!</v>
      </c>
    </row>
    <row r="99" spans="1:70" s="3" customFormat="1" ht="15" customHeight="1" outlineLevel="1">
      <c r="A99" s="7"/>
      <c r="B99" s="7"/>
      <c r="C99" s="7"/>
      <c r="D99" s="7"/>
      <c r="E99" s="8"/>
      <c r="F99" s="7"/>
      <c r="G99" s="7"/>
      <c r="H99" s="11"/>
      <c r="I99" s="11"/>
      <c r="J99" s="11"/>
      <c r="K99" s="11"/>
      <c r="L99" s="294"/>
      <c r="M99" s="26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47"/>
      <c r="Z99" s="47"/>
      <c r="AJ99" s="186"/>
      <c r="AK99" s="186"/>
      <c r="AL99" s="186"/>
      <c r="AM99" s="185" t="e">
        <f>VLOOKUP(CLEAN(H99),#REF!,7,FALSE)</f>
        <v>#REF!</v>
      </c>
      <c r="AR99" s="2" t="e">
        <f>VLOOKUP(CLEAN(H99),#REF!,2,FALSE)</f>
        <v>#REF!</v>
      </c>
      <c r="AZ99" s="2" t="e">
        <f>VLOOKUP(H99,#REF!,2,FALSE)</f>
        <v>#REF!</v>
      </c>
      <c r="BF99" s="193"/>
      <c r="BO99" s="2" t="e">
        <f>VLOOKUP(H99,#REF!,13,FALSE)</f>
        <v>#REF!</v>
      </c>
      <c r="BP99" s="7"/>
      <c r="BQ99" s="2" t="e">
        <f>VLOOKUP(H99,#REF!,13,FALSE)</f>
        <v>#REF!</v>
      </c>
    </row>
    <row r="100" spans="1:70" ht="26.25" customHeight="1" outlineLevel="1">
      <c r="A100" s="7"/>
      <c r="B100" s="7"/>
      <c r="C100" s="7"/>
      <c r="D100" s="7"/>
      <c r="E100" s="8"/>
      <c r="F100" s="7"/>
      <c r="G100" s="7"/>
      <c r="H100" s="11"/>
      <c r="I100" s="11"/>
      <c r="J100" s="11"/>
      <c r="K100" s="11"/>
      <c r="L100" s="57" t="s">
        <v>180</v>
      </c>
      <c r="M100" s="26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49"/>
      <c r="Z100" s="49"/>
      <c r="AM100" s="185" t="e">
        <f>VLOOKUP(CLEAN(H100),#REF!,7,FALSE)</f>
        <v>#REF!</v>
      </c>
      <c r="AO100"/>
      <c r="AP100"/>
      <c r="AQ100"/>
      <c r="AR100" s="2" t="e">
        <f>VLOOKUP(CLEAN(H100),#REF!,2,FALSE)</f>
        <v>#REF!</v>
      </c>
      <c r="AZ100" s="2" t="e">
        <f>VLOOKUP(H100,#REF!,2,FALSE)</f>
        <v>#REF!</v>
      </c>
      <c r="BO100" s="2" t="e">
        <f>VLOOKUP(H100,#REF!,13,FALSE)</f>
        <v>#REF!</v>
      </c>
      <c r="BQ100" s="2" t="e">
        <f>VLOOKUP(H100,#REF!,13,FALSE)</f>
        <v>#REF!</v>
      </c>
    </row>
    <row r="101" spans="1:70" ht="15" customHeight="1" outlineLevel="1">
      <c r="A101" s="7"/>
      <c r="B101" s="7"/>
      <c r="C101" s="7"/>
      <c r="D101" s="7"/>
      <c r="E101" s="8"/>
      <c r="F101" s="7"/>
      <c r="G101" s="7"/>
      <c r="H101" s="11"/>
      <c r="I101" s="11"/>
      <c r="J101" s="11"/>
      <c r="K101" s="11"/>
      <c r="L101" s="18" t="s">
        <v>695</v>
      </c>
      <c r="M101" s="26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47"/>
      <c r="Z101" s="47"/>
      <c r="AM101" s="185" t="e">
        <f>VLOOKUP(CLEAN(H101),#REF!,7,FALSE)</f>
        <v>#REF!</v>
      </c>
      <c r="AO101"/>
      <c r="AP101"/>
      <c r="AQ101"/>
      <c r="AR101" s="2" t="e">
        <f>VLOOKUP(CLEAN(H101),#REF!,2,FALSE)</f>
        <v>#REF!</v>
      </c>
      <c r="AZ101" s="2" t="e">
        <f>VLOOKUP(H101,#REF!,2,FALSE)</f>
        <v>#REF!</v>
      </c>
      <c r="BO101" s="2" t="e">
        <f>VLOOKUP(H101,#REF!,13,FALSE)</f>
        <v>#REF!</v>
      </c>
      <c r="BQ101" s="2" t="e">
        <f>VLOOKUP(H101,#REF!,13,FALSE)</f>
        <v>#REF!</v>
      </c>
    </row>
    <row r="102" spans="1:70" s="2" customFormat="1" ht="15" customHeight="1" outlineLevel="2">
      <c r="A102" s="5">
        <v>31</v>
      </c>
      <c r="B102" s="5" t="s">
        <v>5</v>
      </c>
      <c r="C102" s="5" t="s">
        <v>253</v>
      </c>
      <c r="D102" s="5" t="s">
        <v>7</v>
      </c>
      <c r="E102" s="5" t="s">
        <v>18</v>
      </c>
      <c r="F102" s="5" t="s">
        <v>457</v>
      </c>
      <c r="G102" s="5" t="s">
        <v>144</v>
      </c>
      <c r="H102" s="12">
        <v>30102235</v>
      </c>
      <c r="I102" s="42" t="str">
        <f t="shared" ref="I102:I103" si="56">CONCATENATE(H102,"-",G102)</f>
        <v>30102235-EJECUCION</v>
      </c>
      <c r="J102" s="12"/>
      <c r="K102" s="307" t="str">
        <f t="shared" ref="K102:K103" si="57">CLEAN(H102)</f>
        <v>30102235</v>
      </c>
      <c r="L102" s="15" t="s">
        <v>359</v>
      </c>
      <c r="M102" s="23">
        <v>373536000</v>
      </c>
      <c r="N102" s="34">
        <v>0</v>
      </c>
      <c r="O102" s="34">
        <v>223536000</v>
      </c>
      <c r="P102" s="310">
        <v>0</v>
      </c>
      <c r="Q102" s="34">
        <v>0</v>
      </c>
      <c r="R102" s="308">
        <v>16436249</v>
      </c>
      <c r="S102" s="34">
        <f t="shared" ref="S102:S103" si="58">P102+Q102+R102</f>
        <v>16436249</v>
      </c>
      <c r="T102" s="34">
        <v>12778811</v>
      </c>
      <c r="U102" s="34">
        <v>38209982</v>
      </c>
      <c r="V102" s="34">
        <f>P102+Q102+R102+T102+U102</f>
        <v>67425042</v>
      </c>
      <c r="W102" s="34">
        <f>O102-V102</f>
        <v>156110958</v>
      </c>
      <c r="X102" s="34">
        <f>M102-(N102+O102)</f>
        <v>150000000</v>
      </c>
      <c r="Y102" s="48" t="s">
        <v>239</v>
      </c>
      <c r="Z102" s="48" t="s">
        <v>10</v>
      </c>
      <c r="AA102" s="2" t="s">
        <v>848</v>
      </c>
      <c r="AB102" s="2" t="e">
        <f>VLOOKUP(H102,#REF!,2,FALSE)</f>
        <v>#REF!</v>
      </c>
      <c r="AC102" s="2" t="e">
        <f>VLOOKUP(I102,#REF!,2,FALSE)</f>
        <v>#REF!</v>
      </c>
      <c r="AD102" s="2" t="e">
        <f>VLOOKUP(H102,#REF!,13,FALSE)</f>
        <v>#REF!</v>
      </c>
      <c r="AE102" s="2" t="e">
        <f>VLOOKUP(I102,#REF!,7,FALSE)</f>
        <v>#REF!</v>
      </c>
      <c r="AF102" s="2">
        <v>25</v>
      </c>
      <c r="AG102" s="2" t="e">
        <f>VLOOKUP(H102,#REF!,13,FALSE)</f>
        <v>#REF!</v>
      </c>
      <c r="AH102" s="2" t="e">
        <f>VLOOKUP(I102,#REF!,2,FALSE)</f>
        <v>#REF!</v>
      </c>
      <c r="AJ102" s="185" t="e">
        <f>VLOOKUP(H102,#REF!,3,FALSE)</f>
        <v>#REF!</v>
      </c>
      <c r="AK102" s="185"/>
      <c r="AL102" s="185" t="e">
        <f>VLOOKUP(H102,#REF!,13,FALSE)</f>
        <v>#REF!</v>
      </c>
      <c r="AM102" s="185" t="e">
        <f>VLOOKUP(CLEAN(H102),#REF!,7,FALSE)</f>
        <v>#REF!</v>
      </c>
      <c r="AN102" s="2" t="e">
        <f>VLOOKUP(H102,#REF!,8,FALSE)</f>
        <v>#REF!</v>
      </c>
      <c r="AO102" s="189" t="e">
        <f>VLOOKUP(H102,#REF!,2,FALSE)</f>
        <v>#REF!</v>
      </c>
      <c r="AP102" s="189" t="e">
        <f>VLOOKUP(H102,#REF!,2,FALSE)</f>
        <v>#REF!</v>
      </c>
      <c r="AQ102" s="189" t="e">
        <f>AO102-AP102</f>
        <v>#REF!</v>
      </c>
      <c r="AR102" s="189" t="e">
        <f>VLOOKUP(CLEAN(H102),#REF!,2,FALSE)</f>
        <v>#REF!</v>
      </c>
      <c r="AS102" s="189" t="e">
        <f>T102-AR102</f>
        <v>#REF!</v>
      </c>
      <c r="AT102" s="2" t="e">
        <f>VLOOKUP(H102,#REF!,13,FALSE)</f>
        <v>#REF!</v>
      </c>
      <c r="AU102" s="2" t="e">
        <f>VLOOKUP(H102,#REF!,13,FALSE)</f>
        <v>#REF!</v>
      </c>
      <c r="AV102" s="2" t="e">
        <f>VLOOKUP(H102,#REF!,13,FALSE)</f>
        <v>#REF!</v>
      </c>
      <c r="AW102" s="2" t="e">
        <f>VLOOKUP(H102,#REF!,13,FALSE)</f>
        <v>#REF!</v>
      </c>
      <c r="AX102" s="2" t="e">
        <f>VLOOKUP(H102,#REF!,9,FALSE)</f>
        <v>#REF!</v>
      </c>
      <c r="AZ102" s="189" t="e">
        <f>VLOOKUP(H102,#REF!,2,FALSE)</f>
        <v>#REF!</v>
      </c>
      <c r="BF102" s="189" t="e">
        <f>VLOOKUP(CLEAN(H102),#REF!,2,FALSE)</f>
        <v>#REF!</v>
      </c>
      <c r="BG102" s="189" t="e">
        <f>T102-BF102</f>
        <v>#REF!</v>
      </c>
      <c r="BO102" s="2" t="e">
        <f>VLOOKUP(H102,#REF!,13,FALSE)</f>
        <v>#REF!</v>
      </c>
      <c r="BP102" s="2" t="e">
        <f>VLOOKUP(H102,#REF!,2,FALSE)</f>
        <v>#REF!</v>
      </c>
      <c r="BQ102" s="2" t="e">
        <f>VLOOKUP(H102,#REF!,13,FALSE)</f>
        <v>#REF!</v>
      </c>
      <c r="BR102" s="2" t="e">
        <f>VLOOKUP(H102,#REF!,3,FALSE)</f>
        <v>#REF!</v>
      </c>
    </row>
    <row r="103" spans="1:70" s="2" customFormat="1" ht="15" customHeight="1" outlineLevel="2">
      <c r="A103" s="5">
        <v>31</v>
      </c>
      <c r="B103" s="5" t="s">
        <v>5</v>
      </c>
      <c r="C103" s="5" t="s">
        <v>238</v>
      </c>
      <c r="D103" s="5" t="s">
        <v>7</v>
      </c>
      <c r="E103" s="5" t="s">
        <v>18</v>
      </c>
      <c r="F103" s="5" t="s">
        <v>457</v>
      </c>
      <c r="G103" s="5" t="s">
        <v>9</v>
      </c>
      <c r="H103" s="12">
        <v>30088194</v>
      </c>
      <c r="I103" s="42" t="str">
        <f t="shared" si="56"/>
        <v>30088194-DISEÑO</v>
      </c>
      <c r="J103" s="12"/>
      <c r="K103" s="307" t="str">
        <f t="shared" si="57"/>
        <v>30088194</v>
      </c>
      <c r="L103" s="15" t="s">
        <v>119</v>
      </c>
      <c r="M103" s="23">
        <v>128339324</v>
      </c>
      <c r="N103" s="34">
        <v>32463865</v>
      </c>
      <c r="O103" s="34">
        <v>52671459</v>
      </c>
      <c r="P103" s="310">
        <v>0</v>
      </c>
      <c r="Q103" s="34">
        <v>0</v>
      </c>
      <c r="R103" s="308">
        <v>0</v>
      </c>
      <c r="S103" s="34">
        <f t="shared" si="58"/>
        <v>0</v>
      </c>
      <c r="T103" s="34">
        <v>0</v>
      </c>
      <c r="U103" s="34">
        <v>0</v>
      </c>
      <c r="V103" s="34">
        <f>P103+Q103+R103+T103+U103</f>
        <v>0</v>
      </c>
      <c r="W103" s="34">
        <f>O103-V103</f>
        <v>52671459</v>
      </c>
      <c r="X103" s="34">
        <f>M103-(N103+O103)</f>
        <v>43204000</v>
      </c>
      <c r="Y103" s="48" t="s">
        <v>675</v>
      </c>
      <c r="Z103" s="48" t="s">
        <v>123</v>
      </c>
      <c r="AA103" s="2" t="s">
        <v>848</v>
      </c>
      <c r="AB103" s="2" t="e">
        <f>VLOOKUP(H103,#REF!,2,FALSE)</f>
        <v>#REF!</v>
      </c>
      <c r="AC103" s="2" t="e">
        <f>VLOOKUP(I103,#REF!,2,FALSE)</f>
        <v>#REF!</v>
      </c>
      <c r="AD103" s="2" t="e">
        <f>VLOOKUP(H103,#REF!,13,FALSE)</f>
        <v>#REF!</v>
      </c>
      <c r="AE103" s="2" t="e">
        <f>VLOOKUP(I103,#REF!,7,FALSE)</f>
        <v>#REF!</v>
      </c>
      <c r="AF103" s="2">
        <v>25</v>
      </c>
      <c r="AG103" s="2" t="e">
        <f>VLOOKUP(H103,#REF!,13,FALSE)</f>
        <v>#REF!</v>
      </c>
      <c r="AH103" s="2" t="e">
        <f>VLOOKUP(I103,#REF!,2,FALSE)</f>
        <v>#REF!</v>
      </c>
      <c r="AJ103" s="185" t="e">
        <f>VLOOKUP(H103,#REF!,3,FALSE)</f>
        <v>#REF!</v>
      </c>
      <c r="AK103" s="185"/>
      <c r="AL103" s="185" t="e">
        <f>VLOOKUP(H103,#REF!,13,FALSE)</f>
        <v>#REF!</v>
      </c>
      <c r="AM103" s="185" t="e">
        <f>VLOOKUP(CLEAN(H103),#REF!,7,FALSE)</f>
        <v>#REF!</v>
      </c>
      <c r="AN103" s="2" t="e">
        <f>VLOOKUP(H103,#REF!,8,FALSE)</f>
        <v>#REF!</v>
      </c>
      <c r="AO103" s="189" t="e">
        <f>VLOOKUP(H103,#REF!,2,FALSE)</f>
        <v>#REF!</v>
      </c>
      <c r="AP103" s="189" t="e">
        <f>VLOOKUP(H103,#REF!,2,FALSE)</f>
        <v>#REF!</v>
      </c>
      <c r="AQ103" s="189"/>
      <c r="AR103" s="2" t="e">
        <f>VLOOKUP(CLEAN(H103),#REF!,2,FALSE)</f>
        <v>#REF!</v>
      </c>
      <c r="AT103" s="2" t="e">
        <f>VLOOKUP(H103,#REF!,13,FALSE)</f>
        <v>#REF!</v>
      </c>
      <c r="AU103" s="2" t="e">
        <f>VLOOKUP(H103,#REF!,13,FALSE)</f>
        <v>#REF!</v>
      </c>
      <c r="AV103" s="2" t="e">
        <f>VLOOKUP(H103,#REF!,13,FALSE)</f>
        <v>#REF!</v>
      </c>
      <c r="AW103" s="2" t="e">
        <f>VLOOKUP(H103,#REF!,13,FALSE)</f>
        <v>#REF!</v>
      </c>
      <c r="AX103" s="2" t="e">
        <f>VLOOKUP(H103,#REF!,9,FALSE)</f>
        <v>#REF!</v>
      </c>
      <c r="AZ103" s="189" t="e">
        <f>VLOOKUP(H103,#REF!,2,FALSE)</f>
        <v>#REF!</v>
      </c>
      <c r="BF103" s="189" t="e">
        <f>VLOOKUP(CLEAN(H103),#REF!,2,FALSE)</f>
        <v>#REF!</v>
      </c>
      <c r="BG103" s="189" t="e">
        <f>T103-BF103</f>
        <v>#REF!</v>
      </c>
      <c r="BO103" s="2" t="e">
        <f>VLOOKUP(H103,#REF!,13,FALSE)</f>
        <v>#REF!</v>
      </c>
      <c r="BP103" s="2" t="e">
        <f>VLOOKUP(H103,#REF!,2,FALSE)</f>
        <v>#REF!</v>
      </c>
      <c r="BQ103" s="2" t="e">
        <f>VLOOKUP(H103,#REF!,13,FALSE)</f>
        <v>#REF!</v>
      </c>
      <c r="BR103" s="2" t="e">
        <f>VLOOKUP(H103,#REF!,3,FALSE)</f>
        <v>#REF!</v>
      </c>
    </row>
    <row r="104" spans="1:70" ht="15" customHeight="1" outlineLevel="2">
      <c r="A104" s="7"/>
      <c r="B104" s="7"/>
      <c r="C104" s="7"/>
      <c r="D104" s="7"/>
      <c r="E104" s="7"/>
      <c r="F104" s="7"/>
      <c r="G104" s="7"/>
      <c r="H104" s="11"/>
      <c r="I104" s="11"/>
      <c r="J104" s="11"/>
      <c r="K104" s="11"/>
      <c r="L104" s="17" t="s">
        <v>691</v>
      </c>
      <c r="M104" s="27">
        <f>SUBTOTAL(9,M102:M103)</f>
        <v>501875324</v>
      </c>
      <c r="N104" s="27">
        <f t="shared" ref="N104:O104" si="59">SUBTOTAL(9,N102:N103)</f>
        <v>32463865</v>
      </c>
      <c r="O104" s="27">
        <f t="shared" si="59"/>
        <v>276207459</v>
      </c>
      <c r="P104" s="24">
        <f t="shared" ref="P104:X104" si="60">SUBTOTAL(9,P102:P103)</f>
        <v>0</v>
      </c>
      <c r="Q104" s="24">
        <f t="shared" si="60"/>
        <v>0</v>
      </c>
      <c r="R104" s="24">
        <f t="shared" si="60"/>
        <v>16436249</v>
      </c>
      <c r="S104" s="27">
        <f t="shared" si="60"/>
        <v>16436249</v>
      </c>
      <c r="T104" s="27">
        <f t="shared" si="60"/>
        <v>12778811</v>
      </c>
      <c r="U104" s="27">
        <f t="shared" si="60"/>
        <v>38209982</v>
      </c>
      <c r="V104" s="27">
        <f t="shared" si="60"/>
        <v>67425042</v>
      </c>
      <c r="W104" s="27">
        <f t="shared" si="60"/>
        <v>208782417</v>
      </c>
      <c r="X104" s="27">
        <f t="shared" si="60"/>
        <v>193204000</v>
      </c>
      <c r="Y104" s="47"/>
      <c r="Z104" s="47"/>
      <c r="AM104" s="185" t="e">
        <f>VLOOKUP(CLEAN(H104),#REF!,7,FALSE)</f>
        <v>#REF!</v>
      </c>
      <c r="AO104"/>
      <c r="AP104"/>
      <c r="AQ104"/>
      <c r="AR104" s="2" t="e">
        <f>VLOOKUP(CLEAN(H104),#REF!,2,FALSE)</f>
        <v>#REF!</v>
      </c>
      <c r="AZ104" s="2" t="e">
        <f>VLOOKUP(H104,#REF!,2,FALSE)</f>
        <v>#REF!</v>
      </c>
      <c r="BO104" s="2" t="e">
        <f>VLOOKUP(H104,#REF!,13,FALSE)</f>
        <v>#REF!</v>
      </c>
      <c r="BQ104" s="2" t="e">
        <f>VLOOKUP(H104,#REF!,13,FALSE)</f>
        <v>#REF!</v>
      </c>
    </row>
    <row r="105" spans="1:70" ht="15" customHeight="1" outlineLevel="2">
      <c r="A105" s="7"/>
      <c r="B105" s="7"/>
      <c r="C105" s="7"/>
      <c r="D105" s="7"/>
      <c r="E105" s="7"/>
      <c r="F105" s="7"/>
      <c r="G105" s="7"/>
      <c r="H105" s="11"/>
      <c r="I105" s="11"/>
      <c r="J105" s="11"/>
      <c r="K105" s="11"/>
      <c r="L105" s="292"/>
      <c r="M105" s="22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47"/>
      <c r="Z105" s="47"/>
      <c r="AM105" s="185" t="e">
        <f>VLOOKUP(CLEAN(H105),#REF!,7,FALSE)</f>
        <v>#REF!</v>
      </c>
      <c r="AO105"/>
      <c r="AP105"/>
      <c r="AQ105"/>
      <c r="AR105" s="2" t="e">
        <f>VLOOKUP(CLEAN(H105),#REF!,2,FALSE)</f>
        <v>#REF!</v>
      </c>
      <c r="AZ105" s="2" t="e">
        <f>VLOOKUP(H105,#REF!,2,FALSE)</f>
        <v>#REF!</v>
      </c>
      <c r="BO105" s="2" t="e">
        <f>VLOOKUP(H105,#REF!,13,FALSE)</f>
        <v>#REF!</v>
      </c>
      <c r="BP105" s="293"/>
      <c r="BQ105" s="2" t="e">
        <f>VLOOKUP(H105,#REF!,13,FALSE)</f>
        <v>#REF!</v>
      </c>
    </row>
    <row r="106" spans="1:70" ht="15" customHeight="1" outlineLevel="2">
      <c r="A106" s="7"/>
      <c r="B106" s="7"/>
      <c r="C106" s="7"/>
      <c r="D106" s="7"/>
      <c r="E106" s="7"/>
      <c r="F106" s="7"/>
      <c r="G106" s="7"/>
      <c r="H106" s="11"/>
      <c r="I106" s="11"/>
      <c r="J106" s="11"/>
      <c r="K106" s="11"/>
      <c r="L106" s="18" t="s">
        <v>696</v>
      </c>
      <c r="M106" s="22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47"/>
      <c r="Z106" s="47"/>
      <c r="AM106" s="185" t="e">
        <f>VLOOKUP(CLEAN(H106),#REF!,7,FALSE)</f>
        <v>#REF!</v>
      </c>
      <c r="AO106"/>
      <c r="AP106"/>
      <c r="AQ106"/>
      <c r="AR106" s="2" t="e">
        <f>VLOOKUP(CLEAN(H106),#REF!,2,FALSE)</f>
        <v>#REF!</v>
      </c>
      <c r="AZ106" s="2" t="e">
        <f>VLOOKUP(H106,#REF!,2,FALSE)</f>
        <v>#REF!</v>
      </c>
      <c r="BO106" s="2" t="e">
        <f>VLOOKUP(H106,#REF!,13,FALSE)</f>
        <v>#REF!</v>
      </c>
      <c r="BQ106" s="2" t="e">
        <f>VLOOKUP(H106,#REF!,13,FALSE)</f>
        <v>#REF!</v>
      </c>
    </row>
    <row r="107" spans="1:70" s="2" customFormat="1" ht="15" customHeight="1" outlineLevel="2">
      <c r="A107" s="5">
        <v>29</v>
      </c>
      <c r="B107" s="5" t="s">
        <v>11</v>
      </c>
      <c r="C107" s="5" t="s">
        <v>275</v>
      </c>
      <c r="D107" s="5" t="s">
        <v>7</v>
      </c>
      <c r="E107" s="5" t="s">
        <v>18</v>
      </c>
      <c r="F107" s="5" t="s">
        <v>457</v>
      </c>
      <c r="G107" s="5" t="s">
        <v>144</v>
      </c>
      <c r="H107" s="12">
        <v>30287173</v>
      </c>
      <c r="I107" s="42" t="str">
        <f t="shared" ref="I107:I109" si="61">CONCATENATE(H107,"-",G107)</f>
        <v>30287173-EJECUCION</v>
      </c>
      <c r="J107" s="12"/>
      <c r="K107" s="307" t="str">
        <f t="shared" ref="K107:K109" si="62">CLEAN(H107)</f>
        <v>30287173</v>
      </c>
      <c r="L107" s="15" t="s">
        <v>397</v>
      </c>
      <c r="M107" s="23">
        <v>338411000</v>
      </c>
      <c r="N107" s="34">
        <v>0</v>
      </c>
      <c r="O107" s="34">
        <v>16920550</v>
      </c>
      <c r="P107" s="310">
        <v>0</v>
      </c>
      <c r="Q107" s="34">
        <v>0</v>
      </c>
      <c r="R107" s="308">
        <v>0</v>
      </c>
      <c r="S107" s="34">
        <f t="shared" ref="S107:S109" si="63">P107+Q107+R107</f>
        <v>0</v>
      </c>
      <c r="T107" s="34">
        <v>0</v>
      </c>
      <c r="U107" s="34">
        <v>0</v>
      </c>
      <c r="V107" s="34">
        <f>P107+Q107+R107+T107+U107</f>
        <v>0</v>
      </c>
      <c r="W107" s="34">
        <f>O107-V107</f>
        <v>16920550</v>
      </c>
      <c r="X107" s="34">
        <f>M107-(N107+O107)</f>
        <v>321490450</v>
      </c>
      <c r="Y107" s="48" t="s">
        <v>246</v>
      </c>
      <c r="Z107" s="48" t="s">
        <v>421</v>
      </c>
      <c r="AA107" s="2" t="e">
        <v>#N/A</v>
      </c>
      <c r="AB107" s="2" t="e">
        <f>VLOOKUP(H107,#REF!,2,FALSE)</f>
        <v>#REF!</v>
      </c>
      <c r="AC107" s="2" t="e">
        <f>VLOOKUP(I107,#REF!,2,FALSE)</f>
        <v>#REF!</v>
      </c>
      <c r="AD107" s="2" t="e">
        <f>VLOOKUP(H107,#REF!,13,FALSE)</f>
        <v>#REF!</v>
      </c>
      <c r="AE107" s="2" t="e">
        <f>VLOOKUP(I107,#REF!,7,FALSE)</f>
        <v>#REF!</v>
      </c>
      <c r="AF107" s="2">
        <v>25</v>
      </c>
      <c r="AG107" s="2" t="e">
        <f>VLOOKUP(H107,#REF!,13,FALSE)</f>
        <v>#REF!</v>
      </c>
      <c r="AH107" s="2" t="e">
        <f>VLOOKUP(I107,#REF!,2,FALSE)</f>
        <v>#REF!</v>
      </c>
      <c r="AJ107" s="185" t="e">
        <f>VLOOKUP(H107,#REF!,3,FALSE)</f>
        <v>#REF!</v>
      </c>
      <c r="AK107" s="185"/>
      <c r="AL107" s="185" t="e">
        <f>VLOOKUP(H107,#REF!,13,FALSE)</f>
        <v>#REF!</v>
      </c>
      <c r="AM107" s="185" t="e">
        <f>VLOOKUP(CLEAN(H107),#REF!,7,FALSE)</f>
        <v>#REF!</v>
      </c>
      <c r="AN107" s="2" t="e">
        <f>VLOOKUP(H107,#REF!,8,FALSE)</f>
        <v>#REF!</v>
      </c>
      <c r="AO107" s="189" t="e">
        <f>VLOOKUP(H107,#REF!,2,FALSE)</f>
        <v>#REF!</v>
      </c>
      <c r="AP107" s="189" t="e">
        <f>VLOOKUP(H107,#REF!,2,FALSE)</f>
        <v>#REF!</v>
      </c>
      <c r="AQ107" s="189"/>
      <c r="AR107" s="2" t="e">
        <f>VLOOKUP(CLEAN(H107),#REF!,2,FALSE)</f>
        <v>#REF!</v>
      </c>
      <c r="AT107" s="2" t="e">
        <f>VLOOKUP(H107,#REF!,13,FALSE)</f>
        <v>#REF!</v>
      </c>
      <c r="AU107" s="2" t="e">
        <f>VLOOKUP(H107,#REF!,13,FALSE)</f>
        <v>#REF!</v>
      </c>
      <c r="AV107" s="2" t="e">
        <f>VLOOKUP(H107,#REF!,13,FALSE)</f>
        <v>#REF!</v>
      </c>
      <c r="AW107" s="2" t="e">
        <f>VLOOKUP(H107,#REF!,13,FALSE)</f>
        <v>#REF!</v>
      </c>
      <c r="AX107" s="2" t="e">
        <f>VLOOKUP(H107,#REF!,9,FALSE)</f>
        <v>#REF!</v>
      </c>
      <c r="AZ107" s="2" t="e">
        <f>VLOOKUP(H107,#REF!,2,FALSE)</f>
        <v>#REF!</v>
      </c>
      <c r="BF107" s="189" t="e">
        <f>VLOOKUP(CLEAN(H107),#REF!,2,FALSE)</f>
        <v>#REF!</v>
      </c>
      <c r="BG107" s="189" t="e">
        <f>T107-BF107</f>
        <v>#REF!</v>
      </c>
      <c r="BO107" s="2" t="e">
        <f>VLOOKUP(H107,#REF!,13,FALSE)</f>
        <v>#REF!</v>
      </c>
      <c r="BP107" s="2" t="e">
        <f>VLOOKUP(H107,#REF!,2,FALSE)</f>
        <v>#REF!</v>
      </c>
      <c r="BQ107" s="2" t="e">
        <f>VLOOKUP(H107,#REF!,13,FALSE)</f>
        <v>#REF!</v>
      </c>
      <c r="BR107" s="2" t="e">
        <f>VLOOKUP(H107,#REF!,3,FALSE)</f>
        <v>#REF!</v>
      </c>
    </row>
    <row r="108" spans="1:70" s="2" customFormat="1" ht="15" customHeight="1" outlineLevel="2">
      <c r="A108" s="5">
        <v>31</v>
      </c>
      <c r="B108" s="5" t="s">
        <v>11</v>
      </c>
      <c r="C108" s="5" t="s">
        <v>251</v>
      </c>
      <c r="D108" s="5" t="s">
        <v>7</v>
      </c>
      <c r="E108" s="5" t="s">
        <v>18</v>
      </c>
      <c r="F108" s="5" t="s">
        <v>457</v>
      </c>
      <c r="G108" s="5" t="s">
        <v>9</v>
      </c>
      <c r="H108" s="12">
        <v>30102226</v>
      </c>
      <c r="I108" s="42" t="str">
        <f t="shared" si="61"/>
        <v>30102226-DISEÑO</v>
      </c>
      <c r="J108" s="12"/>
      <c r="K108" s="307" t="str">
        <f t="shared" si="62"/>
        <v>30102226</v>
      </c>
      <c r="L108" s="15" t="s">
        <v>775</v>
      </c>
      <c r="M108" s="23">
        <v>157404000</v>
      </c>
      <c r="N108" s="34">
        <v>0</v>
      </c>
      <c r="O108" s="34">
        <v>7870200</v>
      </c>
      <c r="P108" s="310">
        <v>0</v>
      </c>
      <c r="Q108" s="34">
        <v>0</v>
      </c>
      <c r="R108" s="308">
        <v>0</v>
      </c>
      <c r="S108" s="34">
        <f t="shared" si="63"/>
        <v>0</v>
      </c>
      <c r="T108" s="34">
        <v>0</v>
      </c>
      <c r="U108" s="34">
        <v>0</v>
      </c>
      <c r="V108" s="34">
        <f>P108+Q108+R108+T108+U108</f>
        <v>0</v>
      </c>
      <c r="W108" s="34">
        <f>O108-V108</f>
        <v>7870200</v>
      </c>
      <c r="X108" s="34">
        <f>M108-(N108+O108)</f>
        <v>149533800</v>
      </c>
      <c r="Y108" s="48" t="s">
        <v>246</v>
      </c>
      <c r="Z108" s="48" t="s">
        <v>357</v>
      </c>
      <c r="AA108" s="2" t="e">
        <v>#N/A</v>
      </c>
      <c r="AB108" s="2" t="e">
        <f>VLOOKUP(H108,#REF!,2,FALSE)</f>
        <v>#REF!</v>
      </c>
      <c r="AC108" s="2" t="e">
        <f>VLOOKUP(I108,#REF!,2,FALSE)</f>
        <v>#REF!</v>
      </c>
      <c r="AD108" s="2" t="e">
        <f>VLOOKUP(H108,#REF!,13,FALSE)</f>
        <v>#REF!</v>
      </c>
      <c r="AE108" s="2" t="e">
        <f>VLOOKUP(I108,#REF!,7,FALSE)</f>
        <v>#REF!</v>
      </c>
      <c r="AF108" s="2">
        <v>25</v>
      </c>
      <c r="AG108" s="2" t="e">
        <f>VLOOKUP(H108,#REF!,13,FALSE)</f>
        <v>#REF!</v>
      </c>
      <c r="AH108" s="2" t="e">
        <f>VLOOKUP(I108,#REF!,2,FALSE)</f>
        <v>#REF!</v>
      </c>
      <c r="AJ108" s="185" t="e">
        <f>VLOOKUP(H108,#REF!,3,FALSE)</f>
        <v>#REF!</v>
      </c>
      <c r="AK108" s="185"/>
      <c r="AL108" s="185" t="e">
        <f>VLOOKUP(H108,#REF!,13,FALSE)</f>
        <v>#REF!</v>
      </c>
      <c r="AM108" s="185" t="e">
        <f>VLOOKUP(CLEAN(H108),#REF!,7,FALSE)</f>
        <v>#REF!</v>
      </c>
      <c r="AN108" s="2" t="e">
        <f>VLOOKUP(H108,#REF!,8,FALSE)</f>
        <v>#REF!</v>
      </c>
      <c r="AO108" s="189" t="e">
        <f>VLOOKUP(H108,#REF!,2,FALSE)</f>
        <v>#REF!</v>
      </c>
      <c r="AP108" s="189" t="e">
        <f>VLOOKUP(H108,#REF!,2,FALSE)</f>
        <v>#REF!</v>
      </c>
      <c r="AQ108" s="189"/>
      <c r="AR108" s="2" t="e">
        <f>VLOOKUP(CLEAN(H108),#REF!,2,FALSE)</f>
        <v>#REF!</v>
      </c>
      <c r="AT108" s="2" t="e">
        <f>VLOOKUP(H108,#REF!,13,FALSE)</f>
        <v>#REF!</v>
      </c>
      <c r="AU108" s="2" t="e">
        <f>VLOOKUP(H108,#REF!,13,FALSE)</f>
        <v>#REF!</v>
      </c>
      <c r="AV108" s="2" t="e">
        <f>VLOOKUP(H108,#REF!,13,FALSE)</f>
        <v>#REF!</v>
      </c>
      <c r="AW108" s="2" t="e">
        <f>VLOOKUP(H108,#REF!,13,FALSE)</f>
        <v>#REF!</v>
      </c>
      <c r="AX108" s="2" t="e">
        <f>VLOOKUP(H108,#REF!,9,FALSE)</f>
        <v>#REF!</v>
      </c>
      <c r="AZ108" s="2" t="e">
        <f>VLOOKUP(H108,#REF!,2,FALSE)</f>
        <v>#REF!</v>
      </c>
      <c r="BF108" s="189" t="e">
        <f>VLOOKUP(CLEAN(H108),#REF!,2,FALSE)</f>
        <v>#REF!</v>
      </c>
      <c r="BG108" s="189" t="e">
        <f>T108-BF108</f>
        <v>#REF!</v>
      </c>
      <c r="BO108" s="2" t="e">
        <f>VLOOKUP(H108,#REF!,13,FALSE)</f>
        <v>#REF!</v>
      </c>
      <c r="BP108" s="2" t="e">
        <f>VLOOKUP(H108,#REF!,2,FALSE)</f>
        <v>#REF!</v>
      </c>
      <c r="BQ108" s="2" t="e">
        <f>VLOOKUP(H108,#REF!,13,FALSE)</f>
        <v>#REF!</v>
      </c>
      <c r="BR108" s="2" t="e">
        <f>VLOOKUP(H108,#REF!,3,FALSE)</f>
        <v>#REF!</v>
      </c>
    </row>
    <row r="109" spans="1:70" s="2" customFormat="1" ht="15" customHeight="1" outlineLevel="2">
      <c r="A109" s="5">
        <v>31</v>
      </c>
      <c r="B109" s="5" t="s">
        <v>11</v>
      </c>
      <c r="C109" s="5" t="s">
        <v>240</v>
      </c>
      <c r="D109" s="5" t="s">
        <v>7</v>
      </c>
      <c r="E109" s="5" t="s">
        <v>18</v>
      </c>
      <c r="F109" s="5" t="s">
        <v>457</v>
      </c>
      <c r="G109" s="5" t="s">
        <v>144</v>
      </c>
      <c r="H109" s="12">
        <v>30280673</v>
      </c>
      <c r="I109" s="42" t="str">
        <f t="shared" si="61"/>
        <v>30280673-EJECUCION</v>
      </c>
      <c r="J109" s="12" t="s">
        <v>714</v>
      </c>
      <c r="K109" s="307" t="str">
        <f t="shared" si="62"/>
        <v>30280673</v>
      </c>
      <c r="L109" s="15" t="s">
        <v>499</v>
      </c>
      <c r="M109" s="23">
        <v>325967000</v>
      </c>
      <c r="N109" s="34">
        <v>0</v>
      </c>
      <c r="O109" s="34">
        <v>16298350</v>
      </c>
      <c r="P109" s="310">
        <v>0</v>
      </c>
      <c r="Q109" s="34">
        <v>0</v>
      </c>
      <c r="R109" s="308">
        <v>0</v>
      </c>
      <c r="S109" s="34">
        <f t="shared" si="63"/>
        <v>0</v>
      </c>
      <c r="T109" s="34">
        <v>0</v>
      </c>
      <c r="U109" s="34">
        <v>0</v>
      </c>
      <c r="V109" s="34">
        <f>P109+Q109+R109+T109+U109</f>
        <v>0</v>
      </c>
      <c r="W109" s="34">
        <f>O109-V109</f>
        <v>16298350</v>
      </c>
      <c r="X109" s="34">
        <f>M109-(N109+O109)</f>
        <v>309668650</v>
      </c>
      <c r="Y109" s="48" t="s">
        <v>246</v>
      </c>
      <c r="Z109" s="48" t="s">
        <v>357</v>
      </c>
      <c r="AA109" s="2" t="e">
        <v>#N/A</v>
      </c>
      <c r="AB109" s="2" t="e">
        <f>VLOOKUP(H109,#REF!,2,FALSE)</f>
        <v>#REF!</v>
      </c>
      <c r="AC109" s="2" t="e">
        <f>VLOOKUP(I109,#REF!,2,FALSE)</f>
        <v>#REF!</v>
      </c>
      <c r="AD109" s="2" t="e">
        <f>VLOOKUP(H109,#REF!,13,FALSE)</f>
        <v>#REF!</v>
      </c>
      <c r="AE109" s="2" t="e">
        <f>VLOOKUP(I109,#REF!,7,FALSE)</f>
        <v>#REF!</v>
      </c>
      <c r="AF109" s="2">
        <v>25</v>
      </c>
      <c r="AG109" s="2" t="e">
        <f>VLOOKUP(H109,#REF!,13,FALSE)</f>
        <v>#REF!</v>
      </c>
      <c r="AH109" s="2" t="e">
        <f>VLOOKUP(I109,#REF!,2,FALSE)</f>
        <v>#REF!</v>
      </c>
      <c r="AJ109" s="185" t="e">
        <f>VLOOKUP(H109,#REF!,3,FALSE)</f>
        <v>#REF!</v>
      </c>
      <c r="AK109" s="185"/>
      <c r="AL109" s="185" t="e">
        <f>VLOOKUP(H109,#REF!,13,FALSE)</f>
        <v>#REF!</v>
      </c>
      <c r="AM109" s="185" t="e">
        <f>VLOOKUP(CLEAN(H109),#REF!,7,FALSE)</f>
        <v>#REF!</v>
      </c>
      <c r="AN109" s="2" t="e">
        <f>VLOOKUP(H109,#REF!,8,FALSE)</f>
        <v>#REF!</v>
      </c>
      <c r="AO109" s="189" t="e">
        <f>VLOOKUP(H109,#REF!,2,FALSE)</f>
        <v>#REF!</v>
      </c>
      <c r="AP109" s="189" t="e">
        <f>VLOOKUP(H109,#REF!,2,FALSE)</f>
        <v>#REF!</v>
      </c>
      <c r="AQ109" s="189"/>
      <c r="AR109" s="2" t="e">
        <f>VLOOKUP(CLEAN(H109),#REF!,2,FALSE)</f>
        <v>#REF!</v>
      </c>
      <c r="AT109" s="2" t="e">
        <f>VLOOKUP(H109,#REF!,13,FALSE)</f>
        <v>#REF!</v>
      </c>
      <c r="AU109" s="2" t="e">
        <f>VLOOKUP(H109,#REF!,13,FALSE)</f>
        <v>#REF!</v>
      </c>
      <c r="AV109" s="2" t="e">
        <f>VLOOKUP(H109,#REF!,13,FALSE)</f>
        <v>#REF!</v>
      </c>
      <c r="AW109" s="2" t="e">
        <f>VLOOKUP(H109,#REF!,13,FALSE)</f>
        <v>#REF!</v>
      </c>
      <c r="AX109" s="2" t="e">
        <f>VLOOKUP(H109,#REF!,9,FALSE)</f>
        <v>#REF!</v>
      </c>
      <c r="AZ109" s="2" t="e">
        <f>VLOOKUP(H109,#REF!,2,FALSE)</f>
        <v>#REF!</v>
      </c>
      <c r="BF109" s="189" t="e">
        <f>VLOOKUP(CLEAN(H109),#REF!,2,FALSE)</f>
        <v>#REF!</v>
      </c>
      <c r="BG109" s="189" t="e">
        <f>T109-BF109</f>
        <v>#REF!</v>
      </c>
      <c r="BO109" s="2" t="e">
        <f>VLOOKUP(H109,#REF!,13,FALSE)</f>
        <v>#REF!</v>
      </c>
      <c r="BP109" s="2" t="e">
        <f>VLOOKUP(H109,#REF!,2,FALSE)</f>
        <v>#REF!</v>
      </c>
      <c r="BQ109" s="2" t="e">
        <f>VLOOKUP(H109,#REF!,13,FALSE)</f>
        <v>#REF!</v>
      </c>
      <c r="BR109" s="2" t="e">
        <f>VLOOKUP(H109,#REF!,3,FALSE)</f>
        <v>#REF!</v>
      </c>
    </row>
    <row r="110" spans="1:70" ht="15" customHeight="1" outlineLevel="2">
      <c r="A110" s="7"/>
      <c r="B110" s="7"/>
      <c r="C110" s="7"/>
      <c r="D110" s="7"/>
      <c r="E110" s="7"/>
      <c r="F110" s="7"/>
      <c r="G110" s="7"/>
      <c r="H110" s="11"/>
      <c r="I110" s="11"/>
      <c r="J110" s="11"/>
      <c r="K110" s="11"/>
      <c r="L110" s="17" t="s">
        <v>693</v>
      </c>
      <c r="M110" s="27">
        <f t="shared" ref="M110:X110" si="64">SUBTOTAL(9,M107:M109)</f>
        <v>821782000</v>
      </c>
      <c r="N110" s="27">
        <f t="shared" si="64"/>
        <v>0</v>
      </c>
      <c r="O110" s="27">
        <f t="shared" si="64"/>
        <v>41089100</v>
      </c>
      <c r="P110" s="24">
        <f t="shared" si="64"/>
        <v>0</v>
      </c>
      <c r="Q110" s="24">
        <f t="shared" si="64"/>
        <v>0</v>
      </c>
      <c r="R110" s="24">
        <f t="shared" si="64"/>
        <v>0</v>
      </c>
      <c r="S110" s="27">
        <f t="shared" si="64"/>
        <v>0</v>
      </c>
      <c r="T110" s="27">
        <f t="shared" si="64"/>
        <v>0</v>
      </c>
      <c r="U110" s="27">
        <f t="shared" si="64"/>
        <v>0</v>
      </c>
      <c r="V110" s="27">
        <f t="shared" si="64"/>
        <v>0</v>
      </c>
      <c r="W110" s="27">
        <f t="shared" si="64"/>
        <v>41089100</v>
      </c>
      <c r="X110" s="27">
        <f t="shared" si="64"/>
        <v>780692900</v>
      </c>
      <c r="Y110" s="47"/>
      <c r="Z110" s="47"/>
      <c r="AM110" s="185" t="e">
        <f>VLOOKUP(CLEAN(H110),#REF!,7,FALSE)</f>
        <v>#REF!</v>
      </c>
      <c r="AO110"/>
      <c r="AP110"/>
      <c r="AQ110"/>
      <c r="AR110" s="2" t="e">
        <f>VLOOKUP(CLEAN(H110),#REF!,2,FALSE)</f>
        <v>#REF!</v>
      </c>
      <c r="AZ110" s="2" t="e">
        <f>VLOOKUP(H110,#REF!,2,FALSE)</f>
        <v>#REF!</v>
      </c>
      <c r="BO110" s="2" t="e">
        <f>VLOOKUP(H110,#REF!,13,FALSE)</f>
        <v>#REF!</v>
      </c>
      <c r="BQ110" s="2" t="e">
        <f>VLOOKUP(H110,#REF!,13,FALSE)</f>
        <v>#REF!</v>
      </c>
    </row>
    <row r="111" spans="1:70" ht="15" customHeight="1" outlineLevel="2">
      <c r="A111" s="7"/>
      <c r="B111" s="7"/>
      <c r="C111" s="7"/>
      <c r="D111" s="7"/>
      <c r="E111" s="7"/>
      <c r="F111" s="7"/>
      <c r="G111" s="7"/>
      <c r="H111" s="11"/>
      <c r="I111" s="11"/>
      <c r="J111" s="11"/>
      <c r="K111" s="11"/>
      <c r="L111" s="292"/>
      <c r="M111" s="22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47"/>
      <c r="Z111" s="47"/>
      <c r="AM111" s="185" t="e">
        <f>VLOOKUP(CLEAN(H111),#REF!,7,FALSE)</f>
        <v>#REF!</v>
      </c>
      <c r="AO111"/>
      <c r="AP111"/>
      <c r="AQ111"/>
      <c r="AR111" s="2" t="e">
        <f>VLOOKUP(CLEAN(H111),#REF!,2,FALSE)</f>
        <v>#REF!</v>
      </c>
      <c r="AZ111" s="2" t="e">
        <f>VLOOKUP(H111,#REF!,2,FALSE)</f>
        <v>#REF!</v>
      </c>
      <c r="BO111" s="2" t="e">
        <f>VLOOKUP(H111,#REF!,13,FALSE)</f>
        <v>#REF!</v>
      </c>
      <c r="BP111" s="293"/>
      <c r="BQ111" s="2" t="e">
        <f>VLOOKUP(H111,#REF!,13,FALSE)</f>
        <v>#REF!</v>
      </c>
    </row>
    <row r="112" spans="1:70" ht="18.75" customHeight="1" outlineLevel="1">
      <c r="A112" s="7"/>
      <c r="B112" s="7"/>
      <c r="C112" s="7"/>
      <c r="D112" s="7"/>
      <c r="E112" s="8"/>
      <c r="F112" s="7"/>
      <c r="G112" s="7"/>
      <c r="H112" s="11"/>
      <c r="I112" s="11"/>
      <c r="J112" s="11"/>
      <c r="K112" s="11"/>
      <c r="L112" s="45" t="s">
        <v>152</v>
      </c>
      <c r="M112" s="46">
        <f t="shared" ref="M112:X112" si="65">M110+M104</f>
        <v>1323657324</v>
      </c>
      <c r="N112" s="46">
        <f t="shared" si="65"/>
        <v>32463865</v>
      </c>
      <c r="O112" s="46">
        <f t="shared" si="65"/>
        <v>317296559</v>
      </c>
      <c r="P112" s="46">
        <f t="shared" si="65"/>
        <v>0</v>
      </c>
      <c r="Q112" s="46">
        <f t="shared" si="65"/>
        <v>0</v>
      </c>
      <c r="R112" s="46">
        <f t="shared" si="65"/>
        <v>16436249</v>
      </c>
      <c r="S112" s="46">
        <f t="shared" si="65"/>
        <v>16436249</v>
      </c>
      <c r="T112" s="46">
        <f t="shared" si="65"/>
        <v>12778811</v>
      </c>
      <c r="U112" s="46">
        <f t="shared" si="65"/>
        <v>38209982</v>
      </c>
      <c r="V112" s="46">
        <f t="shared" si="65"/>
        <v>67425042</v>
      </c>
      <c r="W112" s="46">
        <f t="shared" si="65"/>
        <v>249871517</v>
      </c>
      <c r="X112" s="46">
        <f t="shared" si="65"/>
        <v>973896900</v>
      </c>
      <c r="Y112" s="47"/>
      <c r="Z112" s="47"/>
      <c r="AM112" s="185" t="e">
        <f>VLOOKUP(CLEAN(H112),#REF!,7,FALSE)</f>
        <v>#REF!</v>
      </c>
      <c r="AO112"/>
      <c r="AP112"/>
      <c r="AQ112"/>
      <c r="AR112" s="2" t="e">
        <f>VLOOKUP(CLEAN(H112),#REF!,2,FALSE)</f>
        <v>#REF!</v>
      </c>
      <c r="AZ112" s="2" t="e">
        <f>VLOOKUP(H112,#REF!,2,FALSE)</f>
        <v>#REF!</v>
      </c>
      <c r="BO112" s="2" t="e">
        <f>VLOOKUP(H112,#REF!,13,FALSE)</f>
        <v>#REF!</v>
      </c>
      <c r="BQ112" s="2" t="e">
        <f>VLOOKUP(H112,#REF!,13,FALSE)</f>
        <v>#REF!</v>
      </c>
    </row>
    <row r="113" spans="1:70" s="3" customFormat="1" ht="15" customHeight="1" outlineLevel="1">
      <c r="A113" s="7"/>
      <c r="B113" s="7"/>
      <c r="C113" s="7"/>
      <c r="D113" s="7"/>
      <c r="E113" s="8"/>
      <c r="F113" s="7"/>
      <c r="G113" s="7"/>
      <c r="H113" s="11"/>
      <c r="I113" s="11"/>
      <c r="J113" s="11"/>
      <c r="K113" s="11"/>
      <c r="L113" s="294"/>
      <c r="M113" s="26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47"/>
      <c r="Z113" s="47"/>
      <c r="AJ113" s="186"/>
      <c r="AK113" s="186"/>
      <c r="AL113" s="186"/>
      <c r="AM113" s="185" t="e">
        <f>VLOOKUP(CLEAN(H113),#REF!,7,FALSE)</f>
        <v>#REF!</v>
      </c>
      <c r="AR113" s="2" t="e">
        <f>VLOOKUP(CLEAN(H113),#REF!,2,FALSE)</f>
        <v>#REF!</v>
      </c>
      <c r="AZ113" s="2" t="e">
        <f>VLOOKUP(H113,#REF!,2,FALSE)</f>
        <v>#REF!</v>
      </c>
      <c r="BF113" s="193"/>
      <c r="BO113" s="2" t="e">
        <f>VLOOKUP(H113,#REF!,13,FALSE)</f>
        <v>#REF!</v>
      </c>
      <c r="BP113" s="7"/>
      <c r="BQ113" s="2" t="e">
        <f>VLOOKUP(H113,#REF!,13,FALSE)</f>
        <v>#REF!</v>
      </c>
    </row>
    <row r="114" spans="1:70" ht="26.25" customHeight="1" outlineLevel="1">
      <c r="A114" s="7"/>
      <c r="B114" s="7"/>
      <c r="C114" s="7"/>
      <c r="D114" s="7"/>
      <c r="E114" s="8"/>
      <c r="F114" s="7"/>
      <c r="G114" s="7"/>
      <c r="H114" s="11"/>
      <c r="I114" s="11"/>
      <c r="J114" s="11"/>
      <c r="K114" s="11"/>
      <c r="L114" s="57" t="s">
        <v>181</v>
      </c>
      <c r="M114" s="26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47"/>
      <c r="Z114" s="47"/>
      <c r="AM114" s="185" t="e">
        <f>VLOOKUP(CLEAN(H114),#REF!,7,FALSE)</f>
        <v>#REF!</v>
      </c>
      <c r="AO114"/>
      <c r="AP114"/>
      <c r="AQ114"/>
      <c r="AR114" s="2" t="e">
        <f>VLOOKUP(CLEAN(H114),#REF!,2,FALSE)</f>
        <v>#REF!</v>
      </c>
      <c r="AZ114" s="2" t="e">
        <f>VLOOKUP(H114,#REF!,2,FALSE)</f>
        <v>#REF!</v>
      </c>
      <c r="BO114" s="2" t="e">
        <f>VLOOKUP(H114,#REF!,13,FALSE)</f>
        <v>#REF!</v>
      </c>
      <c r="BQ114" s="2" t="e">
        <f>VLOOKUP(H114,#REF!,13,FALSE)</f>
        <v>#REF!</v>
      </c>
    </row>
    <row r="115" spans="1:70" ht="15" customHeight="1" outlineLevel="1">
      <c r="A115" s="7"/>
      <c r="B115" s="7"/>
      <c r="C115" s="7"/>
      <c r="D115" s="7"/>
      <c r="E115" s="8"/>
      <c r="F115" s="7"/>
      <c r="G115" s="7"/>
      <c r="H115" s="11"/>
      <c r="I115" s="11"/>
      <c r="J115" s="11"/>
      <c r="K115" s="11"/>
      <c r="L115" s="18" t="s">
        <v>695</v>
      </c>
      <c r="M115" s="26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49"/>
      <c r="Z115" s="49"/>
      <c r="AM115" s="185" t="e">
        <f>VLOOKUP(CLEAN(H115),#REF!,7,FALSE)</f>
        <v>#REF!</v>
      </c>
      <c r="AO115"/>
      <c r="AP115"/>
      <c r="AQ115"/>
      <c r="AR115" s="2" t="e">
        <f>VLOOKUP(CLEAN(H115),#REF!,2,FALSE)</f>
        <v>#REF!</v>
      </c>
      <c r="AZ115" s="2" t="e">
        <f>VLOOKUP(H115,#REF!,2,FALSE)</f>
        <v>#REF!</v>
      </c>
      <c r="BO115" s="2" t="e">
        <f>VLOOKUP(H115,#REF!,13,FALSE)</f>
        <v>#REF!</v>
      </c>
      <c r="BQ115" s="2" t="e">
        <f>VLOOKUP(H115,#REF!,13,FALSE)</f>
        <v>#REF!</v>
      </c>
    </row>
    <row r="116" spans="1:70" s="2" customFormat="1" ht="15" customHeight="1" outlineLevel="2">
      <c r="A116" s="5">
        <v>31</v>
      </c>
      <c r="B116" s="5" t="s">
        <v>5</v>
      </c>
      <c r="C116" s="5" t="s">
        <v>253</v>
      </c>
      <c r="D116" s="5" t="s">
        <v>7</v>
      </c>
      <c r="E116" s="5" t="s">
        <v>254</v>
      </c>
      <c r="F116" s="5" t="s">
        <v>89</v>
      </c>
      <c r="G116" s="5" t="s">
        <v>144</v>
      </c>
      <c r="H116" s="12">
        <v>30269724</v>
      </c>
      <c r="I116" s="42" t="str">
        <f>CONCATENATE(H116,"-",G116)</f>
        <v>30269724-EJECUCION</v>
      </c>
      <c r="J116" s="12"/>
      <c r="K116" s="307" t="str">
        <f>CLEAN(H116)</f>
        <v>30269724</v>
      </c>
      <c r="L116" s="5" t="s">
        <v>471</v>
      </c>
      <c r="M116" s="23">
        <v>1154269824</v>
      </c>
      <c r="N116" s="34">
        <v>1138036824</v>
      </c>
      <c r="O116" s="34">
        <v>0</v>
      </c>
      <c r="P116" s="310">
        <v>0</v>
      </c>
      <c r="Q116" s="34">
        <v>0</v>
      </c>
      <c r="R116" s="308">
        <v>0</v>
      </c>
      <c r="S116" s="34">
        <f>P116+Q116+R116</f>
        <v>0</v>
      </c>
      <c r="T116" s="34">
        <v>0</v>
      </c>
      <c r="U116" s="34">
        <v>0</v>
      </c>
      <c r="V116" s="34">
        <f>P116+Q116+R116+T116+U116</f>
        <v>0</v>
      </c>
      <c r="W116" s="34">
        <f>O116-V116</f>
        <v>0</v>
      </c>
      <c r="X116" s="34">
        <f>M116-(N116+O116)</f>
        <v>16233000</v>
      </c>
      <c r="Y116" s="48" t="s">
        <v>239</v>
      </c>
      <c r="Z116" s="48" t="s">
        <v>8</v>
      </c>
      <c r="AA116" s="2" t="s">
        <v>849</v>
      </c>
      <c r="AB116" s="2" t="e">
        <f>VLOOKUP(H116,#REF!,2,FALSE)</f>
        <v>#REF!</v>
      </c>
      <c r="AC116" s="2" t="e">
        <f>VLOOKUP(I116,#REF!,2,FALSE)</f>
        <v>#REF!</v>
      </c>
      <c r="AD116" s="2" t="e">
        <f>VLOOKUP(H116,#REF!,13,FALSE)</f>
        <v>#REF!</v>
      </c>
      <c r="AE116" s="177" t="e">
        <f>VLOOKUP(I116,#REF!,7,FALSE)</f>
        <v>#REF!</v>
      </c>
      <c r="AF116" s="2">
        <v>25</v>
      </c>
      <c r="AG116" s="2" t="e">
        <f>VLOOKUP(H116,#REF!,13,FALSE)</f>
        <v>#REF!</v>
      </c>
      <c r="AH116" s="2" t="e">
        <f>VLOOKUP(I116,#REF!,2,FALSE)</f>
        <v>#REF!</v>
      </c>
      <c r="AJ116" s="185" t="e">
        <f>VLOOKUP(H116,#REF!,3,FALSE)</f>
        <v>#REF!</v>
      </c>
      <c r="AK116" s="185"/>
      <c r="AL116" s="185" t="e">
        <f>VLOOKUP(H116,#REF!,13,FALSE)</f>
        <v>#REF!</v>
      </c>
      <c r="AM116" s="185" t="e">
        <f>VLOOKUP(CLEAN(H116),#REF!,7,FALSE)</f>
        <v>#REF!</v>
      </c>
      <c r="AN116" s="2" t="e">
        <f>VLOOKUP(H116,#REF!,8,FALSE)</f>
        <v>#REF!</v>
      </c>
      <c r="AO116" s="189" t="e">
        <f>VLOOKUP(H116,#REF!,2,FALSE)</f>
        <v>#REF!</v>
      </c>
      <c r="AP116" s="189" t="e">
        <f>VLOOKUP(H116,#REF!,2,FALSE)</f>
        <v>#REF!</v>
      </c>
      <c r="AQ116" s="189"/>
      <c r="AR116" s="2" t="e">
        <f>VLOOKUP(CLEAN(H116),#REF!,2,FALSE)</f>
        <v>#REF!</v>
      </c>
      <c r="AT116" s="2" t="e">
        <f>VLOOKUP(H116,#REF!,13,FALSE)</f>
        <v>#REF!</v>
      </c>
      <c r="AU116" s="2" t="e">
        <f>VLOOKUP(H116,#REF!,13,FALSE)</f>
        <v>#REF!</v>
      </c>
      <c r="AV116" s="2" t="e">
        <f>VLOOKUP(H116,#REF!,13,FALSE)</f>
        <v>#REF!</v>
      </c>
      <c r="AW116" s="2" t="e">
        <f>VLOOKUP(H116,#REF!,13,FALSE)</f>
        <v>#REF!</v>
      </c>
      <c r="AX116" s="2" t="e">
        <f>VLOOKUP(H116,#REF!,9,FALSE)</f>
        <v>#REF!</v>
      </c>
      <c r="AZ116" s="2" t="e">
        <f>VLOOKUP(H116,#REF!,2,FALSE)</f>
        <v>#REF!</v>
      </c>
      <c r="BF116" s="189" t="e">
        <f>VLOOKUP(CLEAN(H116),#REF!,2,FALSE)</f>
        <v>#REF!</v>
      </c>
      <c r="BG116" s="189" t="e">
        <f>T116-BF116</f>
        <v>#REF!</v>
      </c>
      <c r="BO116" s="2" t="e">
        <f>VLOOKUP(H116,#REF!,13,FALSE)</f>
        <v>#REF!</v>
      </c>
      <c r="BP116" s="2" t="e">
        <f>VLOOKUP(H116,#REF!,2,FALSE)</f>
        <v>#REF!</v>
      </c>
      <c r="BQ116" s="2" t="e">
        <f>VLOOKUP(H116,#REF!,13,FALSE)</f>
        <v>#REF!</v>
      </c>
      <c r="BR116" s="2" t="e">
        <f>VLOOKUP(H116,#REF!,3,FALSE)</f>
        <v>#REF!</v>
      </c>
    </row>
    <row r="117" spans="1:70" ht="15" customHeight="1" outlineLevel="2">
      <c r="A117" s="7"/>
      <c r="B117" s="7"/>
      <c r="C117" s="7"/>
      <c r="D117" s="7"/>
      <c r="E117" s="7"/>
      <c r="F117" s="7"/>
      <c r="G117" s="7"/>
      <c r="H117" s="11"/>
      <c r="I117" s="11"/>
      <c r="J117" s="11"/>
      <c r="K117" s="11"/>
      <c r="L117" s="17" t="s">
        <v>691</v>
      </c>
      <c r="M117" s="27">
        <f t="shared" ref="M117:X117" si="66">SUBTOTAL(9,M116:M116)</f>
        <v>1154269824</v>
      </c>
      <c r="N117" s="27">
        <f t="shared" si="66"/>
        <v>1138036824</v>
      </c>
      <c r="O117" s="27">
        <f t="shared" si="66"/>
        <v>0</v>
      </c>
      <c r="P117" s="27">
        <f t="shared" si="66"/>
        <v>0</v>
      </c>
      <c r="Q117" s="27">
        <f t="shared" si="66"/>
        <v>0</v>
      </c>
      <c r="R117" s="27">
        <f t="shared" si="66"/>
        <v>0</v>
      </c>
      <c r="S117" s="27">
        <f t="shared" si="66"/>
        <v>0</v>
      </c>
      <c r="T117" s="27">
        <f t="shared" si="66"/>
        <v>0</v>
      </c>
      <c r="U117" s="27">
        <f t="shared" si="66"/>
        <v>0</v>
      </c>
      <c r="V117" s="27">
        <f t="shared" si="66"/>
        <v>0</v>
      </c>
      <c r="W117" s="27">
        <f t="shared" si="66"/>
        <v>0</v>
      </c>
      <c r="X117" s="27">
        <f t="shared" si="66"/>
        <v>16233000</v>
      </c>
      <c r="Y117" s="47"/>
      <c r="Z117" s="47"/>
      <c r="AM117" s="185" t="e">
        <f>VLOOKUP(CLEAN(H117),#REF!,7,FALSE)</f>
        <v>#REF!</v>
      </c>
      <c r="AO117"/>
      <c r="AP117"/>
      <c r="AQ117"/>
      <c r="AR117" s="2" t="e">
        <f>VLOOKUP(CLEAN(H117),#REF!,2,FALSE)</f>
        <v>#REF!</v>
      </c>
      <c r="AZ117" s="2" t="e">
        <f>VLOOKUP(H117,#REF!,2,FALSE)</f>
        <v>#REF!</v>
      </c>
      <c r="BO117" s="2" t="e">
        <f>VLOOKUP(H117,#REF!,13,FALSE)</f>
        <v>#REF!</v>
      </c>
      <c r="BQ117" s="2" t="e">
        <f>VLOOKUP(H117,#REF!,13,FALSE)</f>
        <v>#REF!</v>
      </c>
    </row>
    <row r="118" spans="1:70" ht="15" customHeight="1" outlineLevel="2">
      <c r="A118" s="7"/>
      <c r="B118" s="7"/>
      <c r="C118" s="7"/>
      <c r="D118" s="7"/>
      <c r="E118" s="7"/>
      <c r="F118" s="7"/>
      <c r="G118" s="7"/>
      <c r="H118" s="11"/>
      <c r="I118" s="11"/>
      <c r="J118" s="11"/>
      <c r="K118" s="11"/>
      <c r="L118" s="292"/>
      <c r="M118" s="22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47"/>
      <c r="Z118" s="47"/>
      <c r="AM118" s="185" t="e">
        <f>VLOOKUP(CLEAN(H118),#REF!,7,FALSE)</f>
        <v>#REF!</v>
      </c>
      <c r="AO118"/>
      <c r="AP118"/>
      <c r="AQ118"/>
      <c r="AR118" s="2" t="e">
        <f>VLOOKUP(CLEAN(H118),#REF!,2,FALSE)</f>
        <v>#REF!</v>
      </c>
      <c r="AZ118" s="2" t="e">
        <f>VLOOKUP(H118,#REF!,2,FALSE)</f>
        <v>#REF!</v>
      </c>
      <c r="BO118" s="2" t="e">
        <f>VLOOKUP(H118,#REF!,13,FALSE)</f>
        <v>#REF!</v>
      </c>
      <c r="BP118" s="293"/>
      <c r="BQ118" s="2" t="e">
        <f>VLOOKUP(H118,#REF!,13,FALSE)</f>
        <v>#REF!</v>
      </c>
    </row>
    <row r="119" spans="1:70" ht="15" customHeight="1" outlineLevel="2">
      <c r="A119" s="7"/>
      <c r="B119" s="7"/>
      <c r="C119" s="7"/>
      <c r="D119" s="7"/>
      <c r="E119" s="7"/>
      <c r="F119" s="7"/>
      <c r="G119" s="7"/>
      <c r="H119" s="11"/>
      <c r="I119" s="11"/>
      <c r="J119" s="11"/>
      <c r="K119" s="11"/>
      <c r="L119" s="18" t="s">
        <v>698</v>
      </c>
      <c r="M119" s="22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47"/>
      <c r="Z119" s="47"/>
      <c r="AO119"/>
      <c r="AP119"/>
      <c r="AQ119"/>
      <c r="AR119" s="2" t="e">
        <f>VLOOKUP(CLEAN(H119),#REF!,2,FALSE)</f>
        <v>#REF!</v>
      </c>
      <c r="AZ119" s="2" t="e">
        <f>VLOOKUP(H119,#REF!,2,FALSE)</f>
        <v>#REF!</v>
      </c>
      <c r="BO119" s="2" t="e">
        <f>VLOOKUP(H119,#REF!,13,FALSE)</f>
        <v>#REF!</v>
      </c>
      <c r="BQ119" s="2" t="e">
        <f>VLOOKUP(H119,#REF!,13,FALSE)</f>
        <v>#REF!</v>
      </c>
    </row>
    <row r="120" spans="1:70" s="2" customFormat="1" ht="15" customHeight="1" outlineLevel="2">
      <c r="A120" s="5">
        <v>31</v>
      </c>
      <c r="B120" s="5" t="s">
        <v>5</v>
      </c>
      <c r="C120" s="5" t="s">
        <v>238</v>
      </c>
      <c r="D120" s="5" t="s">
        <v>7</v>
      </c>
      <c r="E120" s="5" t="s">
        <v>254</v>
      </c>
      <c r="F120" s="5" t="s">
        <v>6</v>
      </c>
      <c r="G120" s="5" t="s">
        <v>144</v>
      </c>
      <c r="H120" s="12">
        <v>30110580</v>
      </c>
      <c r="I120" s="42" t="str">
        <f t="shared" ref="I120:I121" si="67">CONCATENATE(H120,"-",G120)</f>
        <v>30110580-EJECUCION</v>
      </c>
      <c r="J120" s="12"/>
      <c r="K120" s="307" t="str">
        <f t="shared" ref="K120:K121" si="68">CLEAN(H120)</f>
        <v>30110580</v>
      </c>
      <c r="L120" s="15" t="s">
        <v>49</v>
      </c>
      <c r="M120" s="23">
        <v>2735592418</v>
      </c>
      <c r="N120" s="34">
        <v>55971432</v>
      </c>
      <c r="O120" s="34">
        <f>900000000-74519000</f>
        <v>825481000</v>
      </c>
      <c r="P120" s="310">
        <v>0</v>
      </c>
      <c r="Q120" s="34">
        <v>0</v>
      </c>
      <c r="R120" s="308">
        <v>0</v>
      </c>
      <c r="S120" s="34">
        <f t="shared" ref="S120:S121" si="69">P120+Q120+R120</f>
        <v>0</v>
      </c>
      <c r="T120" s="34">
        <v>0</v>
      </c>
      <c r="U120" s="34">
        <v>0</v>
      </c>
      <c r="V120" s="34">
        <f>P120+Q120+R120+T120+U120</f>
        <v>0</v>
      </c>
      <c r="W120" s="34">
        <f>O120-V120</f>
        <v>825481000</v>
      </c>
      <c r="X120" s="34">
        <f>M120-(N120+O120)</f>
        <v>1854139986</v>
      </c>
      <c r="Y120" s="48" t="s">
        <v>649</v>
      </c>
      <c r="Z120" s="48" t="s">
        <v>8</v>
      </c>
      <c r="AA120" s="2" t="s">
        <v>848</v>
      </c>
      <c r="AB120" s="2" t="e">
        <f>VLOOKUP(H120,#REF!,2,FALSE)</f>
        <v>#REF!</v>
      </c>
      <c r="AC120" s="2" t="e">
        <f>VLOOKUP(I120,#REF!,2,FALSE)</f>
        <v>#REF!</v>
      </c>
      <c r="AD120" s="2" t="e">
        <f>VLOOKUP(H120,#REF!,13,FALSE)</f>
        <v>#REF!</v>
      </c>
      <c r="AE120" s="2" t="e">
        <f>VLOOKUP(I120,#REF!,7,FALSE)</f>
        <v>#REF!</v>
      </c>
      <c r="AF120" s="2">
        <v>25</v>
      </c>
      <c r="AG120" s="2" t="e">
        <f>VLOOKUP(H120,#REF!,13,FALSE)</f>
        <v>#REF!</v>
      </c>
      <c r="AH120" s="2" t="e">
        <f>VLOOKUP(I120,#REF!,2,FALSE)</f>
        <v>#REF!</v>
      </c>
      <c r="AJ120" s="185" t="e">
        <f>VLOOKUP(H120,#REF!,3,FALSE)</f>
        <v>#REF!</v>
      </c>
      <c r="AK120" s="185"/>
      <c r="AL120" s="185" t="e">
        <f>VLOOKUP(H120,#REF!,13,FALSE)</f>
        <v>#REF!</v>
      </c>
      <c r="AM120" s="185" t="e">
        <f>VLOOKUP(CLEAN(H120),#REF!,7,FALSE)</f>
        <v>#REF!</v>
      </c>
      <c r="AN120" s="2" t="e">
        <f>VLOOKUP(H120,#REF!,8,FALSE)</f>
        <v>#REF!</v>
      </c>
      <c r="AO120" s="189" t="e">
        <f>VLOOKUP(H120,#REF!,2,FALSE)</f>
        <v>#REF!</v>
      </c>
      <c r="AP120" s="189" t="e">
        <f>VLOOKUP(H120,#REF!,2,FALSE)</f>
        <v>#REF!</v>
      </c>
      <c r="AQ120" s="189"/>
      <c r="AR120" s="2" t="e">
        <f>VLOOKUP(CLEAN(H120),#REF!,2,FALSE)</f>
        <v>#REF!</v>
      </c>
      <c r="AT120" s="2" t="e">
        <f>VLOOKUP(H120,#REF!,13,FALSE)</f>
        <v>#REF!</v>
      </c>
      <c r="AU120" s="2" t="e">
        <f>VLOOKUP(H120,#REF!,13,FALSE)</f>
        <v>#REF!</v>
      </c>
      <c r="AV120" s="2" t="e">
        <f>VLOOKUP(H120,#REF!,13,FALSE)</f>
        <v>#REF!</v>
      </c>
      <c r="AW120" s="2" t="e">
        <f>VLOOKUP(H120,#REF!,13,FALSE)</f>
        <v>#REF!</v>
      </c>
      <c r="AX120" s="2" t="e">
        <f>VLOOKUP(H120,#REF!,9,FALSE)</f>
        <v>#REF!</v>
      </c>
      <c r="AZ120" s="189" t="e">
        <f>VLOOKUP(H120,#REF!,2,FALSE)</f>
        <v>#REF!</v>
      </c>
      <c r="BF120" s="189" t="e">
        <f>VLOOKUP(CLEAN(H120),#REF!,2,FALSE)</f>
        <v>#REF!</v>
      </c>
      <c r="BG120" s="189" t="e">
        <f>T120-BF120</f>
        <v>#REF!</v>
      </c>
      <c r="BO120" s="2" t="e">
        <f>VLOOKUP(H120,#REF!,13,FALSE)</f>
        <v>#REF!</v>
      </c>
      <c r="BP120" s="2" t="e">
        <f>VLOOKUP(H120,#REF!,2,FALSE)</f>
        <v>#REF!</v>
      </c>
      <c r="BQ120" s="2" t="e">
        <f>VLOOKUP(H120,#REF!,13,FALSE)</f>
        <v>#REF!</v>
      </c>
      <c r="BR120" s="2" t="e">
        <f>VLOOKUP(H120,#REF!,3,FALSE)</f>
        <v>#REF!</v>
      </c>
    </row>
    <row r="121" spans="1:70" s="2" customFormat="1" ht="15" customHeight="1" outlineLevel="2">
      <c r="A121" s="5">
        <v>29</v>
      </c>
      <c r="B121" s="5" t="s">
        <v>11</v>
      </c>
      <c r="C121" s="5" t="s">
        <v>251</v>
      </c>
      <c r="D121" s="5" t="s">
        <v>7</v>
      </c>
      <c r="E121" s="5" t="s">
        <v>254</v>
      </c>
      <c r="F121" s="5" t="s">
        <v>457</v>
      </c>
      <c r="G121" s="5" t="s">
        <v>144</v>
      </c>
      <c r="H121" s="12">
        <v>40001677</v>
      </c>
      <c r="I121" s="42" t="str">
        <f t="shared" si="67"/>
        <v>40001677-EJECUCION</v>
      </c>
      <c r="J121" s="12"/>
      <c r="K121" s="307" t="str">
        <f t="shared" si="68"/>
        <v>40001677</v>
      </c>
      <c r="L121" s="15" t="s">
        <v>633</v>
      </c>
      <c r="M121" s="23">
        <v>74519000</v>
      </c>
      <c r="N121" s="34">
        <v>0</v>
      </c>
      <c r="O121" s="34">
        <v>74519000</v>
      </c>
      <c r="P121" s="310">
        <v>0</v>
      </c>
      <c r="Q121" s="34">
        <v>0</v>
      </c>
      <c r="R121" s="308">
        <v>0</v>
      </c>
      <c r="S121" s="34">
        <f t="shared" si="69"/>
        <v>0</v>
      </c>
      <c r="T121" s="34">
        <v>0</v>
      </c>
      <c r="U121" s="34">
        <v>0</v>
      </c>
      <c r="V121" s="34">
        <f>P121+Q121+R121+T121+U121</f>
        <v>0</v>
      </c>
      <c r="W121" s="34">
        <f>O121-V121</f>
        <v>74519000</v>
      </c>
      <c r="X121" s="34">
        <f>M121-(N121+O121)</f>
        <v>0</v>
      </c>
      <c r="Y121" s="48" t="s">
        <v>460</v>
      </c>
      <c r="Z121" s="48" t="s">
        <v>10</v>
      </c>
      <c r="AA121" s="2" t="e">
        <v>#N/A</v>
      </c>
      <c r="AB121" s="2" t="e">
        <f>VLOOKUP(H121,#REF!,2,FALSE)</f>
        <v>#REF!</v>
      </c>
      <c r="AD121" s="2" t="e">
        <f>VLOOKUP(H121,#REF!,13,FALSE)</f>
        <v>#REF!</v>
      </c>
      <c r="AE121" s="2" t="e">
        <f>VLOOKUP(I121,#REF!,7,FALSE)</f>
        <v>#REF!</v>
      </c>
      <c r="AF121" s="2">
        <v>25</v>
      </c>
      <c r="AG121" s="2" t="e">
        <f>VLOOKUP(H121,#REF!,13,FALSE)</f>
        <v>#REF!</v>
      </c>
      <c r="AH121" s="2" t="e">
        <f>VLOOKUP(I121,#REF!,2,FALSE)</f>
        <v>#REF!</v>
      </c>
      <c r="AJ121" s="2" t="e">
        <f>VLOOKUP(H121,#REF!,3,FALSE)</f>
        <v>#REF!</v>
      </c>
      <c r="AL121" s="2" t="e">
        <f>VLOOKUP(H121,#REF!,13,FALSE)</f>
        <v>#REF!</v>
      </c>
      <c r="AM121" s="2" t="e">
        <f>VLOOKUP(CLEAN(H121),#REF!,7,FALSE)</f>
        <v>#REF!</v>
      </c>
      <c r="AN121" s="2" t="e">
        <f>VLOOKUP(H121,#REF!,8,FALSE)</f>
        <v>#REF!</v>
      </c>
      <c r="AO121" s="189" t="e">
        <f>VLOOKUP(H121,#REF!,2,FALSE)</f>
        <v>#REF!</v>
      </c>
      <c r="AP121" s="189" t="e">
        <f>VLOOKUP(H121,#REF!,2,FALSE)</f>
        <v>#REF!</v>
      </c>
      <c r="AQ121" s="189"/>
      <c r="AR121" s="2" t="e">
        <f>VLOOKUP(CLEAN(H121),#REF!,2,FALSE)</f>
        <v>#REF!</v>
      </c>
      <c r="AT121" s="2" t="e">
        <f>VLOOKUP(H121,#REF!,13,FALSE)</f>
        <v>#REF!</v>
      </c>
      <c r="AU121" s="2" t="e">
        <f>VLOOKUP(H121,#REF!,13,FALSE)</f>
        <v>#REF!</v>
      </c>
      <c r="AV121" s="2" t="e">
        <f>VLOOKUP(H121,#REF!,13,FALSE)</f>
        <v>#REF!</v>
      </c>
      <c r="AW121" s="2" t="e">
        <f>VLOOKUP(H121,#REF!,13,FALSE)</f>
        <v>#REF!</v>
      </c>
      <c r="AX121" s="2" t="e">
        <f>VLOOKUP(H121,#REF!,9,FALSE)</f>
        <v>#REF!</v>
      </c>
      <c r="AZ121" s="189" t="e">
        <f>VLOOKUP(H121,#REF!,2,FALSE)</f>
        <v>#REF!</v>
      </c>
      <c r="BF121" s="189" t="e">
        <f>VLOOKUP(CLEAN(H121),#REF!,2,FALSE)</f>
        <v>#REF!</v>
      </c>
      <c r="BG121" s="189" t="e">
        <f>T121-BF121</f>
        <v>#REF!</v>
      </c>
      <c r="BO121" s="2" t="e">
        <f>VLOOKUP(H121,#REF!,13,FALSE)</f>
        <v>#REF!</v>
      </c>
      <c r="BP121" s="2" t="e">
        <f>VLOOKUP(H121,#REF!,2,FALSE)</f>
        <v>#REF!</v>
      </c>
      <c r="BQ121" s="2" t="e">
        <f>VLOOKUP(H121,#REF!,13,FALSE)</f>
        <v>#REF!</v>
      </c>
      <c r="BR121" s="2" t="e">
        <f>VLOOKUP(H121,#REF!,3,FALSE)</f>
        <v>#REF!</v>
      </c>
    </row>
    <row r="122" spans="1:70" ht="15" customHeight="1" outlineLevel="2">
      <c r="A122" s="7"/>
      <c r="B122" s="7"/>
      <c r="C122" s="7"/>
      <c r="D122" s="7"/>
      <c r="E122" s="7"/>
      <c r="F122" s="7"/>
      <c r="G122" s="7"/>
      <c r="H122" s="11"/>
      <c r="I122" s="11"/>
      <c r="J122" s="11"/>
      <c r="K122" s="11"/>
      <c r="L122" s="17" t="s">
        <v>692</v>
      </c>
      <c r="M122" s="27">
        <f>SUBTOTAL(9,M120:M121)</f>
        <v>2810111418</v>
      </c>
      <c r="N122" s="27">
        <f t="shared" ref="N122:O122" si="70">SUBTOTAL(9,N120:N121)</f>
        <v>55971432</v>
      </c>
      <c r="O122" s="27">
        <f t="shared" si="70"/>
        <v>900000000</v>
      </c>
      <c r="P122" s="24">
        <f t="shared" ref="P122:X122" si="71">SUBTOTAL(9,P120:P121)</f>
        <v>0</v>
      </c>
      <c r="Q122" s="24">
        <f t="shared" si="71"/>
        <v>0</v>
      </c>
      <c r="R122" s="24">
        <f t="shared" si="71"/>
        <v>0</v>
      </c>
      <c r="S122" s="27">
        <f t="shared" si="71"/>
        <v>0</v>
      </c>
      <c r="T122" s="27">
        <f t="shared" si="71"/>
        <v>0</v>
      </c>
      <c r="U122" s="27">
        <f t="shared" si="71"/>
        <v>0</v>
      </c>
      <c r="V122" s="27">
        <f t="shared" si="71"/>
        <v>0</v>
      </c>
      <c r="W122" s="27">
        <f t="shared" si="71"/>
        <v>900000000</v>
      </c>
      <c r="X122" s="27">
        <f t="shared" si="71"/>
        <v>1854139986</v>
      </c>
      <c r="Y122" s="47"/>
      <c r="Z122" s="47"/>
      <c r="AO122"/>
      <c r="AP122"/>
      <c r="AQ122"/>
      <c r="AR122" s="2" t="e">
        <f>VLOOKUP(CLEAN(H122),#REF!,2,FALSE)</f>
        <v>#REF!</v>
      </c>
      <c r="AZ122" s="2" t="e">
        <f>VLOOKUP(H122,#REF!,2,FALSE)</f>
        <v>#REF!</v>
      </c>
      <c r="BO122" s="2" t="e">
        <f>VLOOKUP(H122,#REF!,13,FALSE)</f>
        <v>#REF!</v>
      </c>
      <c r="BQ122" s="2" t="e">
        <f>VLOOKUP(H122,#REF!,13,FALSE)</f>
        <v>#REF!</v>
      </c>
    </row>
    <row r="123" spans="1:70" ht="15" customHeight="1" outlineLevel="2">
      <c r="A123" s="7"/>
      <c r="B123" s="7"/>
      <c r="C123" s="7"/>
      <c r="D123" s="7"/>
      <c r="E123" s="7"/>
      <c r="F123" s="7"/>
      <c r="G123" s="7"/>
      <c r="H123" s="11"/>
      <c r="I123" s="11"/>
      <c r="J123" s="11"/>
      <c r="K123" s="11"/>
      <c r="L123" s="292"/>
      <c r="M123" s="22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47"/>
      <c r="Z123" s="47"/>
      <c r="AO123"/>
      <c r="AP123"/>
      <c r="AQ123"/>
      <c r="AR123" s="2" t="e">
        <f>VLOOKUP(CLEAN(H123),#REF!,2,FALSE)</f>
        <v>#REF!</v>
      </c>
      <c r="AZ123" s="2" t="e">
        <f>VLOOKUP(H123,#REF!,2,FALSE)</f>
        <v>#REF!</v>
      </c>
      <c r="BO123" s="2" t="e">
        <f>VLOOKUP(H123,#REF!,13,FALSE)</f>
        <v>#REF!</v>
      </c>
      <c r="BP123" s="293"/>
      <c r="BQ123" s="2" t="e">
        <f>VLOOKUP(H123,#REF!,13,FALSE)</f>
        <v>#REF!</v>
      </c>
    </row>
    <row r="124" spans="1:70" ht="15" customHeight="1" outlineLevel="2">
      <c r="A124" s="7"/>
      <c r="B124" s="7"/>
      <c r="C124" s="7"/>
      <c r="D124" s="7"/>
      <c r="E124" s="7"/>
      <c r="F124" s="7"/>
      <c r="G124" s="7"/>
      <c r="H124" s="11"/>
      <c r="I124" s="11"/>
      <c r="J124" s="11"/>
      <c r="K124" s="11"/>
      <c r="L124" s="18" t="s">
        <v>697</v>
      </c>
      <c r="M124" s="22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47"/>
      <c r="Z124" s="47"/>
      <c r="AO124"/>
      <c r="AP124"/>
      <c r="AQ124"/>
      <c r="AR124" s="2" t="e">
        <f>VLOOKUP(CLEAN(H124),#REF!,2,FALSE)</f>
        <v>#REF!</v>
      </c>
      <c r="AZ124" s="2" t="e">
        <f>VLOOKUP(H124,#REF!,2,FALSE)</f>
        <v>#REF!</v>
      </c>
      <c r="BO124" s="2" t="e">
        <f>VLOOKUP(H124,#REF!,13,FALSE)</f>
        <v>#REF!</v>
      </c>
      <c r="BQ124" s="2" t="e">
        <f>VLOOKUP(H124,#REF!,13,FALSE)</f>
        <v>#REF!</v>
      </c>
    </row>
    <row r="125" spans="1:70" s="2" customFormat="1" ht="15" customHeight="1" outlineLevel="2">
      <c r="A125" s="5">
        <v>31</v>
      </c>
      <c r="B125" s="5" t="s">
        <v>5</v>
      </c>
      <c r="C125" s="5" t="s">
        <v>240</v>
      </c>
      <c r="D125" s="5" t="s">
        <v>7</v>
      </c>
      <c r="E125" s="5" t="s">
        <v>254</v>
      </c>
      <c r="F125" s="5" t="s">
        <v>89</v>
      </c>
      <c r="G125" s="5" t="s">
        <v>144</v>
      </c>
      <c r="H125" s="12">
        <v>30135939</v>
      </c>
      <c r="I125" s="42" t="str">
        <f t="shared" ref="I125:I126" si="72">CONCATENATE(H125,"-",G125)</f>
        <v>30135939-EJECUCION</v>
      </c>
      <c r="J125" s="12" t="s">
        <v>715</v>
      </c>
      <c r="K125" s="307" t="str">
        <f t="shared" ref="K125:K126" si="73">CLEAN(H125)</f>
        <v>30135939</v>
      </c>
      <c r="L125" s="5" t="s">
        <v>472</v>
      </c>
      <c r="M125" s="23">
        <v>435711564</v>
      </c>
      <c r="N125" s="34">
        <v>435711564</v>
      </c>
      <c r="O125" s="34">
        <v>0</v>
      </c>
      <c r="P125" s="310">
        <v>0</v>
      </c>
      <c r="Q125" s="34">
        <v>0</v>
      </c>
      <c r="R125" s="308">
        <v>0</v>
      </c>
      <c r="S125" s="34">
        <f t="shared" ref="S125:S126" si="74">P125+Q125+R125</f>
        <v>0</v>
      </c>
      <c r="T125" s="34">
        <v>0</v>
      </c>
      <c r="U125" s="34">
        <v>0</v>
      </c>
      <c r="V125" s="34">
        <f>P125+Q125+R125+T125+U125</f>
        <v>0</v>
      </c>
      <c r="W125" s="34">
        <f>O125-V125</f>
        <v>0</v>
      </c>
      <c r="X125" s="34">
        <f>M125-(N125+O125)</f>
        <v>0</v>
      </c>
      <c r="Y125" s="48" t="s">
        <v>460</v>
      </c>
      <c r="Z125" s="48" t="s">
        <v>8</v>
      </c>
      <c r="AA125" s="2" t="e">
        <v>#N/A</v>
      </c>
      <c r="AB125" s="2" t="e">
        <f>VLOOKUP(H125,#REF!,2,FALSE)</f>
        <v>#REF!</v>
      </c>
      <c r="AC125" s="2" t="e">
        <f>VLOOKUP(I125,#REF!,2,FALSE)</f>
        <v>#REF!</v>
      </c>
      <c r="AD125" s="2" t="e">
        <f>VLOOKUP(H125,#REF!,13,FALSE)</f>
        <v>#REF!</v>
      </c>
      <c r="AE125" s="177" t="e">
        <f>VLOOKUP(I125,#REF!,7,FALSE)</f>
        <v>#REF!</v>
      </c>
      <c r="AF125" s="2">
        <v>25</v>
      </c>
      <c r="AG125" s="2" t="e">
        <f>VLOOKUP(H125,#REF!,13,FALSE)</f>
        <v>#REF!</v>
      </c>
      <c r="AH125" s="2" t="e">
        <f>VLOOKUP(I125,#REF!,2,FALSE)</f>
        <v>#REF!</v>
      </c>
      <c r="AJ125" s="185" t="e">
        <f>VLOOKUP(H125,#REF!,3,FALSE)</f>
        <v>#REF!</v>
      </c>
      <c r="AK125" s="185"/>
      <c r="AL125" s="185" t="e">
        <f>VLOOKUP(H125,#REF!,13,FALSE)</f>
        <v>#REF!</v>
      </c>
      <c r="AM125" s="185" t="e">
        <f>VLOOKUP(CLEAN(H125),#REF!,7,FALSE)</f>
        <v>#REF!</v>
      </c>
      <c r="AN125" s="2" t="e">
        <f>VLOOKUP(H125,#REF!,8,FALSE)</f>
        <v>#REF!</v>
      </c>
      <c r="AO125" s="189" t="e">
        <f>VLOOKUP(H125,#REF!,2,FALSE)</f>
        <v>#REF!</v>
      </c>
      <c r="AP125" s="189" t="e">
        <f>VLOOKUP(H125,#REF!,2,FALSE)</f>
        <v>#REF!</v>
      </c>
      <c r="AQ125" s="189"/>
      <c r="AR125" s="2" t="e">
        <f>VLOOKUP(CLEAN(H125),#REF!,2,FALSE)</f>
        <v>#REF!</v>
      </c>
      <c r="AT125" s="2" t="e">
        <f>VLOOKUP(H125,#REF!,13,FALSE)</f>
        <v>#REF!</v>
      </c>
      <c r="AU125" s="2" t="e">
        <f>VLOOKUP(H125,#REF!,13,FALSE)</f>
        <v>#REF!</v>
      </c>
      <c r="AV125" s="2" t="e">
        <f>VLOOKUP(H125,#REF!,13,FALSE)</f>
        <v>#REF!</v>
      </c>
      <c r="AW125" s="2" t="e">
        <f>VLOOKUP(H125,#REF!,13,FALSE)</f>
        <v>#REF!</v>
      </c>
      <c r="AX125" s="2" t="e">
        <f>VLOOKUP(H125,#REF!,9,FALSE)</f>
        <v>#REF!</v>
      </c>
      <c r="AZ125" s="2" t="e">
        <f>VLOOKUP(H125,#REF!,2,FALSE)</f>
        <v>#REF!</v>
      </c>
      <c r="BF125" s="189" t="e">
        <f>VLOOKUP(CLEAN(H125),#REF!,2,FALSE)</f>
        <v>#REF!</v>
      </c>
      <c r="BG125" s="189" t="e">
        <f>T125-BF125</f>
        <v>#REF!</v>
      </c>
      <c r="BO125" s="2" t="e">
        <f>VLOOKUP(H125,#REF!,13,FALSE)</f>
        <v>#REF!</v>
      </c>
      <c r="BP125" s="2" t="e">
        <f>VLOOKUP(H125,#REF!,2,FALSE)</f>
        <v>#REF!</v>
      </c>
      <c r="BQ125" s="2" t="e">
        <f>VLOOKUP(H125,#REF!,13,FALSE)</f>
        <v>#REF!</v>
      </c>
      <c r="BR125" s="2" t="e">
        <f>VLOOKUP(H125,#REF!,3,FALSE)</f>
        <v>#REF!</v>
      </c>
    </row>
    <row r="126" spans="1:70" s="2" customFormat="1" ht="15" customHeight="1" outlineLevel="2">
      <c r="A126" s="5">
        <v>31</v>
      </c>
      <c r="B126" s="5" t="s">
        <v>5</v>
      </c>
      <c r="C126" s="5" t="s">
        <v>240</v>
      </c>
      <c r="D126" s="5" t="s">
        <v>7</v>
      </c>
      <c r="E126" s="5" t="s">
        <v>254</v>
      </c>
      <c r="F126" s="5" t="s">
        <v>89</v>
      </c>
      <c r="G126" s="5" t="s">
        <v>144</v>
      </c>
      <c r="H126" s="12">
        <v>30071876</v>
      </c>
      <c r="I126" s="42" t="str">
        <f t="shared" si="72"/>
        <v>30071876-EJECUCION</v>
      </c>
      <c r="J126" s="12" t="s">
        <v>716</v>
      </c>
      <c r="K126" s="307" t="str">
        <f t="shared" si="73"/>
        <v>30071876</v>
      </c>
      <c r="L126" s="5" t="s">
        <v>537</v>
      </c>
      <c r="M126" s="23">
        <v>441054507</v>
      </c>
      <c r="N126" s="34">
        <v>441054507</v>
      </c>
      <c r="O126" s="34">
        <v>0</v>
      </c>
      <c r="P126" s="310">
        <v>0</v>
      </c>
      <c r="Q126" s="34">
        <v>0</v>
      </c>
      <c r="R126" s="308">
        <v>0</v>
      </c>
      <c r="S126" s="34">
        <f t="shared" si="74"/>
        <v>0</v>
      </c>
      <c r="T126" s="34">
        <v>0</v>
      </c>
      <c r="U126" s="34">
        <v>0</v>
      </c>
      <c r="V126" s="34">
        <f>P126+Q126+R126+T126+U126</f>
        <v>0</v>
      </c>
      <c r="W126" s="34">
        <f>O126-V126</f>
        <v>0</v>
      </c>
      <c r="X126" s="34">
        <f>M126-(N126+O126)</f>
        <v>0</v>
      </c>
      <c r="Y126" s="48" t="s">
        <v>460</v>
      </c>
      <c r="Z126" s="48" t="s">
        <v>8</v>
      </c>
      <c r="AA126" s="2" t="s">
        <v>849</v>
      </c>
      <c r="AB126" s="2" t="e">
        <f>VLOOKUP(H126,#REF!,2,FALSE)</f>
        <v>#REF!</v>
      </c>
      <c r="AC126" s="2" t="e">
        <f>VLOOKUP(I126,#REF!,2,FALSE)</f>
        <v>#REF!</v>
      </c>
      <c r="AD126" s="2" t="e">
        <f>VLOOKUP(H126,#REF!,13,FALSE)</f>
        <v>#REF!</v>
      </c>
      <c r="AE126" s="177" t="e">
        <f>VLOOKUP(I126,#REF!,7,FALSE)</f>
        <v>#REF!</v>
      </c>
      <c r="AF126" s="2">
        <v>25</v>
      </c>
      <c r="AG126" s="2" t="e">
        <f>VLOOKUP(H126,#REF!,13,FALSE)</f>
        <v>#REF!</v>
      </c>
      <c r="AH126" s="2" t="e">
        <f>VLOOKUP(I126,#REF!,2,FALSE)</f>
        <v>#REF!</v>
      </c>
      <c r="AJ126" s="185" t="e">
        <f>VLOOKUP(H126,#REF!,3,FALSE)</f>
        <v>#REF!</v>
      </c>
      <c r="AK126" s="185"/>
      <c r="AL126" s="185" t="e">
        <f>VLOOKUP(H126,#REF!,13,FALSE)</f>
        <v>#REF!</v>
      </c>
      <c r="AM126" s="185" t="e">
        <f>VLOOKUP(CLEAN(H126),#REF!,7,FALSE)</f>
        <v>#REF!</v>
      </c>
      <c r="AN126" s="2" t="e">
        <f>VLOOKUP(H126,#REF!,8,FALSE)</f>
        <v>#REF!</v>
      </c>
      <c r="AO126" s="189" t="e">
        <f>VLOOKUP(H126,#REF!,2,FALSE)</f>
        <v>#REF!</v>
      </c>
      <c r="AP126" s="189" t="e">
        <f>VLOOKUP(H126,#REF!,2,FALSE)</f>
        <v>#REF!</v>
      </c>
      <c r="AQ126" s="189"/>
      <c r="AR126" s="2" t="e">
        <f>VLOOKUP(CLEAN(H126),#REF!,2,FALSE)</f>
        <v>#REF!</v>
      </c>
      <c r="AT126" s="2" t="e">
        <f>VLOOKUP(H126,#REF!,13,FALSE)</f>
        <v>#REF!</v>
      </c>
      <c r="AU126" s="2" t="e">
        <f>VLOOKUP(H126,#REF!,13,FALSE)</f>
        <v>#REF!</v>
      </c>
      <c r="AV126" s="2" t="e">
        <f>VLOOKUP(H126,#REF!,13,FALSE)</f>
        <v>#REF!</v>
      </c>
      <c r="AW126" s="2" t="e">
        <f>VLOOKUP(H126,#REF!,13,FALSE)</f>
        <v>#REF!</v>
      </c>
      <c r="AX126" s="2" t="e">
        <f>VLOOKUP(H126,#REF!,9,FALSE)</f>
        <v>#REF!</v>
      </c>
      <c r="AZ126" s="2" t="e">
        <f>VLOOKUP(H126,#REF!,2,FALSE)</f>
        <v>#REF!</v>
      </c>
      <c r="BF126" s="189" t="e">
        <f>VLOOKUP(CLEAN(H126),#REF!,2,FALSE)</f>
        <v>#REF!</v>
      </c>
      <c r="BG126" s="189" t="e">
        <f>T126-BF126</f>
        <v>#REF!</v>
      </c>
      <c r="BO126" s="2" t="e">
        <f>VLOOKUP(H126,#REF!,13,FALSE)</f>
        <v>#REF!</v>
      </c>
      <c r="BP126" s="2" t="e">
        <f>VLOOKUP(H126,#REF!,2,FALSE)</f>
        <v>#REF!</v>
      </c>
      <c r="BQ126" s="2" t="e">
        <f>VLOOKUP(H126,#REF!,13,FALSE)</f>
        <v>#REF!</v>
      </c>
      <c r="BR126" s="2" t="e">
        <f>VLOOKUP(H126,#REF!,3,FALSE)</f>
        <v>#REF!</v>
      </c>
    </row>
    <row r="127" spans="1:70" ht="15" customHeight="1" outlineLevel="2">
      <c r="A127" s="7"/>
      <c r="B127" s="7"/>
      <c r="C127" s="7"/>
      <c r="D127" s="7"/>
      <c r="E127" s="7"/>
      <c r="F127" s="7"/>
      <c r="G127" s="7"/>
      <c r="H127" s="11"/>
      <c r="I127" s="11"/>
      <c r="J127" s="11"/>
      <c r="K127" s="11"/>
      <c r="L127" s="17" t="s">
        <v>694</v>
      </c>
      <c r="M127" s="27">
        <f>SUBTOTAL(9,M125:M126)</f>
        <v>876766071</v>
      </c>
      <c r="N127" s="27">
        <f t="shared" ref="N127:O127" si="75">SUBTOTAL(9,N125:N126)</f>
        <v>876766071</v>
      </c>
      <c r="O127" s="27">
        <f t="shared" si="75"/>
        <v>0</v>
      </c>
      <c r="P127" s="24">
        <f t="shared" ref="P127:X127" si="76">SUBTOTAL(9,P125:P126)</f>
        <v>0</v>
      </c>
      <c r="Q127" s="24">
        <f t="shared" si="76"/>
        <v>0</v>
      </c>
      <c r="R127" s="24">
        <f t="shared" si="76"/>
        <v>0</v>
      </c>
      <c r="S127" s="27">
        <f t="shared" si="76"/>
        <v>0</v>
      </c>
      <c r="T127" s="27">
        <f t="shared" si="76"/>
        <v>0</v>
      </c>
      <c r="U127" s="27">
        <f t="shared" si="76"/>
        <v>0</v>
      </c>
      <c r="V127" s="27">
        <f t="shared" si="76"/>
        <v>0</v>
      </c>
      <c r="W127" s="27">
        <f t="shared" si="76"/>
        <v>0</v>
      </c>
      <c r="X127" s="27">
        <f t="shared" si="76"/>
        <v>0</v>
      </c>
      <c r="Y127" s="47"/>
      <c r="Z127" s="47"/>
      <c r="AO127"/>
      <c r="AP127"/>
      <c r="AQ127"/>
      <c r="AR127" s="2" t="e">
        <f>VLOOKUP(CLEAN(H127),#REF!,2,FALSE)</f>
        <v>#REF!</v>
      </c>
      <c r="AZ127" s="2" t="e">
        <f>VLOOKUP(H127,#REF!,2,FALSE)</f>
        <v>#REF!</v>
      </c>
      <c r="BO127" s="2" t="e">
        <f>VLOOKUP(H127,#REF!,13,FALSE)</f>
        <v>#REF!</v>
      </c>
      <c r="BQ127" s="2" t="e">
        <f>VLOOKUP(H127,#REF!,13,FALSE)</f>
        <v>#REF!</v>
      </c>
    </row>
    <row r="128" spans="1:70" ht="15" customHeight="1" outlineLevel="2">
      <c r="A128" s="7"/>
      <c r="B128" s="7"/>
      <c r="C128" s="7"/>
      <c r="D128" s="7"/>
      <c r="E128" s="7"/>
      <c r="F128" s="7"/>
      <c r="G128" s="7"/>
      <c r="H128" s="11"/>
      <c r="I128" s="11"/>
      <c r="J128" s="11"/>
      <c r="K128" s="11"/>
      <c r="L128" s="292"/>
      <c r="M128" s="22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47"/>
      <c r="Z128" s="47"/>
      <c r="AO128"/>
      <c r="AP128"/>
      <c r="AQ128"/>
      <c r="AR128" s="2" t="e">
        <f>VLOOKUP(CLEAN(H128),#REF!,2,FALSE)</f>
        <v>#REF!</v>
      </c>
      <c r="AZ128" s="2" t="e">
        <f>VLOOKUP(H128,#REF!,2,FALSE)</f>
        <v>#REF!</v>
      </c>
      <c r="BO128" s="2" t="e">
        <f>VLOOKUP(H128,#REF!,13,FALSE)</f>
        <v>#REF!</v>
      </c>
      <c r="BP128" s="293"/>
      <c r="BQ128" s="2" t="e">
        <f>VLOOKUP(H128,#REF!,13,FALSE)</f>
        <v>#REF!</v>
      </c>
    </row>
    <row r="129" spans="1:70" ht="15" customHeight="1" outlineLevel="2">
      <c r="A129" s="7"/>
      <c r="B129" s="7"/>
      <c r="C129" s="7"/>
      <c r="D129" s="7"/>
      <c r="E129" s="7"/>
      <c r="F129" s="7"/>
      <c r="G129" s="7"/>
      <c r="H129" s="11"/>
      <c r="I129" s="11"/>
      <c r="J129" s="11"/>
      <c r="K129" s="11"/>
      <c r="L129" s="18" t="s">
        <v>701</v>
      </c>
      <c r="M129" s="22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47"/>
      <c r="Z129" s="47"/>
      <c r="AM129" s="185" t="e">
        <f>VLOOKUP(CLEAN(H129),#REF!,7,FALSE)</f>
        <v>#REF!</v>
      </c>
      <c r="AO129"/>
      <c r="AP129"/>
      <c r="AQ129"/>
      <c r="AR129" s="2" t="e">
        <f>VLOOKUP(CLEAN(H129),#REF!,2,FALSE)</f>
        <v>#REF!</v>
      </c>
      <c r="AZ129" s="2" t="e">
        <f>VLOOKUP(H129,#REF!,2,FALSE)</f>
        <v>#REF!</v>
      </c>
      <c r="BO129" s="2" t="e">
        <f>VLOOKUP(H129,#REF!,13,FALSE)</f>
        <v>#REF!</v>
      </c>
      <c r="BQ129" s="2" t="e">
        <f>VLOOKUP(H129,#REF!,13,FALSE)</f>
        <v>#REF!</v>
      </c>
    </row>
    <row r="130" spans="1:70" s="2" customFormat="1" ht="15" customHeight="1" outlineLevel="2">
      <c r="A130" s="5">
        <v>31</v>
      </c>
      <c r="B130" s="5" t="s">
        <v>11</v>
      </c>
      <c r="C130" s="5" t="s">
        <v>252</v>
      </c>
      <c r="D130" s="5" t="s">
        <v>7</v>
      </c>
      <c r="E130" s="5" t="s">
        <v>254</v>
      </c>
      <c r="F130" s="5" t="s">
        <v>75</v>
      </c>
      <c r="G130" s="5" t="s">
        <v>144</v>
      </c>
      <c r="H130" s="12">
        <v>20170733</v>
      </c>
      <c r="I130" s="42" t="str">
        <f t="shared" ref="I130:I132" si="77">CONCATENATE(H130,"-",G130)</f>
        <v>20170733-EJECUCION</v>
      </c>
      <c r="J130" s="12"/>
      <c r="K130" s="307" t="str">
        <f t="shared" ref="K130:K132" si="78">CLEAN(H130)</f>
        <v>20170733</v>
      </c>
      <c r="L130" s="15" t="s">
        <v>788</v>
      </c>
      <c r="M130" s="23">
        <v>120128000</v>
      </c>
      <c r="N130" s="34">
        <v>0</v>
      </c>
      <c r="O130" s="34">
        <v>120128000</v>
      </c>
      <c r="P130" s="310">
        <v>0</v>
      </c>
      <c r="Q130" s="34">
        <v>0</v>
      </c>
      <c r="R130" s="308">
        <v>0</v>
      </c>
      <c r="S130" s="34">
        <f t="shared" ref="S130:S132" si="79">P130+Q130+R130</f>
        <v>0</v>
      </c>
      <c r="T130" s="34">
        <v>0</v>
      </c>
      <c r="U130" s="34">
        <v>0</v>
      </c>
      <c r="V130" s="34">
        <f>P130+Q130+R130+T130+U130</f>
        <v>0</v>
      </c>
      <c r="W130" s="34">
        <f>O130-V130</f>
        <v>120128000</v>
      </c>
      <c r="X130" s="34">
        <f>M130-(N130+O130)</f>
        <v>0</v>
      </c>
      <c r="Y130" s="48" t="s">
        <v>418</v>
      </c>
      <c r="Z130" s="48" t="s">
        <v>8</v>
      </c>
      <c r="AA130" s="2" t="e">
        <v>#N/A</v>
      </c>
      <c r="AB130" s="2" t="e">
        <f>VLOOKUP(H130,#REF!,2,FALSE)</f>
        <v>#REF!</v>
      </c>
      <c r="AD130" s="2" t="e">
        <f>VLOOKUP(H130,#REF!,13,FALSE)</f>
        <v>#REF!</v>
      </c>
      <c r="AE130" s="2" t="e">
        <f>VLOOKUP(I130,#REF!,7,FALSE)</f>
        <v>#REF!</v>
      </c>
      <c r="AF130" s="2">
        <v>25</v>
      </c>
      <c r="AG130" s="2" t="e">
        <f>VLOOKUP(H130,#REF!,13,FALSE)</f>
        <v>#REF!</v>
      </c>
      <c r="AH130" s="2" t="e">
        <f>VLOOKUP(I130,#REF!,2,FALSE)</f>
        <v>#REF!</v>
      </c>
      <c r="AJ130" s="2" t="e">
        <f>VLOOKUP(H130,#REF!,3,FALSE)</f>
        <v>#REF!</v>
      </c>
      <c r="AL130" s="2" t="e">
        <f>VLOOKUP(H130,#REF!,13,FALSE)</f>
        <v>#REF!</v>
      </c>
      <c r="AM130" s="2" t="e">
        <f>VLOOKUP(CLEAN(H130),#REF!,7,FALSE)</f>
        <v>#REF!</v>
      </c>
      <c r="AN130" s="2" t="e">
        <f>VLOOKUP(H130,#REF!,8,FALSE)</f>
        <v>#REF!</v>
      </c>
      <c r="AO130" s="189" t="e">
        <f>VLOOKUP(H130,#REF!,2,FALSE)</f>
        <v>#REF!</v>
      </c>
      <c r="AP130" s="189" t="e">
        <f>VLOOKUP(H130,#REF!,2,FALSE)</f>
        <v>#REF!</v>
      </c>
      <c r="AQ130" s="189"/>
      <c r="AR130" s="2" t="e">
        <f>VLOOKUP(CLEAN(H130),#REF!,2,FALSE)</f>
        <v>#REF!</v>
      </c>
      <c r="AT130" s="2" t="e">
        <f>VLOOKUP(H130,#REF!,13,FALSE)</f>
        <v>#REF!</v>
      </c>
      <c r="AU130" s="2" t="e">
        <f>VLOOKUP(H130,#REF!,13,FALSE)</f>
        <v>#REF!</v>
      </c>
      <c r="AV130" s="2" t="e">
        <f>VLOOKUP(H130,#REF!,13,FALSE)</f>
        <v>#REF!</v>
      </c>
      <c r="AW130" s="2" t="e">
        <f>VLOOKUP(H130,#REF!,13,FALSE)</f>
        <v>#REF!</v>
      </c>
      <c r="AX130" s="2" t="e">
        <f>VLOOKUP(H130,#REF!,9,FALSE)</f>
        <v>#REF!</v>
      </c>
      <c r="AZ130" s="189" t="e">
        <f>VLOOKUP(H130,#REF!,2,FALSE)</f>
        <v>#REF!</v>
      </c>
      <c r="BF130" s="189" t="e">
        <f>VLOOKUP(CLEAN(H130),#REF!,2,FALSE)</f>
        <v>#REF!</v>
      </c>
      <c r="BG130" s="189" t="e">
        <f>T130-BF130</f>
        <v>#REF!</v>
      </c>
      <c r="BO130" s="2" t="e">
        <f>VLOOKUP(H130,#REF!,13,FALSE)</f>
        <v>#REF!</v>
      </c>
      <c r="BP130" s="2" t="e">
        <f>VLOOKUP(H130,#REF!,2,FALSE)</f>
        <v>#REF!</v>
      </c>
      <c r="BQ130" s="2" t="e">
        <f>VLOOKUP(H130,#REF!,13,FALSE)</f>
        <v>#REF!</v>
      </c>
      <c r="BR130" s="2" t="e">
        <f>VLOOKUP(H130,#REF!,3,FALSE)</f>
        <v>#REF!</v>
      </c>
    </row>
    <row r="131" spans="1:70" s="2" customFormat="1" ht="15" customHeight="1" outlineLevel="2">
      <c r="A131" s="5">
        <v>31</v>
      </c>
      <c r="B131" s="5" t="s">
        <v>11</v>
      </c>
      <c r="C131" s="5" t="s">
        <v>252</v>
      </c>
      <c r="D131" s="5" t="s">
        <v>7</v>
      </c>
      <c r="E131" s="5" t="s">
        <v>254</v>
      </c>
      <c r="F131" s="5" t="s">
        <v>75</v>
      </c>
      <c r="G131" s="5" t="s">
        <v>144</v>
      </c>
      <c r="H131" s="12">
        <v>30118485</v>
      </c>
      <c r="I131" s="42" t="str">
        <f t="shared" si="77"/>
        <v>30118485-EJECUCION</v>
      </c>
      <c r="J131" s="12"/>
      <c r="K131" s="307" t="str">
        <f t="shared" si="78"/>
        <v>30118485</v>
      </c>
      <c r="L131" s="15" t="s">
        <v>787</v>
      </c>
      <c r="M131" s="23">
        <v>405000000</v>
      </c>
      <c r="N131" s="34">
        <v>0</v>
      </c>
      <c r="O131" s="34">
        <v>405000000</v>
      </c>
      <c r="P131" s="310">
        <v>0</v>
      </c>
      <c r="Q131" s="34">
        <v>0</v>
      </c>
      <c r="R131" s="308">
        <v>0</v>
      </c>
      <c r="S131" s="34">
        <f t="shared" si="79"/>
        <v>0</v>
      </c>
      <c r="T131" s="34">
        <v>0</v>
      </c>
      <c r="U131" s="34">
        <v>0</v>
      </c>
      <c r="V131" s="34">
        <f>P131+Q131+R131+T131+U131</f>
        <v>0</v>
      </c>
      <c r="W131" s="34">
        <f>O131-V131</f>
        <v>405000000</v>
      </c>
      <c r="X131" s="34">
        <f>M131-(N131+O131)</f>
        <v>0</v>
      </c>
      <c r="Y131" s="48" t="s">
        <v>418</v>
      </c>
      <c r="Z131" s="48" t="s">
        <v>8</v>
      </c>
      <c r="AA131" s="2" t="e">
        <v>#N/A</v>
      </c>
      <c r="AB131" s="2" t="e">
        <f>VLOOKUP(H131,#REF!,2,FALSE)</f>
        <v>#REF!</v>
      </c>
      <c r="AC131" s="2" t="e">
        <f>VLOOKUP(I131,#REF!,2,FALSE)</f>
        <v>#REF!</v>
      </c>
      <c r="AD131" s="2" t="e">
        <f>VLOOKUP(H131,#REF!,13,FALSE)</f>
        <v>#REF!</v>
      </c>
      <c r="AE131" s="2" t="e">
        <f>VLOOKUP(I131,#REF!,7,FALSE)</f>
        <v>#REF!</v>
      </c>
      <c r="AF131" s="2">
        <v>25</v>
      </c>
      <c r="AG131" s="2" t="e">
        <f>VLOOKUP(H131,#REF!,13,FALSE)</f>
        <v>#REF!</v>
      </c>
      <c r="AH131" s="2" t="e">
        <f>VLOOKUP(I131,#REF!,2,FALSE)</f>
        <v>#REF!</v>
      </c>
      <c r="AJ131" s="185" t="e">
        <f>VLOOKUP(H131,#REF!,3,FALSE)</f>
        <v>#REF!</v>
      </c>
      <c r="AK131" s="185"/>
      <c r="AL131" s="185" t="e">
        <f>VLOOKUP(H131,#REF!,13,FALSE)</f>
        <v>#REF!</v>
      </c>
      <c r="AM131" s="185" t="e">
        <f>VLOOKUP(CLEAN(H131),#REF!,7,FALSE)</f>
        <v>#REF!</v>
      </c>
      <c r="AN131" s="2" t="e">
        <f>VLOOKUP(H131,#REF!,8,FALSE)</f>
        <v>#REF!</v>
      </c>
      <c r="AO131" s="189" t="e">
        <f>VLOOKUP(H131,#REF!,2,FALSE)</f>
        <v>#REF!</v>
      </c>
      <c r="AP131" s="189" t="e">
        <f>VLOOKUP(H131,#REF!,2,FALSE)</f>
        <v>#REF!</v>
      </c>
      <c r="AQ131" s="189"/>
      <c r="AR131" s="2" t="e">
        <f>VLOOKUP(CLEAN(H131),#REF!,2,FALSE)</f>
        <v>#REF!</v>
      </c>
      <c r="AT131" s="2" t="e">
        <f>VLOOKUP(H131,#REF!,13,FALSE)</f>
        <v>#REF!</v>
      </c>
      <c r="AU131" s="2" t="e">
        <f>VLOOKUP(H131,#REF!,13,FALSE)</f>
        <v>#REF!</v>
      </c>
      <c r="AV131" s="2" t="e">
        <f>VLOOKUP(H131,#REF!,13,FALSE)</f>
        <v>#REF!</v>
      </c>
      <c r="AW131" s="2" t="e">
        <f>VLOOKUP(H131,#REF!,13,FALSE)</f>
        <v>#REF!</v>
      </c>
      <c r="AX131" s="2" t="e">
        <f>VLOOKUP(H131,#REF!,9,FALSE)</f>
        <v>#REF!</v>
      </c>
      <c r="AZ131" s="189" t="e">
        <f>VLOOKUP(H131,#REF!,2,FALSE)</f>
        <v>#REF!</v>
      </c>
      <c r="BF131" s="189" t="e">
        <f>VLOOKUP(CLEAN(H131),#REF!,2,FALSE)</f>
        <v>#REF!</v>
      </c>
      <c r="BG131" s="189" t="e">
        <f>T131-BF131</f>
        <v>#REF!</v>
      </c>
      <c r="BO131" s="2" t="e">
        <f>VLOOKUP(H131,#REF!,13,FALSE)</f>
        <v>#REF!</v>
      </c>
      <c r="BP131" s="2" t="e">
        <f>VLOOKUP(H131,#REF!,2,FALSE)</f>
        <v>#REF!</v>
      </c>
      <c r="BQ131" s="2" t="e">
        <f>VLOOKUP(H131,#REF!,13,FALSE)</f>
        <v>#REF!</v>
      </c>
      <c r="BR131" s="2" t="e">
        <f>VLOOKUP(H131,#REF!,3,FALSE)</f>
        <v>#REF!</v>
      </c>
    </row>
    <row r="132" spans="1:70" s="2" customFormat="1" ht="15" customHeight="1" outlineLevel="2">
      <c r="A132" s="5">
        <v>31</v>
      </c>
      <c r="B132" s="5" t="s">
        <v>11</v>
      </c>
      <c r="C132" s="5" t="s">
        <v>252</v>
      </c>
      <c r="D132" s="5" t="s">
        <v>7</v>
      </c>
      <c r="E132" s="5" t="s">
        <v>254</v>
      </c>
      <c r="F132" s="5" t="s">
        <v>75</v>
      </c>
      <c r="G132" s="5" t="s">
        <v>144</v>
      </c>
      <c r="H132" s="12">
        <v>30463407</v>
      </c>
      <c r="I132" s="42" t="str">
        <f t="shared" si="77"/>
        <v>30463407-EJECUCION</v>
      </c>
      <c r="J132" s="12"/>
      <c r="K132" s="307" t="str">
        <f t="shared" si="78"/>
        <v>30463407</v>
      </c>
      <c r="L132" s="15" t="s">
        <v>790</v>
      </c>
      <c r="M132" s="23">
        <v>250593000</v>
      </c>
      <c r="N132" s="34">
        <v>0</v>
      </c>
      <c r="O132" s="34">
        <v>250593000</v>
      </c>
      <c r="P132" s="310">
        <v>0</v>
      </c>
      <c r="Q132" s="34">
        <v>0</v>
      </c>
      <c r="R132" s="308">
        <v>0</v>
      </c>
      <c r="S132" s="34">
        <f t="shared" si="79"/>
        <v>0</v>
      </c>
      <c r="T132" s="34">
        <v>0</v>
      </c>
      <c r="U132" s="34">
        <v>0</v>
      </c>
      <c r="V132" s="34">
        <f>P132+Q132+R132+T132+U132</f>
        <v>0</v>
      </c>
      <c r="W132" s="34">
        <f>O132-V132</f>
        <v>250593000</v>
      </c>
      <c r="X132" s="34">
        <f>M132-(N132+O132)</f>
        <v>0</v>
      </c>
      <c r="Y132" s="48" t="s">
        <v>418</v>
      </c>
      <c r="Z132" s="48" t="s">
        <v>8</v>
      </c>
      <c r="AA132" s="2" t="e">
        <v>#N/A</v>
      </c>
      <c r="AB132" s="2" t="e">
        <f>VLOOKUP(H132,#REF!,2,FALSE)</f>
        <v>#REF!</v>
      </c>
      <c r="AC132" s="2" t="e">
        <f>VLOOKUP(I132,#REF!,2,FALSE)</f>
        <v>#REF!</v>
      </c>
      <c r="AD132" s="2" t="e">
        <f>VLOOKUP(H132,#REF!,13,FALSE)</f>
        <v>#REF!</v>
      </c>
      <c r="AE132" s="2" t="e">
        <f>VLOOKUP(I132,#REF!,7,FALSE)</f>
        <v>#REF!</v>
      </c>
      <c r="AF132" s="2">
        <v>25</v>
      </c>
      <c r="AG132" s="2" t="e">
        <f>VLOOKUP(H132,#REF!,13,FALSE)</f>
        <v>#REF!</v>
      </c>
      <c r="AH132" s="2" t="e">
        <f>VLOOKUP(I132,#REF!,2,FALSE)</f>
        <v>#REF!</v>
      </c>
      <c r="AJ132" s="185" t="e">
        <f>VLOOKUP(H132,#REF!,3,FALSE)</f>
        <v>#REF!</v>
      </c>
      <c r="AK132" s="185"/>
      <c r="AL132" s="185" t="e">
        <f>VLOOKUP(H132,#REF!,13,FALSE)</f>
        <v>#REF!</v>
      </c>
      <c r="AM132" s="185" t="e">
        <f>VLOOKUP(CLEAN(H132),#REF!,7,FALSE)</f>
        <v>#REF!</v>
      </c>
      <c r="AN132" s="2" t="e">
        <f>VLOOKUP(H132,#REF!,8,FALSE)</f>
        <v>#REF!</v>
      </c>
      <c r="AO132" s="189" t="e">
        <f>VLOOKUP(H132,#REF!,2,FALSE)</f>
        <v>#REF!</v>
      </c>
      <c r="AP132" s="189" t="e">
        <f>VLOOKUP(H132,#REF!,2,FALSE)</f>
        <v>#REF!</v>
      </c>
      <c r="AQ132" s="189"/>
      <c r="AR132" s="2" t="e">
        <f>VLOOKUP(CLEAN(H132),#REF!,2,FALSE)</f>
        <v>#REF!</v>
      </c>
      <c r="AT132" s="2" t="e">
        <f>VLOOKUP(H132,#REF!,13,FALSE)</f>
        <v>#REF!</v>
      </c>
      <c r="AU132" s="2" t="e">
        <f>VLOOKUP(H132,#REF!,13,FALSE)</f>
        <v>#REF!</v>
      </c>
      <c r="AV132" s="2" t="e">
        <f>VLOOKUP(H132,#REF!,13,FALSE)</f>
        <v>#REF!</v>
      </c>
      <c r="AW132" s="2" t="e">
        <f>VLOOKUP(H132,#REF!,13,FALSE)</f>
        <v>#REF!</v>
      </c>
      <c r="AX132" s="2" t="e">
        <f>VLOOKUP(H132,#REF!,9,FALSE)</f>
        <v>#REF!</v>
      </c>
      <c r="AZ132" s="189" t="e">
        <f>VLOOKUP(H132,#REF!,2,FALSE)</f>
        <v>#REF!</v>
      </c>
      <c r="BF132" s="189" t="e">
        <f>VLOOKUP(CLEAN(H132),#REF!,2,FALSE)</f>
        <v>#REF!</v>
      </c>
      <c r="BG132" s="189" t="e">
        <f>T132-BF132</f>
        <v>#REF!</v>
      </c>
      <c r="BO132" s="2" t="e">
        <f>VLOOKUP(H132,#REF!,13,FALSE)</f>
        <v>#REF!</v>
      </c>
      <c r="BP132" s="2" t="e">
        <f>VLOOKUP(H132,#REF!,2,FALSE)</f>
        <v>#REF!</v>
      </c>
      <c r="BQ132" s="2" t="e">
        <f>VLOOKUP(H132,#REF!,13,FALSE)</f>
        <v>#REF!</v>
      </c>
      <c r="BR132" s="2" t="e">
        <f>VLOOKUP(H132,#REF!,3,FALSE)</f>
        <v>#REF!</v>
      </c>
    </row>
    <row r="133" spans="1:70" ht="15.75" customHeight="1" outlineLevel="2">
      <c r="A133" s="7"/>
      <c r="B133" s="7"/>
      <c r="C133" s="7"/>
      <c r="D133" s="7"/>
      <c r="E133" s="7"/>
      <c r="F133" s="7"/>
      <c r="G133" s="7"/>
      <c r="H133" s="11"/>
      <c r="I133" s="11"/>
      <c r="J133" s="11"/>
      <c r="K133" s="11"/>
      <c r="L133" s="17" t="s">
        <v>702</v>
      </c>
      <c r="M133" s="27">
        <f>SUBTOTAL(9,M130:M132)</f>
        <v>775721000</v>
      </c>
      <c r="N133" s="27">
        <f t="shared" ref="N133:O133" si="80">SUBTOTAL(9,N130:N132)</f>
        <v>0</v>
      </c>
      <c r="O133" s="27">
        <f t="shared" si="80"/>
        <v>775721000</v>
      </c>
      <c r="P133" s="24">
        <f t="shared" ref="P133:X133" si="81">SUBTOTAL(9,P130:P132)</f>
        <v>0</v>
      </c>
      <c r="Q133" s="24">
        <f t="shared" si="81"/>
        <v>0</v>
      </c>
      <c r="R133" s="24">
        <f t="shared" si="81"/>
        <v>0</v>
      </c>
      <c r="S133" s="27">
        <f t="shared" si="81"/>
        <v>0</v>
      </c>
      <c r="T133" s="27">
        <f t="shared" si="81"/>
        <v>0</v>
      </c>
      <c r="U133" s="27">
        <f t="shared" si="81"/>
        <v>0</v>
      </c>
      <c r="V133" s="27">
        <f t="shared" si="81"/>
        <v>0</v>
      </c>
      <c r="W133" s="27">
        <f t="shared" si="81"/>
        <v>775721000</v>
      </c>
      <c r="X133" s="27">
        <f t="shared" si="81"/>
        <v>0</v>
      </c>
      <c r="Y133" s="47"/>
      <c r="Z133" s="47"/>
      <c r="AM133" s="185" t="e">
        <f>VLOOKUP(CLEAN(H133),#REF!,7,FALSE)</f>
        <v>#REF!</v>
      </c>
      <c r="AO133"/>
      <c r="AP133"/>
      <c r="AQ133"/>
      <c r="AR133" s="2" t="e">
        <f>VLOOKUP(CLEAN(H133),#REF!,2,FALSE)</f>
        <v>#REF!</v>
      </c>
      <c r="AZ133" s="2" t="e">
        <f>VLOOKUP(H133,#REF!,2,FALSE)</f>
        <v>#REF!</v>
      </c>
      <c r="BO133" s="2" t="e">
        <f>VLOOKUP(H133,#REF!,13,FALSE)</f>
        <v>#REF!</v>
      </c>
      <c r="BQ133" s="2" t="e">
        <f>VLOOKUP(H133,#REF!,13,FALSE)</f>
        <v>#REF!</v>
      </c>
    </row>
    <row r="134" spans="1:70" ht="15" customHeight="1" outlineLevel="2">
      <c r="A134" s="7"/>
      <c r="B134" s="7"/>
      <c r="C134" s="7"/>
      <c r="D134" s="7"/>
      <c r="E134" s="7"/>
      <c r="F134" s="7"/>
      <c r="G134" s="7"/>
      <c r="H134" s="11"/>
      <c r="I134" s="11"/>
      <c r="J134" s="11"/>
      <c r="K134" s="11"/>
      <c r="L134" s="292"/>
      <c r="M134" s="22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47"/>
      <c r="Z134" s="47"/>
      <c r="AM134" s="185" t="e">
        <f>VLOOKUP(CLEAN(H134),#REF!,7,FALSE)</f>
        <v>#REF!</v>
      </c>
      <c r="AO134"/>
      <c r="AP134"/>
      <c r="AQ134"/>
      <c r="AR134" s="2" t="e">
        <f>VLOOKUP(CLEAN(H134),#REF!,2,FALSE)</f>
        <v>#REF!</v>
      </c>
      <c r="AZ134" s="2" t="e">
        <f>VLOOKUP(H134,#REF!,2,FALSE)</f>
        <v>#REF!</v>
      </c>
      <c r="BO134" s="2" t="e">
        <f>VLOOKUP(H134,#REF!,13,FALSE)</f>
        <v>#REF!</v>
      </c>
      <c r="BP134" s="293"/>
      <c r="BQ134" s="2" t="e">
        <f>VLOOKUP(H134,#REF!,13,FALSE)</f>
        <v>#REF!</v>
      </c>
    </row>
    <row r="135" spans="1:70" ht="15" customHeight="1" outlineLevel="2">
      <c r="A135" s="7"/>
      <c r="B135" s="7"/>
      <c r="C135" s="7"/>
      <c r="D135" s="7"/>
      <c r="E135" s="7"/>
      <c r="F135" s="7"/>
      <c r="G135" s="7"/>
      <c r="H135" s="11"/>
      <c r="I135" s="11"/>
      <c r="J135" s="11"/>
      <c r="K135" s="11"/>
      <c r="L135" s="18" t="s">
        <v>696</v>
      </c>
      <c r="M135" s="22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47"/>
      <c r="Z135" s="47"/>
      <c r="AO135"/>
      <c r="AP135"/>
      <c r="AQ135"/>
      <c r="AR135" s="2" t="e">
        <f>VLOOKUP(CLEAN(H135),#REF!,2,FALSE)</f>
        <v>#REF!</v>
      </c>
      <c r="AZ135" s="2" t="e">
        <f>VLOOKUP(H135,#REF!,2,FALSE)</f>
        <v>#REF!</v>
      </c>
      <c r="BO135" s="2" t="e">
        <f>VLOOKUP(H135,#REF!,13,FALSE)</f>
        <v>#REF!</v>
      </c>
      <c r="BQ135" s="2" t="e">
        <f>VLOOKUP(H135,#REF!,13,FALSE)</f>
        <v>#REF!</v>
      </c>
    </row>
    <row r="136" spans="1:70" s="2" customFormat="1" ht="15" customHeight="1" outlineLevel="2">
      <c r="A136" s="5">
        <v>31</v>
      </c>
      <c r="B136" s="5" t="s">
        <v>11</v>
      </c>
      <c r="C136" s="5" t="s">
        <v>240</v>
      </c>
      <c r="D136" s="5" t="s">
        <v>7</v>
      </c>
      <c r="E136" s="5" t="s">
        <v>254</v>
      </c>
      <c r="F136" s="5" t="s">
        <v>457</v>
      </c>
      <c r="G136" s="5" t="s">
        <v>144</v>
      </c>
      <c r="H136" s="12">
        <v>30291073</v>
      </c>
      <c r="I136" s="42" t="str">
        <f t="shared" ref="I136:I139" si="82">CONCATENATE(H136,"-",G136)</f>
        <v>30291073-EJECUCION</v>
      </c>
      <c r="J136" s="12" t="s">
        <v>717</v>
      </c>
      <c r="K136" s="307" t="str">
        <f t="shared" ref="K136:K139" si="83">CLEAN(H136)</f>
        <v>30291073</v>
      </c>
      <c r="L136" s="15" t="s">
        <v>326</v>
      </c>
      <c r="M136" s="23">
        <v>442085000</v>
      </c>
      <c r="N136" s="34">
        <v>0</v>
      </c>
      <c r="O136" s="34">
        <v>22104250</v>
      </c>
      <c r="P136" s="310">
        <v>0</v>
      </c>
      <c r="Q136" s="34">
        <v>0</v>
      </c>
      <c r="R136" s="308">
        <v>0</v>
      </c>
      <c r="S136" s="34">
        <f t="shared" ref="S136:S139" si="84">P136+Q136+R136</f>
        <v>0</v>
      </c>
      <c r="T136" s="34">
        <v>0</v>
      </c>
      <c r="U136" s="34">
        <v>0</v>
      </c>
      <c r="V136" s="34">
        <f>P136+Q136+R136+T136+U136</f>
        <v>0</v>
      </c>
      <c r="W136" s="34">
        <f>O136-V136</f>
        <v>22104250</v>
      </c>
      <c r="X136" s="34">
        <f>M136-(N136+O136)</f>
        <v>419980750</v>
      </c>
      <c r="Y136" s="48" t="s">
        <v>246</v>
      </c>
      <c r="Z136" s="48" t="s">
        <v>357</v>
      </c>
      <c r="AA136" s="2" t="e">
        <v>#N/A</v>
      </c>
      <c r="AB136" s="2" t="e">
        <f>VLOOKUP(H136,#REF!,2,FALSE)</f>
        <v>#REF!</v>
      </c>
      <c r="AC136" s="2" t="e">
        <f>VLOOKUP(I136,#REF!,2,FALSE)</f>
        <v>#REF!</v>
      </c>
      <c r="AD136" s="2" t="e">
        <f>VLOOKUP(H136,#REF!,13,FALSE)</f>
        <v>#REF!</v>
      </c>
      <c r="AE136" s="2" t="e">
        <f>VLOOKUP(I136,#REF!,7,FALSE)</f>
        <v>#REF!</v>
      </c>
      <c r="AF136" s="2">
        <v>25</v>
      </c>
      <c r="AG136" s="2" t="e">
        <f>VLOOKUP(H136,#REF!,13,FALSE)</f>
        <v>#REF!</v>
      </c>
      <c r="AH136" s="2" t="e">
        <f>VLOOKUP(I136,#REF!,2,FALSE)</f>
        <v>#REF!</v>
      </c>
      <c r="AJ136" s="185" t="e">
        <f>VLOOKUP(H136,#REF!,3,FALSE)</f>
        <v>#REF!</v>
      </c>
      <c r="AK136" s="185"/>
      <c r="AL136" s="185" t="e">
        <f>VLOOKUP(H136,#REF!,13,FALSE)</f>
        <v>#REF!</v>
      </c>
      <c r="AM136" s="185" t="e">
        <f>VLOOKUP(CLEAN(H136),#REF!,7,FALSE)</f>
        <v>#REF!</v>
      </c>
      <c r="AN136" s="2" t="e">
        <f>VLOOKUP(H136,#REF!,8,FALSE)</f>
        <v>#REF!</v>
      </c>
      <c r="AO136" s="189" t="e">
        <f>VLOOKUP(H136,#REF!,2,FALSE)</f>
        <v>#REF!</v>
      </c>
      <c r="AP136" s="189" t="e">
        <f>VLOOKUP(H136,#REF!,2,FALSE)</f>
        <v>#REF!</v>
      </c>
      <c r="AQ136" s="189"/>
      <c r="AR136" s="2" t="e">
        <f>VLOOKUP(CLEAN(H136),#REF!,2,FALSE)</f>
        <v>#REF!</v>
      </c>
      <c r="AT136" s="2" t="e">
        <f>VLOOKUP(H136,#REF!,13,FALSE)</f>
        <v>#REF!</v>
      </c>
      <c r="AU136" s="2" t="e">
        <f>VLOOKUP(H136,#REF!,13,FALSE)</f>
        <v>#REF!</v>
      </c>
      <c r="AV136" s="2" t="e">
        <f>VLOOKUP(H136,#REF!,13,FALSE)</f>
        <v>#REF!</v>
      </c>
      <c r="AW136" s="2" t="e">
        <f>VLOOKUP(H136,#REF!,13,FALSE)</f>
        <v>#REF!</v>
      </c>
      <c r="AX136" s="2" t="e">
        <f>VLOOKUP(H136,#REF!,9,FALSE)</f>
        <v>#REF!</v>
      </c>
      <c r="AZ136" s="2" t="e">
        <f>VLOOKUP(H136,#REF!,2,FALSE)</f>
        <v>#REF!</v>
      </c>
      <c r="BF136" s="189" t="e">
        <f>VLOOKUP(CLEAN(H136),#REF!,2,FALSE)</f>
        <v>#REF!</v>
      </c>
      <c r="BG136" s="189" t="e">
        <f>T136-BF136</f>
        <v>#REF!</v>
      </c>
      <c r="BO136" s="2" t="e">
        <f>VLOOKUP(H136,#REF!,13,FALSE)</f>
        <v>#REF!</v>
      </c>
      <c r="BP136" s="2" t="e">
        <f>VLOOKUP(H136,#REF!,2,FALSE)</f>
        <v>#REF!</v>
      </c>
      <c r="BQ136" s="2" t="e">
        <f>VLOOKUP(H136,#REF!,13,FALSE)</f>
        <v>#REF!</v>
      </c>
      <c r="BR136" s="2" t="e">
        <f>VLOOKUP(H136,#REF!,3,FALSE)</f>
        <v>#REF!</v>
      </c>
    </row>
    <row r="137" spans="1:70" s="2" customFormat="1" ht="15" customHeight="1" outlineLevel="2">
      <c r="A137" s="5">
        <v>31</v>
      </c>
      <c r="B137" s="5" t="s">
        <v>11</v>
      </c>
      <c r="C137" s="5" t="s">
        <v>240</v>
      </c>
      <c r="D137" s="5" t="s">
        <v>7</v>
      </c>
      <c r="E137" s="5" t="s">
        <v>254</v>
      </c>
      <c r="F137" s="5" t="s">
        <v>457</v>
      </c>
      <c r="G137" s="5" t="s">
        <v>144</v>
      </c>
      <c r="H137" s="12">
        <v>30071878</v>
      </c>
      <c r="I137" s="42" t="str">
        <f t="shared" si="82"/>
        <v>30071878-EJECUCION</v>
      </c>
      <c r="J137" s="12" t="s">
        <v>718</v>
      </c>
      <c r="K137" s="307" t="str">
        <f t="shared" si="83"/>
        <v>30071878</v>
      </c>
      <c r="L137" s="15" t="s">
        <v>446</v>
      </c>
      <c r="M137" s="23">
        <v>2396359000</v>
      </c>
      <c r="N137" s="34">
        <v>0</v>
      </c>
      <c r="O137" s="34">
        <v>40000000</v>
      </c>
      <c r="P137" s="310">
        <v>0</v>
      </c>
      <c r="Q137" s="34">
        <v>0</v>
      </c>
      <c r="R137" s="308">
        <v>0</v>
      </c>
      <c r="S137" s="34">
        <f t="shared" si="84"/>
        <v>0</v>
      </c>
      <c r="T137" s="34">
        <v>0</v>
      </c>
      <c r="U137" s="34">
        <v>0</v>
      </c>
      <c r="V137" s="34">
        <f>P137+Q137+R137+T137+U137</f>
        <v>0</v>
      </c>
      <c r="W137" s="34">
        <f>O137-V137</f>
        <v>40000000</v>
      </c>
      <c r="X137" s="34">
        <f>M137-(N137+O137)</f>
        <v>2356359000</v>
      </c>
      <c r="Y137" s="48" t="s">
        <v>246</v>
      </c>
      <c r="Z137" s="48" t="s">
        <v>357</v>
      </c>
      <c r="AA137" s="2" t="e">
        <v>#N/A</v>
      </c>
      <c r="AB137" s="2" t="e">
        <f>VLOOKUP(H137,#REF!,2,FALSE)</f>
        <v>#REF!</v>
      </c>
      <c r="AC137" s="2" t="e">
        <f>VLOOKUP(I137,#REF!,2,FALSE)</f>
        <v>#REF!</v>
      </c>
      <c r="AD137" s="2" t="e">
        <f>VLOOKUP(H137,#REF!,13,FALSE)</f>
        <v>#REF!</v>
      </c>
      <c r="AE137" s="2" t="e">
        <f>VLOOKUP(I137,#REF!,7,FALSE)</f>
        <v>#REF!</v>
      </c>
      <c r="AF137" s="2">
        <v>25</v>
      </c>
      <c r="AG137" s="2" t="e">
        <f>VLOOKUP(H137,#REF!,13,FALSE)</f>
        <v>#REF!</v>
      </c>
      <c r="AH137" s="2" t="e">
        <f>VLOOKUP(I137,#REF!,2,FALSE)</f>
        <v>#REF!</v>
      </c>
      <c r="AJ137" s="185" t="e">
        <f>VLOOKUP(H137,#REF!,3,FALSE)</f>
        <v>#REF!</v>
      </c>
      <c r="AK137" s="185"/>
      <c r="AL137" s="185" t="e">
        <f>VLOOKUP(H137,#REF!,13,FALSE)</f>
        <v>#REF!</v>
      </c>
      <c r="AM137" s="185" t="e">
        <f>VLOOKUP(CLEAN(H137),#REF!,7,FALSE)</f>
        <v>#REF!</v>
      </c>
      <c r="AN137" s="2" t="e">
        <f>VLOOKUP(H137,#REF!,8,FALSE)</f>
        <v>#REF!</v>
      </c>
      <c r="AO137" s="189" t="e">
        <f>VLOOKUP(H137,#REF!,2,FALSE)</f>
        <v>#REF!</v>
      </c>
      <c r="AP137" s="189" t="e">
        <f>VLOOKUP(H137,#REF!,2,FALSE)</f>
        <v>#REF!</v>
      </c>
      <c r="AQ137" s="189"/>
      <c r="AR137" s="2" t="e">
        <f>VLOOKUP(CLEAN(H137),#REF!,2,FALSE)</f>
        <v>#REF!</v>
      </c>
      <c r="AT137" s="2" t="e">
        <f>VLOOKUP(H137,#REF!,13,FALSE)</f>
        <v>#REF!</v>
      </c>
      <c r="AU137" s="2" t="e">
        <f>VLOOKUP(H137,#REF!,13,FALSE)</f>
        <v>#REF!</v>
      </c>
      <c r="AV137" s="2" t="e">
        <f>VLOOKUP(H137,#REF!,13,FALSE)</f>
        <v>#REF!</v>
      </c>
      <c r="AW137" s="2" t="e">
        <f>VLOOKUP(H137,#REF!,13,FALSE)</f>
        <v>#REF!</v>
      </c>
      <c r="AX137" s="2" t="e">
        <f>VLOOKUP(H137,#REF!,9,FALSE)</f>
        <v>#REF!</v>
      </c>
      <c r="AZ137" s="2" t="e">
        <f>VLOOKUP(H137,#REF!,2,FALSE)</f>
        <v>#REF!</v>
      </c>
      <c r="BF137" s="189" t="e">
        <f>VLOOKUP(CLEAN(H137),#REF!,2,FALSE)</f>
        <v>#REF!</v>
      </c>
      <c r="BG137" s="189" t="e">
        <f>T137-BF137</f>
        <v>#REF!</v>
      </c>
      <c r="BO137" s="2" t="e">
        <f>VLOOKUP(H137,#REF!,13,FALSE)</f>
        <v>#REF!</v>
      </c>
      <c r="BP137" s="2" t="e">
        <f>VLOOKUP(H137,#REF!,2,FALSE)</f>
        <v>#REF!</v>
      </c>
      <c r="BQ137" s="2" t="e">
        <f>VLOOKUP(H137,#REF!,13,FALSE)</f>
        <v>#REF!</v>
      </c>
      <c r="BR137" s="2" t="e">
        <f>VLOOKUP(H137,#REF!,3,FALSE)</f>
        <v>#REF!</v>
      </c>
    </row>
    <row r="138" spans="1:70" s="2" customFormat="1" ht="15" customHeight="1" outlineLevel="2">
      <c r="A138" s="5">
        <v>31</v>
      </c>
      <c r="B138" s="5" t="s">
        <v>11</v>
      </c>
      <c r="C138" s="5" t="s">
        <v>252</v>
      </c>
      <c r="D138" s="5" t="s">
        <v>7</v>
      </c>
      <c r="E138" s="5" t="s">
        <v>254</v>
      </c>
      <c r="F138" s="5" t="s">
        <v>75</v>
      </c>
      <c r="G138" s="5" t="s">
        <v>144</v>
      </c>
      <c r="H138" s="12">
        <v>30124377</v>
      </c>
      <c r="I138" s="42" t="str">
        <f t="shared" si="82"/>
        <v>30124377-EJECUCION</v>
      </c>
      <c r="J138" s="12"/>
      <c r="K138" s="307" t="str">
        <f t="shared" si="83"/>
        <v>30124377</v>
      </c>
      <c r="L138" s="15" t="s">
        <v>789</v>
      </c>
      <c r="M138" s="23">
        <v>285604000</v>
      </c>
      <c r="N138" s="34">
        <v>0</v>
      </c>
      <c r="O138" s="34">
        <f>187762000-120128000</f>
        <v>67634000</v>
      </c>
      <c r="P138" s="310">
        <v>0</v>
      </c>
      <c r="Q138" s="34">
        <v>0</v>
      </c>
      <c r="R138" s="308">
        <v>0</v>
      </c>
      <c r="S138" s="34">
        <f t="shared" si="84"/>
        <v>0</v>
      </c>
      <c r="T138" s="34">
        <v>0</v>
      </c>
      <c r="U138" s="34">
        <v>0</v>
      </c>
      <c r="V138" s="34">
        <f>P138+Q138+R138+T138+U138</f>
        <v>0</v>
      </c>
      <c r="W138" s="34">
        <f>O138-V138</f>
        <v>67634000</v>
      </c>
      <c r="X138" s="34">
        <f>M138-(N138+O138)</f>
        <v>217970000</v>
      </c>
      <c r="Y138" s="48" t="s">
        <v>246</v>
      </c>
      <c r="Z138" s="48" t="s">
        <v>357</v>
      </c>
      <c r="AA138" s="2" t="s">
        <v>840</v>
      </c>
      <c r="AB138" s="2" t="e">
        <f>VLOOKUP(H138,#REF!,2,FALSE)</f>
        <v>#REF!</v>
      </c>
      <c r="AC138" s="2" t="e">
        <f>VLOOKUP(I138,#REF!,2,FALSE)</f>
        <v>#REF!</v>
      </c>
      <c r="AD138" s="2" t="e">
        <f>VLOOKUP(H138,#REF!,13,FALSE)</f>
        <v>#REF!</v>
      </c>
      <c r="AE138" s="2" t="e">
        <f>VLOOKUP(I138,#REF!,7,FALSE)</f>
        <v>#REF!</v>
      </c>
      <c r="AF138" s="2">
        <v>25</v>
      </c>
      <c r="AG138" s="2" t="e">
        <f>VLOOKUP(H138,#REF!,13,FALSE)</f>
        <v>#REF!</v>
      </c>
      <c r="AH138" s="2" t="e">
        <f>VLOOKUP(I138,#REF!,2,FALSE)</f>
        <v>#REF!</v>
      </c>
      <c r="AJ138" s="185" t="e">
        <f>VLOOKUP(H138,#REF!,3,FALSE)</f>
        <v>#REF!</v>
      </c>
      <c r="AK138" s="185"/>
      <c r="AL138" s="185" t="e">
        <f>VLOOKUP(H138,#REF!,13,FALSE)</f>
        <v>#REF!</v>
      </c>
      <c r="AM138" s="185" t="e">
        <f>VLOOKUP(CLEAN(H138),#REF!,7,FALSE)</f>
        <v>#REF!</v>
      </c>
      <c r="AN138" s="2" t="e">
        <f>VLOOKUP(H138,#REF!,8,FALSE)</f>
        <v>#REF!</v>
      </c>
      <c r="AO138" s="189" t="e">
        <f>VLOOKUP(H138,#REF!,2,FALSE)</f>
        <v>#REF!</v>
      </c>
      <c r="AP138" s="189" t="e">
        <f>VLOOKUP(H138,#REF!,2,FALSE)</f>
        <v>#REF!</v>
      </c>
      <c r="AQ138" s="189"/>
      <c r="AR138" s="2" t="e">
        <f>VLOOKUP(CLEAN(H138),#REF!,2,FALSE)</f>
        <v>#REF!</v>
      </c>
      <c r="AT138" s="2" t="e">
        <f>VLOOKUP(H138,#REF!,13,FALSE)</f>
        <v>#REF!</v>
      </c>
      <c r="AU138" s="2" t="e">
        <f>VLOOKUP(H138,#REF!,13,FALSE)</f>
        <v>#REF!</v>
      </c>
      <c r="AV138" s="2" t="e">
        <f>VLOOKUP(H138,#REF!,13,FALSE)</f>
        <v>#REF!</v>
      </c>
      <c r="AW138" s="2" t="e">
        <f>VLOOKUP(H138,#REF!,13,FALSE)</f>
        <v>#REF!</v>
      </c>
      <c r="AX138" s="2" t="e">
        <f>VLOOKUP(H138,#REF!,9,FALSE)</f>
        <v>#REF!</v>
      </c>
      <c r="AZ138" s="2" t="e">
        <f>VLOOKUP(H138,#REF!,2,FALSE)</f>
        <v>#REF!</v>
      </c>
      <c r="BF138" s="189" t="e">
        <f>VLOOKUP(CLEAN(H138),#REF!,2,FALSE)</f>
        <v>#REF!</v>
      </c>
      <c r="BG138" s="189" t="e">
        <f>T138-BF138</f>
        <v>#REF!</v>
      </c>
      <c r="BO138" s="2" t="e">
        <f>VLOOKUP(H138,#REF!,13,FALSE)</f>
        <v>#REF!</v>
      </c>
      <c r="BP138" s="2" t="e">
        <f>VLOOKUP(H138,#REF!,2,FALSE)</f>
        <v>#REF!</v>
      </c>
      <c r="BQ138" s="2" t="e">
        <f>VLOOKUP(H138,#REF!,13,FALSE)</f>
        <v>#REF!</v>
      </c>
      <c r="BR138" s="2" t="e">
        <f>VLOOKUP(H138,#REF!,3,FALSE)</f>
        <v>#REF!</v>
      </c>
    </row>
    <row r="139" spans="1:70" s="2" customFormat="1" ht="15" customHeight="1" outlineLevel="2">
      <c r="A139" s="5">
        <v>31</v>
      </c>
      <c r="B139" s="5" t="s">
        <v>11</v>
      </c>
      <c r="C139" s="5" t="s">
        <v>252</v>
      </c>
      <c r="D139" s="5" t="s">
        <v>7</v>
      </c>
      <c r="E139" s="5" t="s">
        <v>254</v>
      </c>
      <c r="F139" s="5" t="s">
        <v>75</v>
      </c>
      <c r="G139" s="5" t="s">
        <v>144</v>
      </c>
      <c r="H139" s="12">
        <v>30124368</v>
      </c>
      <c r="I139" s="42" t="str">
        <f t="shared" si="82"/>
        <v>30124368-EJECUCION</v>
      </c>
      <c r="J139" s="12"/>
      <c r="K139" s="307" t="str">
        <f t="shared" si="83"/>
        <v>30124368</v>
      </c>
      <c r="L139" s="15" t="s">
        <v>791</v>
      </c>
      <c r="M139" s="23">
        <v>182674000</v>
      </c>
      <c r="N139" s="34">
        <v>0</v>
      </c>
      <c r="O139" s="34">
        <v>20000000</v>
      </c>
      <c r="P139" s="310">
        <v>0</v>
      </c>
      <c r="Q139" s="34">
        <v>0</v>
      </c>
      <c r="R139" s="308">
        <v>0</v>
      </c>
      <c r="S139" s="34">
        <f t="shared" si="84"/>
        <v>0</v>
      </c>
      <c r="T139" s="34">
        <v>0</v>
      </c>
      <c r="U139" s="34">
        <v>0</v>
      </c>
      <c r="V139" s="34">
        <f>P139+Q139+R139+T139+U139</f>
        <v>0</v>
      </c>
      <c r="W139" s="34">
        <f>O139-V139</f>
        <v>20000000</v>
      </c>
      <c r="X139" s="34">
        <f>M139-(N139+O139)</f>
        <v>162674000</v>
      </c>
      <c r="Y139" s="48" t="s">
        <v>246</v>
      </c>
      <c r="Z139" s="48" t="s">
        <v>357</v>
      </c>
      <c r="AA139" s="2" t="e">
        <v>#N/A</v>
      </c>
      <c r="AB139" s="2" t="e">
        <f>VLOOKUP(H139,#REF!,2,FALSE)</f>
        <v>#REF!</v>
      </c>
      <c r="AC139" s="2" t="e">
        <f>VLOOKUP(I139,#REF!,2,FALSE)</f>
        <v>#REF!</v>
      </c>
      <c r="AD139" s="2" t="e">
        <f>VLOOKUP(H139,#REF!,13,FALSE)</f>
        <v>#REF!</v>
      </c>
      <c r="AE139" s="2" t="e">
        <f>VLOOKUP(I139,#REF!,7,FALSE)</f>
        <v>#REF!</v>
      </c>
      <c r="AF139" s="2">
        <v>25</v>
      </c>
      <c r="AG139" s="2" t="e">
        <f>VLOOKUP(H139,#REF!,13,FALSE)</f>
        <v>#REF!</v>
      </c>
      <c r="AH139" s="2" t="e">
        <f>VLOOKUP(I139,#REF!,2,FALSE)</f>
        <v>#REF!</v>
      </c>
      <c r="AJ139" s="185" t="e">
        <f>VLOOKUP(H139,#REF!,3,FALSE)</f>
        <v>#REF!</v>
      </c>
      <c r="AK139" s="185"/>
      <c r="AL139" s="185" t="e">
        <f>VLOOKUP(H139,#REF!,13,FALSE)</f>
        <v>#REF!</v>
      </c>
      <c r="AM139" s="185" t="e">
        <f>VLOOKUP(CLEAN(H139),#REF!,7,FALSE)</f>
        <v>#REF!</v>
      </c>
      <c r="AN139" s="2" t="e">
        <f>VLOOKUP(H139,#REF!,8,FALSE)</f>
        <v>#REF!</v>
      </c>
      <c r="AO139" s="189" t="e">
        <f>VLOOKUP(H139,#REF!,2,FALSE)</f>
        <v>#REF!</v>
      </c>
      <c r="AP139" s="189" t="e">
        <f>VLOOKUP(H139,#REF!,2,FALSE)</f>
        <v>#REF!</v>
      </c>
      <c r="AQ139" s="189"/>
      <c r="AR139" s="2" t="e">
        <f>VLOOKUP(CLEAN(H139),#REF!,2,FALSE)</f>
        <v>#REF!</v>
      </c>
      <c r="AT139" s="2" t="e">
        <f>VLOOKUP(H139,#REF!,13,FALSE)</f>
        <v>#REF!</v>
      </c>
      <c r="AU139" s="2" t="e">
        <f>VLOOKUP(H139,#REF!,13,FALSE)</f>
        <v>#REF!</v>
      </c>
      <c r="AV139" s="2" t="e">
        <f>VLOOKUP(H139,#REF!,13,FALSE)</f>
        <v>#REF!</v>
      </c>
      <c r="AW139" s="2" t="e">
        <f>VLOOKUP(H139,#REF!,13,FALSE)</f>
        <v>#REF!</v>
      </c>
      <c r="AX139" s="2" t="e">
        <f>VLOOKUP(H139,#REF!,9,FALSE)</f>
        <v>#REF!</v>
      </c>
      <c r="AZ139" s="189" t="e">
        <f>VLOOKUP(H139,#REF!,2,FALSE)</f>
        <v>#REF!</v>
      </c>
      <c r="BF139" s="189" t="e">
        <f>VLOOKUP(CLEAN(H139),#REF!,2,FALSE)</f>
        <v>#REF!</v>
      </c>
      <c r="BG139" s="189" t="e">
        <f>T139-BF139</f>
        <v>#REF!</v>
      </c>
      <c r="BO139" s="2" t="e">
        <f>VLOOKUP(H139,#REF!,13,FALSE)</f>
        <v>#REF!</v>
      </c>
      <c r="BP139" s="2" t="e">
        <f>VLOOKUP(H139,#REF!,2,FALSE)</f>
        <v>#REF!</v>
      </c>
      <c r="BQ139" s="2" t="e">
        <f>VLOOKUP(H139,#REF!,13,FALSE)</f>
        <v>#REF!</v>
      </c>
      <c r="BR139" s="2" t="e">
        <f>VLOOKUP(H139,#REF!,3,FALSE)</f>
        <v>#REF!</v>
      </c>
    </row>
    <row r="140" spans="1:70" ht="15" customHeight="1" outlineLevel="2">
      <c r="A140" s="7"/>
      <c r="B140" s="7"/>
      <c r="C140" s="7"/>
      <c r="D140" s="7"/>
      <c r="E140" s="7"/>
      <c r="F140" s="7"/>
      <c r="G140" s="7"/>
      <c r="H140" s="11"/>
      <c r="I140" s="11"/>
      <c r="J140" s="11"/>
      <c r="K140" s="11"/>
      <c r="L140" s="17" t="s">
        <v>693</v>
      </c>
      <c r="M140" s="27">
        <f>SUBTOTAL(9,M136:M139)</f>
        <v>3306722000</v>
      </c>
      <c r="N140" s="27">
        <f t="shared" ref="N140:O140" si="85">SUBTOTAL(9,N136:N139)</f>
        <v>0</v>
      </c>
      <c r="O140" s="27">
        <f t="shared" si="85"/>
        <v>149738250</v>
      </c>
      <c r="P140" s="24">
        <f t="shared" ref="P140:X140" si="86">SUBTOTAL(9,P136:P139)</f>
        <v>0</v>
      </c>
      <c r="Q140" s="24">
        <f t="shared" si="86"/>
        <v>0</v>
      </c>
      <c r="R140" s="24">
        <f t="shared" si="86"/>
        <v>0</v>
      </c>
      <c r="S140" s="27">
        <f t="shared" si="86"/>
        <v>0</v>
      </c>
      <c r="T140" s="27">
        <f t="shared" si="86"/>
        <v>0</v>
      </c>
      <c r="U140" s="27">
        <f t="shared" si="86"/>
        <v>0</v>
      </c>
      <c r="V140" s="27">
        <f t="shared" si="86"/>
        <v>0</v>
      </c>
      <c r="W140" s="27">
        <f t="shared" si="86"/>
        <v>149738250</v>
      </c>
      <c r="X140" s="27">
        <f t="shared" si="86"/>
        <v>3156983750</v>
      </c>
      <c r="Y140" s="47"/>
      <c r="Z140" s="47"/>
      <c r="AO140"/>
      <c r="AP140"/>
      <c r="AQ140"/>
      <c r="AR140" s="2" t="e">
        <f>VLOOKUP(CLEAN(H140),#REF!,2,FALSE)</f>
        <v>#REF!</v>
      </c>
      <c r="AZ140" s="2" t="e">
        <f>VLOOKUP(H140,#REF!,2,FALSE)</f>
        <v>#REF!</v>
      </c>
      <c r="BO140" s="2" t="e">
        <f>VLOOKUP(H140,#REF!,13,FALSE)</f>
        <v>#REF!</v>
      </c>
      <c r="BQ140" s="2" t="e">
        <f>VLOOKUP(H140,#REF!,13,FALSE)</f>
        <v>#REF!</v>
      </c>
    </row>
    <row r="141" spans="1:70" ht="15" customHeight="1" outlineLevel="2">
      <c r="A141" s="7"/>
      <c r="B141" s="7"/>
      <c r="C141" s="7"/>
      <c r="D141" s="7"/>
      <c r="E141" s="7"/>
      <c r="F141" s="7"/>
      <c r="G141" s="7"/>
      <c r="H141" s="11"/>
      <c r="I141" s="11"/>
      <c r="J141" s="11"/>
      <c r="K141" s="11"/>
      <c r="L141" s="292"/>
      <c r="M141" s="22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47"/>
      <c r="Z141" s="47"/>
      <c r="AO141"/>
      <c r="AP141"/>
      <c r="AQ141"/>
      <c r="AR141" s="2" t="e">
        <f>VLOOKUP(CLEAN(H141),#REF!,2,FALSE)</f>
        <v>#REF!</v>
      </c>
      <c r="AZ141" s="2" t="e">
        <f>VLOOKUP(H141,#REF!,2,FALSE)</f>
        <v>#REF!</v>
      </c>
      <c r="BO141" s="2" t="e">
        <f>VLOOKUP(H141,#REF!,13,FALSE)</f>
        <v>#REF!</v>
      </c>
      <c r="BP141" s="293"/>
      <c r="BQ141" s="2" t="e">
        <f>VLOOKUP(H141,#REF!,13,FALSE)</f>
        <v>#REF!</v>
      </c>
    </row>
    <row r="142" spans="1:70" ht="18.75" customHeight="1" outlineLevel="1">
      <c r="A142" s="7"/>
      <c r="B142" s="7"/>
      <c r="C142" s="7"/>
      <c r="D142" s="7"/>
      <c r="E142" s="8"/>
      <c r="F142" s="7"/>
      <c r="G142" s="7"/>
      <c r="H142" s="11"/>
      <c r="I142" s="11"/>
      <c r="J142" s="11"/>
      <c r="K142" s="11"/>
      <c r="L142" s="45" t="s">
        <v>182</v>
      </c>
      <c r="M142" s="46">
        <f t="shared" ref="M142:X142" si="87">M133+M117+M140+M127+M122</f>
        <v>8923590313</v>
      </c>
      <c r="N142" s="46">
        <f t="shared" si="87"/>
        <v>2070774327</v>
      </c>
      <c r="O142" s="46">
        <f t="shared" si="87"/>
        <v>1825459250</v>
      </c>
      <c r="P142" s="46">
        <f t="shared" si="87"/>
        <v>0</v>
      </c>
      <c r="Q142" s="46">
        <f t="shared" si="87"/>
        <v>0</v>
      </c>
      <c r="R142" s="46">
        <f t="shared" si="87"/>
        <v>0</v>
      </c>
      <c r="S142" s="46">
        <f t="shared" si="87"/>
        <v>0</v>
      </c>
      <c r="T142" s="46">
        <f t="shared" si="87"/>
        <v>0</v>
      </c>
      <c r="U142" s="46">
        <f t="shared" si="87"/>
        <v>0</v>
      </c>
      <c r="V142" s="46">
        <f t="shared" si="87"/>
        <v>0</v>
      </c>
      <c r="W142" s="46">
        <f t="shared" si="87"/>
        <v>1825459250</v>
      </c>
      <c r="X142" s="46">
        <f t="shared" si="87"/>
        <v>5027356736</v>
      </c>
      <c r="Y142" s="47"/>
      <c r="Z142" s="47"/>
      <c r="AM142" s="185" t="e">
        <f>VLOOKUP(CLEAN(H142),#REF!,7,FALSE)</f>
        <v>#REF!</v>
      </c>
      <c r="AO142"/>
      <c r="AP142"/>
      <c r="AQ142"/>
      <c r="AR142" s="2" t="e">
        <f>VLOOKUP(CLEAN(H142),#REF!,2,FALSE)</f>
        <v>#REF!</v>
      </c>
      <c r="AZ142" s="2" t="e">
        <f>VLOOKUP(H142,#REF!,2,FALSE)</f>
        <v>#REF!</v>
      </c>
      <c r="BO142" s="2" t="e">
        <f>VLOOKUP(H142,#REF!,13,FALSE)</f>
        <v>#REF!</v>
      </c>
      <c r="BQ142" s="2" t="e">
        <f>VLOOKUP(H142,#REF!,13,FALSE)</f>
        <v>#REF!</v>
      </c>
    </row>
    <row r="143" spans="1:70" s="3" customFormat="1" ht="15" customHeight="1" outlineLevel="1">
      <c r="A143" s="7"/>
      <c r="B143" s="7"/>
      <c r="C143" s="7"/>
      <c r="D143" s="7"/>
      <c r="E143" s="8"/>
      <c r="F143" s="7"/>
      <c r="G143" s="7"/>
      <c r="H143" s="11"/>
      <c r="I143" s="11"/>
      <c r="J143" s="11"/>
      <c r="K143" s="11"/>
      <c r="L143" s="294"/>
      <c r="M143" s="26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47"/>
      <c r="Z143" s="47"/>
      <c r="AJ143" s="186"/>
      <c r="AK143" s="186"/>
      <c r="AL143" s="186"/>
      <c r="AM143" s="185" t="e">
        <f>VLOOKUP(CLEAN(H143),#REF!,7,FALSE)</f>
        <v>#REF!</v>
      </c>
      <c r="AR143" s="2" t="e">
        <f>VLOOKUP(CLEAN(H143),#REF!,2,FALSE)</f>
        <v>#REF!</v>
      </c>
      <c r="AZ143" s="2" t="e">
        <f>VLOOKUP(H143,#REF!,2,FALSE)</f>
        <v>#REF!</v>
      </c>
      <c r="BF143" s="193"/>
      <c r="BO143" s="2" t="e">
        <f>VLOOKUP(H143,#REF!,13,FALSE)</f>
        <v>#REF!</v>
      </c>
      <c r="BP143" s="7"/>
      <c r="BQ143" s="2" t="e">
        <f>VLOOKUP(H143,#REF!,13,FALSE)</f>
        <v>#REF!</v>
      </c>
    </row>
    <row r="144" spans="1:70" ht="26.25" customHeight="1" outlineLevel="1">
      <c r="A144" s="7"/>
      <c r="B144" s="7"/>
      <c r="C144" s="7"/>
      <c r="D144" s="7"/>
      <c r="E144" s="8"/>
      <c r="F144" s="7"/>
      <c r="G144" s="7"/>
      <c r="H144" s="11"/>
      <c r="I144" s="11"/>
      <c r="J144" s="11"/>
      <c r="K144" s="11"/>
      <c r="L144" s="57" t="s">
        <v>183</v>
      </c>
      <c r="M144" s="26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49"/>
      <c r="Z144" s="49"/>
      <c r="AM144" s="185" t="e">
        <f>VLOOKUP(CLEAN(H144),#REF!,7,FALSE)</f>
        <v>#REF!</v>
      </c>
      <c r="AO144"/>
      <c r="AP144"/>
      <c r="AQ144"/>
      <c r="AR144" s="2" t="e">
        <f>VLOOKUP(CLEAN(H144),#REF!,2,FALSE)</f>
        <v>#REF!</v>
      </c>
      <c r="AZ144" s="2" t="e">
        <f>VLOOKUP(H144,#REF!,2,FALSE)</f>
        <v>#REF!</v>
      </c>
      <c r="BO144" s="2" t="e">
        <f>VLOOKUP(H144,#REF!,13,FALSE)</f>
        <v>#REF!</v>
      </c>
      <c r="BQ144" s="2" t="e">
        <f>VLOOKUP(H144,#REF!,13,FALSE)</f>
        <v>#REF!</v>
      </c>
    </row>
    <row r="145" spans="1:70" ht="15" customHeight="1" outlineLevel="1">
      <c r="A145" s="7"/>
      <c r="B145" s="7"/>
      <c r="C145" s="7"/>
      <c r="D145" s="7"/>
      <c r="E145" s="8"/>
      <c r="F145" s="7"/>
      <c r="G145" s="7"/>
      <c r="H145" s="11"/>
      <c r="I145" s="11"/>
      <c r="J145" s="11"/>
      <c r="K145" s="11"/>
      <c r="L145" s="18" t="s">
        <v>695</v>
      </c>
      <c r="M145" s="26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49"/>
      <c r="Z145" s="49"/>
      <c r="AM145" s="185" t="e">
        <f>VLOOKUP(CLEAN(H145),#REF!,7,FALSE)</f>
        <v>#REF!</v>
      </c>
      <c r="AO145"/>
      <c r="AP145"/>
      <c r="AQ145"/>
      <c r="AR145" s="2" t="e">
        <f>VLOOKUP(CLEAN(H145),#REF!,2,FALSE)</f>
        <v>#REF!</v>
      </c>
      <c r="AZ145" s="2" t="e">
        <f>VLOOKUP(H145,#REF!,2,FALSE)</f>
        <v>#REF!</v>
      </c>
      <c r="BO145" s="2" t="e">
        <f>VLOOKUP(H145,#REF!,13,FALSE)</f>
        <v>#REF!</v>
      </c>
      <c r="BQ145" s="2" t="e">
        <f>VLOOKUP(H145,#REF!,13,FALSE)</f>
        <v>#REF!</v>
      </c>
    </row>
    <row r="146" spans="1:70" s="2" customFormat="1" ht="15" customHeight="1" outlineLevel="2">
      <c r="A146" s="5">
        <v>31</v>
      </c>
      <c r="B146" s="5" t="s">
        <v>5</v>
      </c>
      <c r="C146" s="5" t="s">
        <v>241</v>
      </c>
      <c r="D146" s="5" t="s">
        <v>7</v>
      </c>
      <c r="E146" s="5" t="s">
        <v>19</v>
      </c>
      <c r="F146" s="5" t="s">
        <v>89</v>
      </c>
      <c r="G146" s="5" t="s">
        <v>9</v>
      </c>
      <c r="H146" s="12">
        <v>30247072</v>
      </c>
      <c r="I146" s="42" t="str">
        <f>CONCATENATE(H146,"-",G146)</f>
        <v>30247072-DISEÑO</v>
      </c>
      <c r="J146" s="12"/>
      <c r="K146" s="307" t="str">
        <f>CLEAN(H146)</f>
        <v>30247072</v>
      </c>
      <c r="L146" s="15" t="s">
        <v>86</v>
      </c>
      <c r="M146" s="23">
        <v>74800000</v>
      </c>
      <c r="N146" s="34">
        <v>2093000</v>
      </c>
      <c r="O146" s="34">
        <v>41140000</v>
      </c>
      <c r="P146" s="310">
        <v>0</v>
      </c>
      <c r="Q146" s="34">
        <v>0</v>
      </c>
      <c r="R146" s="308">
        <v>26180000</v>
      </c>
      <c r="S146" s="34">
        <f>P146+Q146+R146</f>
        <v>26180000</v>
      </c>
      <c r="T146" s="34">
        <v>0</v>
      </c>
      <c r="U146" s="34">
        <v>0</v>
      </c>
      <c r="V146" s="34">
        <f>P146+Q146+R146+T146+U146</f>
        <v>26180000</v>
      </c>
      <c r="W146" s="34">
        <f>O146-V146</f>
        <v>14960000</v>
      </c>
      <c r="X146" s="34">
        <f>M146-(N146+O146)</f>
        <v>31567000</v>
      </c>
      <c r="Y146" s="48" t="s">
        <v>239</v>
      </c>
      <c r="Z146" s="48" t="s">
        <v>8</v>
      </c>
      <c r="AA146" s="2" t="s">
        <v>848</v>
      </c>
      <c r="AB146" s="2" t="e">
        <f>VLOOKUP(H146,#REF!,2,FALSE)</f>
        <v>#REF!</v>
      </c>
      <c r="AC146" s="2" t="e">
        <f>VLOOKUP(I146,#REF!,2,FALSE)</f>
        <v>#REF!</v>
      </c>
      <c r="AD146" s="2" t="e">
        <f>VLOOKUP(H146,#REF!,13,FALSE)</f>
        <v>#REF!</v>
      </c>
      <c r="AE146" s="2" t="e">
        <f>VLOOKUP(I146,#REF!,7,FALSE)</f>
        <v>#REF!</v>
      </c>
      <c r="AF146" s="2">
        <v>25</v>
      </c>
      <c r="AG146" s="2" t="e">
        <f>VLOOKUP(H146,#REF!,13,FALSE)</f>
        <v>#REF!</v>
      </c>
      <c r="AH146" s="2" t="e">
        <f>VLOOKUP(I146,#REF!,2,FALSE)</f>
        <v>#REF!</v>
      </c>
      <c r="AJ146" s="185" t="e">
        <f>VLOOKUP(H146,#REF!,3,FALSE)</f>
        <v>#REF!</v>
      </c>
      <c r="AK146" s="185"/>
      <c r="AL146" s="185" t="e">
        <f>VLOOKUP(H146,#REF!,13,FALSE)</f>
        <v>#REF!</v>
      </c>
      <c r="AM146" s="185" t="e">
        <f>VLOOKUP(CLEAN(H146),#REF!,7,FALSE)</f>
        <v>#REF!</v>
      </c>
      <c r="AN146" s="2" t="e">
        <f>VLOOKUP(H146,#REF!,8,FALSE)</f>
        <v>#REF!</v>
      </c>
      <c r="AO146" s="189" t="e">
        <f>VLOOKUP(H146,#REF!,2,FALSE)</f>
        <v>#REF!</v>
      </c>
      <c r="AP146" s="189" t="e">
        <f>VLOOKUP(H146,#REF!,2,FALSE)</f>
        <v>#REF!</v>
      </c>
      <c r="AQ146" s="189"/>
      <c r="AR146" s="2" t="e">
        <f>VLOOKUP(CLEAN(H146),#REF!,2,FALSE)</f>
        <v>#REF!</v>
      </c>
      <c r="AT146" s="2" t="e">
        <f>VLOOKUP(H146,#REF!,13,FALSE)</f>
        <v>#REF!</v>
      </c>
      <c r="AU146" s="2" t="e">
        <f>VLOOKUP(H146,#REF!,13,FALSE)</f>
        <v>#REF!</v>
      </c>
      <c r="AV146" s="2" t="e">
        <f>VLOOKUP(H146,#REF!,13,FALSE)</f>
        <v>#REF!</v>
      </c>
      <c r="AW146" s="2" t="e">
        <f>VLOOKUP(H146,#REF!,13,FALSE)</f>
        <v>#REF!</v>
      </c>
      <c r="AX146" s="2" t="e">
        <f>VLOOKUP(H146,#REF!,9,FALSE)</f>
        <v>#REF!</v>
      </c>
      <c r="AZ146" s="189" t="e">
        <f>VLOOKUP(H146,#REF!,2,FALSE)</f>
        <v>#REF!</v>
      </c>
      <c r="BF146" s="189" t="e">
        <f>VLOOKUP(CLEAN(H146),#REF!,2,FALSE)</f>
        <v>#REF!</v>
      </c>
      <c r="BG146" s="189" t="e">
        <f>T146-BF146</f>
        <v>#REF!</v>
      </c>
      <c r="BO146" s="2" t="e">
        <f>VLOOKUP(H146,#REF!,13,FALSE)</f>
        <v>#REF!</v>
      </c>
      <c r="BP146" s="2" t="e">
        <f>VLOOKUP(H146,#REF!,2,FALSE)</f>
        <v>#REF!</v>
      </c>
      <c r="BQ146" s="2" t="e">
        <f>VLOOKUP(H146,#REF!,13,FALSE)</f>
        <v>#REF!</v>
      </c>
      <c r="BR146" s="2" t="e">
        <f>VLOOKUP(H146,#REF!,3,FALSE)</f>
        <v>#REF!</v>
      </c>
    </row>
    <row r="147" spans="1:70" ht="15" customHeight="1" outlineLevel="2">
      <c r="A147" s="7"/>
      <c r="B147" s="7"/>
      <c r="C147" s="7"/>
      <c r="D147" s="7"/>
      <c r="E147" s="7"/>
      <c r="F147" s="7"/>
      <c r="G147" s="7"/>
      <c r="H147" s="11"/>
      <c r="I147" s="11"/>
      <c r="J147" s="11"/>
      <c r="K147" s="11"/>
      <c r="L147" s="17" t="s">
        <v>691</v>
      </c>
      <c r="M147" s="27">
        <f t="shared" ref="M147:X147" si="88">SUBTOTAL(9,M146:M146)</f>
        <v>74800000</v>
      </c>
      <c r="N147" s="27">
        <f t="shared" si="88"/>
        <v>2093000</v>
      </c>
      <c r="O147" s="27">
        <f t="shared" si="88"/>
        <v>41140000</v>
      </c>
      <c r="P147" s="24">
        <f t="shared" si="88"/>
        <v>0</v>
      </c>
      <c r="Q147" s="24">
        <f t="shared" si="88"/>
        <v>0</v>
      </c>
      <c r="R147" s="24">
        <f t="shared" si="88"/>
        <v>26180000</v>
      </c>
      <c r="S147" s="27">
        <f t="shared" si="88"/>
        <v>26180000</v>
      </c>
      <c r="T147" s="27">
        <f t="shared" si="88"/>
        <v>0</v>
      </c>
      <c r="U147" s="27">
        <f t="shared" si="88"/>
        <v>0</v>
      </c>
      <c r="V147" s="27">
        <f t="shared" si="88"/>
        <v>26180000</v>
      </c>
      <c r="W147" s="27">
        <f t="shared" si="88"/>
        <v>14960000</v>
      </c>
      <c r="X147" s="27">
        <f t="shared" si="88"/>
        <v>31567000</v>
      </c>
      <c r="Y147" s="47"/>
      <c r="Z147" s="47"/>
      <c r="AM147" s="185" t="e">
        <f>VLOOKUP(CLEAN(H147),#REF!,7,FALSE)</f>
        <v>#REF!</v>
      </c>
      <c r="AO147"/>
      <c r="AP147"/>
      <c r="AQ147"/>
      <c r="AR147" s="2" t="e">
        <f>VLOOKUP(CLEAN(H147),#REF!,2,FALSE)</f>
        <v>#REF!</v>
      </c>
      <c r="AZ147" s="2" t="e">
        <f>VLOOKUP(H147,#REF!,2,FALSE)</f>
        <v>#REF!</v>
      </c>
      <c r="BO147" s="2" t="e">
        <f>VLOOKUP(H147,#REF!,13,FALSE)</f>
        <v>#REF!</v>
      </c>
      <c r="BQ147" s="2" t="e">
        <f>VLOOKUP(H147,#REF!,13,FALSE)</f>
        <v>#REF!</v>
      </c>
    </row>
    <row r="148" spans="1:70" ht="15" customHeight="1" outlineLevel="2">
      <c r="A148" s="7"/>
      <c r="B148" s="7"/>
      <c r="C148" s="7"/>
      <c r="D148" s="7"/>
      <c r="E148" s="7"/>
      <c r="F148" s="7"/>
      <c r="G148" s="7"/>
      <c r="H148" s="11"/>
      <c r="I148" s="11"/>
      <c r="J148" s="11"/>
      <c r="K148" s="11"/>
      <c r="L148" s="292"/>
      <c r="M148" s="22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47"/>
      <c r="Z148" s="47"/>
      <c r="AM148" s="185" t="e">
        <f>VLOOKUP(CLEAN(H148),#REF!,7,FALSE)</f>
        <v>#REF!</v>
      </c>
      <c r="AO148"/>
      <c r="AP148"/>
      <c r="AQ148"/>
      <c r="AR148" s="2" t="e">
        <f>VLOOKUP(CLEAN(H148),#REF!,2,FALSE)</f>
        <v>#REF!</v>
      </c>
      <c r="AZ148" s="2" t="e">
        <f>VLOOKUP(H148,#REF!,2,FALSE)</f>
        <v>#REF!</v>
      </c>
      <c r="BO148" s="2" t="e">
        <f>VLOOKUP(H148,#REF!,13,FALSE)</f>
        <v>#REF!</v>
      </c>
      <c r="BP148" s="293"/>
      <c r="BQ148" s="2" t="e">
        <f>VLOOKUP(H148,#REF!,13,FALSE)</f>
        <v>#REF!</v>
      </c>
    </row>
    <row r="149" spans="1:70" ht="17.25" customHeight="1" outlineLevel="2">
      <c r="A149" s="7"/>
      <c r="B149" s="7"/>
      <c r="C149" s="7"/>
      <c r="D149" s="7"/>
      <c r="E149" s="7"/>
      <c r="F149" s="7"/>
      <c r="G149" s="7"/>
      <c r="H149" s="11"/>
      <c r="I149" s="11"/>
      <c r="J149" s="11"/>
      <c r="K149" s="11"/>
      <c r="L149" s="18" t="s">
        <v>697</v>
      </c>
      <c r="M149" s="22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47"/>
      <c r="Z149" s="47"/>
      <c r="AO149"/>
      <c r="AP149"/>
      <c r="AQ149"/>
      <c r="AR149" s="2" t="e">
        <f>VLOOKUP(CLEAN(H149),#REF!,2,FALSE)</f>
        <v>#REF!</v>
      </c>
      <c r="AZ149" s="2" t="e">
        <f>VLOOKUP(H149,#REF!,2,FALSE)</f>
        <v>#REF!</v>
      </c>
      <c r="BO149" s="2" t="e">
        <f>VLOOKUP(H149,#REF!,13,FALSE)</f>
        <v>#REF!</v>
      </c>
      <c r="BQ149" s="2" t="e">
        <f>VLOOKUP(H149,#REF!,13,FALSE)</f>
        <v>#REF!</v>
      </c>
    </row>
    <row r="150" spans="1:70" s="2" customFormat="1" ht="15" customHeight="1" outlineLevel="2">
      <c r="A150" s="5">
        <v>29</v>
      </c>
      <c r="B150" s="5" t="s">
        <v>54</v>
      </c>
      <c r="C150" s="5" t="s">
        <v>251</v>
      </c>
      <c r="D150" s="5" t="s">
        <v>7</v>
      </c>
      <c r="E150" s="5" t="s">
        <v>19</v>
      </c>
      <c r="F150" s="5" t="s">
        <v>457</v>
      </c>
      <c r="G150" s="5" t="s">
        <v>144</v>
      </c>
      <c r="H150" s="12">
        <v>30487187</v>
      </c>
      <c r="I150" s="42" t="str">
        <f>CONCATENATE(H150,"-",G150)</f>
        <v>30487187-EJECUCION</v>
      </c>
      <c r="J150" s="12"/>
      <c r="K150" s="307" t="str">
        <f>CLEAN(H150)</f>
        <v>30487187</v>
      </c>
      <c r="L150" s="15" t="s">
        <v>363</v>
      </c>
      <c r="M150" s="23">
        <f>89920068+26400000</f>
        <v>116320068</v>
      </c>
      <c r="N150" s="34">
        <v>89920068</v>
      </c>
      <c r="O150" s="34">
        <v>26400000</v>
      </c>
      <c r="P150" s="310">
        <v>0</v>
      </c>
      <c r="Q150" s="34">
        <v>0</v>
      </c>
      <c r="R150" s="308">
        <v>0</v>
      </c>
      <c r="S150" s="34">
        <f>P150+Q150+R150</f>
        <v>0</v>
      </c>
      <c r="T150" s="34">
        <v>26400000</v>
      </c>
      <c r="U150" s="34">
        <v>0</v>
      </c>
      <c r="V150" s="34">
        <f>P150+Q150+R150+T150+U150</f>
        <v>26400000</v>
      </c>
      <c r="W150" s="34">
        <f>O150-V150</f>
        <v>0</v>
      </c>
      <c r="X150" s="34">
        <f>M150-(N150+O150)</f>
        <v>0</v>
      </c>
      <c r="Y150" s="48" t="s">
        <v>460</v>
      </c>
      <c r="Z150" s="48" t="s">
        <v>10</v>
      </c>
      <c r="AA150" s="2" t="s">
        <v>848</v>
      </c>
      <c r="AB150" s="2" t="e">
        <f>VLOOKUP(H150,#REF!,2,FALSE)</f>
        <v>#REF!</v>
      </c>
      <c r="AC150" s="2" t="e">
        <f>VLOOKUP(I150,#REF!,2,FALSE)</f>
        <v>#REF!</v>
      </c>
      <c r="AD150" s="2" t="e">
        <f>VLOOKUP(H150,#REF!,13,FALSE)</f>
        <v>#REF!</v>
      </c>
      <c r="AE150" s="177" t="e">
        <f>VLOOKUP(I150,#REF!,7,FALSE)</f>
        <v>#REF!</v>
      </c>
      <c r="AF150" s="2">
        <v>25</v>
      </c>
      <c r="AG150" s="2" t="e">
        <f>VLOOKUP(H150,#REF!,13,FALSE)</f>
        <v>#REF!</v>
      </c>
      <c r="AH150" s="2" t="e">
        <f>VLOOKUP(I150,#REF!,2,FALSE)</f>
        <v>#REF!</v>
      </c>
      <c r="AJ150" s="185" t="e">
        <f>VLOOKUP(H150,#REF!,3,FALSE)</f>
        <v>#REF!</v>
      </c>
      <c r="AK150" s="185"/>
      <c r="AL150" s="185" t="e">
        <f>VLOOKUP(H150,#REF!,13,FALSE)</f>
        <v>#REF!</v>
      </c>
      <c r="AM150" s="185" t="e">
        <f>VLOOKUP(CLEAN(H150),#REF!,7,FALSE)</f>
        <v>#REF!</v>
      </c>
      <c r="AN150" s="2" t="e">
        <f>VLOOKUP(H150,#REF!,8,FALSE)</f>
        <v>#REF!</v>
      </c>
      <c r="AO150" s="189" t="e">
        <f>VLOOKUP(H150,#REF!,2,FALSE)</f>
        <v>#REF!</v>
      </c>
      <c r="AP150" s="189" t="e">
        <f>VLOOKUP(H150,#REF!,2,FALSE)</f>
        <v>#REF!</v>
      </c>
      <c r="AQ150" s="189"/>
      <c r="AR150" s="2" t="e">
        <f>VLOOKUP(CLEAN(H150),#REF!,2,FALSE)</f>
        <v>#REF!</v>
      </c>
      <c r="AT150" s="2" t="e">
        <f>VLOOKUP(H150,#REF!,13,FALSE)</f>
        <v>#REF!</v>
      </c>
      <c r="AU150" s="2" t="e">
        <f>VLOOKUP(H150,#REF!,13,FALSE)</f>
        <v>#REF!</v>
      </c>
      <c r="AV150" s="2" t="e">
        <f>VLOOKUP(H150,#REF!,13,FALSE)</f>
        <v>#REF!</v>
      </c>
      <c r="AW150" s="2" t="e">
        <f>VLOOKUP(H150,#REF!,13,FALSE)</f>
        <v>#REF!</v>
      </c>
      <c r="AX150" s="2" t="e">
        <f>VLOOKUP(H150,#REF!,9,FALSE)</f>
        <v>#REF!</v>
      </c>
      <c r="AZ150" s="2" t="e">
        <f>VLOOKUP(H150,#REF!,2,FALSE)</f>
        <v>#REF!</v>
      </c>
      <c r="BF150" s="189" t="e">
        <f>VLOOKUP(CLEAN(H150),#REF!,2,FALSE)</f>
        <v>#REF!</v>
      </c>
      <c r="BG150" s="189" t="e">
        <f>T150-BF150</f>
        <v>#REF!</v>
      </c>
      <c r="BO150" s="2" t="e">
        <f>VLOOKUP(H150,#REF!,13,FALSE)</f>
        <v>#REF!</v>
      </c>
      <c r="BP150" s="2" t="e">
        <f>VLOOKUP(H150,#REF!,2,FALSE)</f>
        <v>#REF!</v>
      </c>
      <c r="BQ150" s="2" t="e">
        <f>VLOOKUP(H150,#REF!,13,FALSE)</f>
        <v>#REF!</v>
      </c>
      <c r="BR150" s="2" t="e">
        <f>VLOOKUP(H150,#REF!,3,FALSE)</f>
        <v>#REF!</v>
      </c>
    </row>
    <row r="151" spans="1:70" ht="17.25" customHeight="1" outlineLevel="2">
      <c r="A151" s="7"/>
      <c r="B151" s="7"/>
      <c r="C151" s="7"/>
      <c r="D151" s="7"/>
      <c r="E151" s="7"/>
      <c r="F151" s="7"/>
      <c r="G151" s="7"/>
      <c r="H151" s="11"/>
      <c r="I151" s="11"/>
      <c r="J151" s="11"/>
      <c r="K151" s="11"/>
      <c r="L151" s="17" t="s">
        <v>694</v>
      </c>
      <c r="M151" s="27">
        <f>SUBTOTAL(9,M150)</f>
        <v>116320068</v>
      </c>
      <c r="N151" s="27">
        <f t="shared" ref="N151:O151" si="89">SUBTOTAL(9,N150)</f>
        <v>89920068</v>
      </c>
      <c r="O151" s="27">
        <f t="shared" si="89"/>
        <v>26400000</v>
      </c>
      <c r="P151" s="24">
        <f t="shared" ref="P151:X151" si="90">SUBTOTAL(9,P150)</f>
        <v>0</v>
      </c>
      <c r="Q151" s="24">
        <f t="shared" si="90"/>
        <v>0</v>
      </c>
      <c r="R151" s="24">
        <f t="shared" si="90"/>
        <v>0</v>
      </c>
      <c r="S151" s="27">
        <f t="shared" si="90"/>
        <v>0</v>
      </c>
      <c r="T151" s="27">
        <f t="shared" si="90"/>
        <v>26400000</v>
      </c>
      <c r="U151" s="27">
        <f t="shared" si="90"/>
        <v>0</v>
      </c>
      <c r="V151" s="27">
        <f t="shared" si="90"/>
        <v>26400000</v>
      </c>
      <c r="W151" s="27">
        <f t="shared" si="90"/>
        <v>0</v>
      </c>
      <c r="X151" s="27">
        <f t="shared" si="90"/>
        <v>0</v>
      </c>
      <c r="Y151" s="47"/>
      <c r="Z151" s="47"/>
      <c r="AO151"/>
      <c r="AP151"/>
      <c r="AQ151"/>
      <c r="AR151" s="2" t="e">
        <f>VLOOKUP(CLEAN(H151),#REF!,2,FALSE)</f>
        <v>#REF!</v>
      </c>
      <c r="AZ151" s="2" t="e">
        <f>VLOOKUP(H151,#REF!,2,FALSE)</f>
        <v>#REF!</v>
      </c>
      <c r="BO151" s="2" t="e">
        <f>VLOOKUP(H151,#REF!,13,FALSE)</f>
        <v>#REF!</v>
      </c>
      <c r="BQ151" s="2" t="e">
        <f>VLOOKUP(H151,#REF!,13,FALSE)</f>
        <v>#REF!</v>
      </c>
    </row>
    <row r="152" spans="1:70" s="2" customFormat="1" ht="15" customHeight="1" outlineLevel="2">
      <c r="A152" s="7"/>
      <c r="B152" s="7"/>
      <c r="C152" s="7"/>
      <c r="D152" s="7"/>
      <c r="E152" s="7"/>
      <c r="F152" s="7"/>
      <c r="G152" s="7"/>
      <c r="H152" s="11"/>
      <c r="I152" s="14"/>
      <c r="J152" s="14"/>
      <c r="K152" s="14"/>
      <c r="L152" s="294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47"/>
      <c r="Z152" s="47"/>
      <c r="AR152" s="2" t="e">
        <f>VLOOKUP(CLEAN(H152),#REF!,2,FALSE)</f>
        <v>#REF!</v>
      </c>
      <c r="AZ152" s="2" t="e">
        <f>VLOOKUP(H152,#REF!,2,FALSE)</f>
        <v>#REF!</v>
      </c>
      <c r="BF152" s="189"/>
      <c r="BO152" s="2" t="e">
        <f>VLOOKUP(H152,#REF!,13,FALSE)</f>
        <v>#REF!</v>
      </c>
      <c r="BP152" s="293"/>
      <c r="BQ152" s="2" t="e">
        <f>VLOOKUP(H152,#REF!,13,FALSE)</f>
        <v>#REF!</v>
      </c>
    </row>
    <row r="153" spans="1:70" ht="17.25" customHeight="1" outlineLevel="2">
      <c r="A153" s="7"/>
      <c r="B153" s="7"/>
      <c r="C153" s="7"/>
      <c r="D153" s="7"/>
      <c r="E153" s="7"/>
      <c r="F153" s="7"/>
      <c r="G153" s="7"/>
      <c r="H153" s="11"/>
      <c r="I153" s="11"/>
      <c r="J153" s="11"/>
      <c r="K153" s="11"/>
      <c r="L153" s="18" t="s">
        <v>701</v>
      </c>
      <c r="M153" s="22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47"/>
      <c r="Z153" s="47"/>
      <c r="AO153"/>
      <c r="AP153"/>
      <c r="AQ153"/>
      <c r="AR153" s="2" t="e">
        <f>VLOOKUP(CLEAN(H153),#REF!,2,FALSE)</f>
        <v>#REF!</v>
      </c>
      <c r="AZ153" s="2" t="e">
        <f>VLOOKUP(H153,#REF!,2,FALSE)</f>
        <v>#REF!</v>
      </c>
      <c r="BO153" s="2" t="e">
        <f>VLOOKUP(H153,#REF!,13,FALSE)</f>
        <v>#REF!</v>
      </c>
      <c r="BQ153" s="2" t="e">
        <f>VLOOKUP(H153,#REF!,13,FALSE)</f>
        <v>#REF!</v>
      </c>
    </row>
    <row r="154" spans="1:70" s="2" customFormat="1" ht="15" customHeight="1" outlineLevel="2">
      <c r="A154" s="5">
        <v>29</v>
      </c>
      <c r="B154" s="5" t="s">
        <v>11</v>
      </c>
      <c r="C154" s="5" t="s">
        <v>251</v>
      </c>
      <c r="D154" s="5" t="s">
        <v>7</v>
      </c>
      <c r="E154" s="5" t="s">
        <v>19</v>
      </c>
      <c r="F154" s="5" t="s">
        <v>457</v>
      </c>
      <c r="G154" s="5" t="s">
        <v>144</v>
      </c>
      <c r="H154" s="12">
        <v>40001702</v>
      </c>
      <c r="I154" s="311" t="str">
        <f>CONCATENATE(H154,"-",G154)</f>
        <v>40001702-EJECUCION</v>
      </c>
      <c r="J154" s="190"/>
      <c r="K154" s="309" t="str">
        <f>CLEAN(H154)</f>
        <v>40001702</v>
      </c>
      <c r="L154" s="15" t="s">
        <v>810</v>
      </c>
      <c r="M154" s="23">
        <v>70000000</v>
      </c>
      <c r="N154" s="34">
        <v>0</v>
      </c>
      <c r="O154" s="34">
        <v>70000000</v>
      </c>
      <c r="P154" s="310">
        <v>0</v>
      </c>
      <c r="Q154" s="34">
        <v>0</v>
      </c>
      <c r="R154" s="308">
        <v>0</v>
      </c>
      <c r="S154" s="34">
        <f>P154+Q154+R154</f>
        <v>0</v>
      </c>
      <c r="T154" s="34">
        <v>0</v>
      </c>
      <c r="U154" s="34">
        <v>0</v>
      </c>
      <c r="V154" s="34">
        <f>P154+Q154+R154+T154+U154</f>
        <v>0</v>
      </c>
      <c r="W154" s="34">
        <f>O154-V154</f>
        <v>70000000</v>
      </c>
      <c r="X154" s="34">
        <f>M154-(N154+O154)</f>
        <v>0</v>
      </c>
      <c r="Y154" s="48" t="s">
        <v>460</v>
      </c>
      <c r="Z154" s="48" t="s">
        <v>10</v>
      </c>
      <c r="AA154" s="2" t="e">
        <v>#N/A</v>
      </c>
      <c r="AB154" s="2" t="e">
        <f>VLOOKUP(H154,#REF!,2,FALSE)</f>
        <v>#REF!</v>
      </c>
      <c r="AJ154" s="185"/>
      <c r="AK154" s="185"/>
      <c r="AL154" s="185"/>
      <c r="AM154" s="185"/>
      <c r="AN154" s="2" t="e">
        <f>VLOOKUP(H154,#REF!,8,FALSE)</f>
        <v>#REF!</v>
      </c>
      <c r="AO154" s="189" t="e">
        <f>VLOOKUP(H154,#REF!,2,FALSE)</f>
        <v>#REF!</v>
      </c>
      <c r="AP154" s="189" t="e">
        <f>VLOOKUP(H154,#REF!,2,FALSE)</f>
        <v>#REF!</v>
      </c>
      <c r="AQ154" s="189"/>
      <c r="AR154" s="2" t="e">
        <f>VLOOKUP(CLEAN(H154),#REF!,2,FALSE)</f>
        <v>#REF!</v>
      </c>
      <c r="AT154" s="2" t="e">
        <f>VLOOKUP(H154,#REF!,13,FALSE)</f>
        <v>#REF!</v>
      </c>
      <c r="AU154" s="2" t="e">
        <f>VLOOKUP(H154,#REF!,13,FALSE)</f>
        <v>#REF!</v>
      </c>
      <c r="AV154" s="2" t="e">
        <f>VLOOKUP(H154,#REF!,13,FALSE)</f>
        <v>#REF!</v>
      </c>
      <c r="AW154" s="2" t="e">
        <f>VLOOKUP(H154,#REF!,13,FALSE)</f>
        <v>#REF!</v>
      </c>
      <c r="AX154" s="2" t="e">
        <f>VLOOKUP(H154,#REF!,9,FALSE)</f>
        <v>#REF!</v>
      </c>
      <c r="AZ154" s="2" t="e">
        <f>VLOOKUP(H154,#REF!,2,FALSE)</f>
        <v>#REF!</v>
      </c>
      <c r="BF154" s="189" t="e">
        <f>VLOOKUP(CLEAN(H154),#REF!,2,FALSE)</f>
        <v>#REF!</v>
      </c>
      <c r="BG154" s="189" t="e">
        <f>T154-BF154</f>
        <v>#REF!</v>
      </c>
      <c r="BO154" s="2" t="e">
        <f>VLOOKUP(H154,#REF!,13,FALSE)</f>
        <v>#REF!</v>
      </c>
      <c r="BP154" s="2" t="e">
        <f>VLOOKUP(H154,#REF!,2,FALSE)</f>
        <v>#REF!</v>
      </c>
      <c r="BQ154" s="2" t="e">
        <f>VLOOKUP(H154,#REF!,13,FALSE)</f>
        <v>#REF!</v>
      </c>
      <c r="BR154" s="2" t="e">
        <f>VLOOKUP(H154,#REF!,3,FALSE)</f>
        <v>#REF!</v>
      </c>
    </row>
    <row r="155" spans="1:70" s="2" customFormat="1" ht="17.25" customHeight="1" outlineLevel="2">
      <c r="A155" s="7"/>
      <c r="B155" s="7"/>
      <c r="C155" s="7"/>
      <c r="D155" s="7"/>
      <c r="E155" s="7"/>
      <c r="F155" s="7"/>
      <c r="G155" s="7"/>
      <c r="H155" s="11"/>
      <c r="I155" s="14"/>
      <c r="J155" s="14"/>
      <c r="K155" s="14"/>
      <c r="L155" s="17" t="s">
        <v>702</v>
      </c>
      <c r="M155" s="27">
        <f>SUBTOTAL(9,M154)</f>
        <v>70000000</v>
      </c>
      <c r="N155" s="27">
        <f t="shared" ref="N155:O155" si="91">SUBTOTAL(9,N154)</f>
        <v>0</v>
      </c>
      <c r="O155" s="27">
        <f t="shared" si="91"/>
        <v>70000000</v>
      </c>
      <c r="P155" s="24">
        <f t="shared" ref="P155:X155" si="92">SUBTOTAL(9,P154)</f>
        <v>0</v>
      </c>
      <c r="Q155" s="24">
        <f t="shared" si="92"/>
        <v>0</v>
      </c>
      <c r="R155" s="24">
        <f t="shared" si="92"/>
        <v>0</v>
      </c>
      <c r="S155" s="27">
        <f t="shared" si="92"/>
        <v>0</v>
      </c>
      <c r="T155" s="27">
        <f t="shared" si="92"/>
        <v>0</v>
      </c>
      <c r="U155" s="27">
        <f t="shared" si="92"/>
        <v>0</v>
      </c>
      <c r="V155" s="27">
        <f t="shared" si="92"/>
        <v>0</v>
      </c>
      <c r="W155" s="27">
        <f t="shared" si="92"/>
        <v>70000000</v>
      </c>
      <c r="X155" s="27">
        <f t="shared" si="92"/>
        <v>0</v>
      </c>
      <c r="Y155" s="50"/>
      <c r="Z155" s="50"/>
      <c r="AR155" s="2" t="e">
        <f>VLOOKUP(CLEAN(H155),#REF!,2,FALSE)</f>
        <v>#REF!</v>
      </c>
      <c r="AZ155" s="2" t="e">
        <f>VLOOKUP(H155,#REF!,2,FALSE)</f>
        <v>#REF!</v>
      </c>
      <c r="BF155" s="189"/>
      <c r="BO155" s="2" t="e">
        <f>VLOOKUP(H155,#REF!,13,FALSE)</f>
        <v>#REF!</v>
      </c>
      <c r="BQ155" s="2" t="e">
        <f>VLOOKUP(H155,#REF!,13,FALSE)</f>
        <v>#REF!</v>
      </c>
    </row>
    <row r="156" spans="1:70" ht="15" customHeight="1" outlineLevel="2">
      <c r="A156" s="7"/>
      <c r="B156" s="7"/>
      <c r="C156" s="7"/>
      <c r="D156" s="7"/>
      <c r="E156" s="7"/>
      <c r="F156" s="7"/>
      <c r="G156" s="7"/>
      <c r="H156" s="11"/>
      <c r="I156" s="11"/>
      <c r="J156" s="11"/>
      <c r="K156" s="11"/>
      <c r="L156" s="292"/>
      <c r="M156" s="22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47"/>
      <c r="Z156" s="47"/>
      <c r="AO156"/>
      <c r="AP156"/>
      <c r="AQ156"/>
      <c r="AR156" s="2" t="e">
        <f>VLOOKUP(CLEAN(H156),#REF!,2,FALSE)</f>
        <v>#REF!</v>
      </c>
      <c r="AZ156" s="2" t="e">
        <f>VLOOKUP(H156,#REF!,2,FALSE)</f>
        <v>#REF!</v>
      </c>
      <c r="BO156" s="2" t="e">
        <f>VLOOKUP(H156,#REF!,13,FALSE)</f>
        <v>#REF!</v>
      </c>
      <c r="BP156" s="293"/>
      <c r="BQ156" s="2" t="e">
        <f>VLOOKUP(H156,#REF!,13,FALSE)</f>
        <v>#REF!</v>
      </c>
    </row>
    <row r="157" spans="1:70" ht="15" customHeight="1" outlineLevel="2">
      <c r="A157" s="7"/>
      <c r="B157" s="7"/>
      <c r="C157" s="7"/>
      <c r="D157" s="7"/>
      <c r="E157" s="7"/>
      <c r="F157" s="7"/>
      <c r="G157" s="7"/>
      <c r="H157" s="11"/>
      <c r="I157" s="11"/>
      <c r="J157" s="11"/>
      <c r="K157" s="11"/>
      <c r="L157" s="18" t="s">
        <v>696</v>
      </c>
      <c r="M157" s="22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47"/>
      <c r="Z157" s="47"/>
      <c r="AM157" s="185" t="e">
        <f>VLOOKUP(CLEAN(H157),#REF!,7,FALSE)</f>
        <v>#REF!</v>
      </c>
      <c r="AO157"/>
      <c r="AP157"/>
      <c r="AQ157"/>
      <c r="AR157" s="2" t="e">
        <f>VLOOKUP(CLEAN(H157),#REF!,2,FALSE)</f>
        <v>#REF!</v>
      </c>
      <c r="AZ157" s="2" t="e">
        <f>VLOOKUP(H157,#REF!,2,FALSE)</f>
        <v>#REF!</v>
      </c>
      <c r="BO157" s="2" t="e">
        <f>VLOOKUP(H157,#REF!,13,FALSE)</f>
        <v>#REF!</v>
      </c>
      <c r="BQ157" s="2" t="e">
        <f>VLOOKUP(H157,#REF!,13,FALSE)</f>
        <v>#REF!</v>
      </c>
    </row>
    <row r="158" spans="1:70" s="2" customFormat="1" ht="15" customHeight="1" outlineLevel="2">
      <c r="A158" s="5">
        <v>31</v>
      </c>
      <c r="B158" s="5" t="s">
        <v>11</v>
      </c>
      <c r="C158" s="5" t="s">
        <v>240</v>
      </c>
      <c r="D158" s="5" t="s">
        <v>7</v>
      </c>
      <c r="E158" s="5" t="s">
        <v>19</v>
      </c>
      <c r="F158" s="5" t="s">
        <v>457</v>
      </c>
      <c r="G158" s="5" t="s">
        <v>9</v>
      </c>
      <c r="H158" s="12">
        <v>30405773</v>
      </c>
      <c r="I158" s="42" t="str">
        <f t="shared" ref="I158:I161" si="93">CONCATENATE(H158,"-",G158)</f>
        <v>30405773-DISEÑO</v>
      </c>
      <c r="J158" s="12" t="s">
        <v>719</v>
      </c>
      <c r="K158" s="307" t="str">
        <f t="shared" ref="K158:K161" si="94">CLEAN(H158)</f>
        <v>30405773</v>
      </c>
      <c r="L158" s="15" t="s">
        <v>327</v>
      </c>
      <c r="M158" s="23">
        <v>25000000</v>
      </c>
      <c r="N158" s="34">
        <v>0</v>
      </c>
      <c r="O158" s="34">
        <v>2500000</v>
      </c>
      <c r="P158" s="310">
        <v>0</v>
      </c>
      <c r="Q158" s="34">
        <v>0</v>
      </c>
      <c r="R158" s="308">
        <v>0</v>
      </c>
      <c r="S158" s="34">
        <f t="shared" ref="S158:S161" si="95">P158+Q158+R158</f>
        <v>0</v>
      </c>
      <c r="T158" s="34">
        <v>0</v>
      </c>
      <c r="U158" s="34">
        <v>0</v>
      </c>
      <c r="V158" s="34">
        <f>P158+Q158+R158+T158+U158</f>
        <v>0</v>
      </c>
      <c r="W158" s="34">
        <f>O158-V158</f>
        <v>2500000</v>
      </c>
      <c r="X158" s="34">
        <f>M158-(N158+O158)</f>
        <v>22500000</v>
      </c>
      <c r="Y158" s="48" t="s">
        <v>246</v>
      </c>
      <c r="Z158" s="48" t="s">
        <v>270</v>
      </c>
      <c r="AA158" s="2" t="e">
        <v>#N/A</v>
      </c>
      <c r="AB158" s="2" t="e">
        <f>VLOOKUP(H158,#REF!,2,FALSE)</f>
        <v>#REF!</v>
      </c>
      <c r="AC158" s="2" t="e">
        <f>VLOOKUP(I158,#REF!,2,FALSE)</f>
        <v>#REF!</v>
      </c>
      <c r="AD158" s="2" t="e">
        <f>VLOOKUP(H158,#REF!,13,FALSE)</f>
        <v>#REF!</v>
      </c>
      <c r="AE158" s="2" t="e">
        <f>VLOOKUP(I158,#REF!,7,FALSE)</f>
        <v>#REF!</v>
      </c>
      <c r="AF158" s="2">
        <v>25</v>
      </c>
      <c r="AG158" s="2" t="e">
        <f>VLOOKUP(H158,#REF!,13,FALSE)</f>
        <v>#REF!</v>
      </c>
      <c r="AH158" s="2" t="e">
        <f>VLOOKUP(I158,#REF!,2,FALSE)</f>
        <v>#REF!</v>
      </c>
      <c r="AJ158" s="185" t="e">
        <f>VLOOKUP(H158,#REF!,3,FALSE)</f>
        <v>#REF!</v>
      </c>
      <c r="AK158" s="185"/>
      <c r="AL158" s="185" t="e">
        <f>VLOOKUP(H158,#REF!,13,FALSE)</f>
        <v>#REF!</v>
      </c>
      <c r="AM158" s="185" t="e">
        <f>VLOOKUP(CLEAN(H158),#REF!,7,FALSE)</f>
        <v>#REF!</v>
      </c>
      <c r="AN158" s="2" t="e">
        <f>VLOOKUP(H158,#REF!,8,FALSE)</f>
        <v>#REF!</v>
      </c>
      <c r="AO158" s="189" t="e">
        <f>VLOOKUP(H158,#REF!,2,FALSE)</f>
        <v>#REF!</v>
      </c>
      <c r="AP158" s="189" t="e">
        <f>VLOOKUP(H158,#REF!,2,FALSE)</f>
        <v>#REF!</v>
      </c>
      <c r="AQ158" s="189"/>
      <c r="AR158" s="2" t="e">
        <f>VLOOKUP(CLEAN(H158),#REF!,2,FALSE)</f>
        <v>#REF!</v>
      </c>
      <c r="AT158" s="2" t="e">
        <f>VLOOKUP(H158,#REF!,13,FALSE)</f>
        <v>#REF!</v>
      </c>
      <c r="AU158" s="2" t="e">
        <f>VLOOKUP(H158,#REF!,13,FALSE)</f>
        <v>#REF!</v>
      </c>
      <c r="AV158" s="2" t="e">
        <f>VLOOKUP(H158,#REF!,13,FALSE)</f>
        <v>#REF!</v>
      </c>
      <c r="AW158" s="2" t="e">
        <f>VLOOKUP(H158,#REF!,13,FALSE)</f>
        <v>#REF!</v>
      </c>
      <c r="AX158" s="2" t="e">
        <f>VLOOKUP(H158,#REF!,9,FALSE)</f>
        <v>#REF!</v>
      </c>
      <c r="AZ158" s="2" t="e">
        <f>VLOOKUP(H158,#REF!,2,FALSE)</f>
        <v>#REF!</v>
      </c>
      <c r="BF158" s="189" t="e">
        <f>VLOOKUP(CLEAN(H158),#REF!,2,FALSE)</f>
        <v>#REF!</v>
      </c>
      <c r="BG158" s="189" t="e">
        <f>T158-BF158</f>
        <v>#REF!</v>
      </c>
      <c r="BO158" s="2" t="e">
        <f>VLOOKUP(H158,#REF!,13,FALSE)</f>
        <v>#REF!</v>
      </c>
      <c r="BP158" s="2" t="e">
        <f>VLOOKUP(H158,#REF!,2,FALSE)</f>
        <v>#REF!</v>
      </c>
      <c r="BQ158" s="2" t="e">
        <f>VLOOKUP(H158,#REF!,13,FALSE)</f>
        <v>#REF!</v>
      </c>
      <c r="BR158" s="2" t="e">
        <f>VLOOKUP(H158,#REF!,3,FALSE)</f>
        <v>#REF!</v>
      </c>
    </row>
    <row r="159" spans="1:70" s="2" customFormat="1" ht="15" customHeight="1" outlineLevel="2">
      <c r="A159" s="5">
        <v>31</v>
      </c>
      <c r="B159" s="5" t="s">
        <v>11</v>
      </c>
      <c r="C159" s="5" t="s">
        <v>252</v>
      </c>
      <c r="D159" s="5" t="s">
        <v>7</v>
      </c>
      <c r="E159" s="5" t="s">
        <v>19</v>
      </c>
      <c r="F159" s="5" t="s">
        <v>75</v>
      </c>
      <c r="G159" s="5" t="s">
        <v>144</v>
      </c>
      <c r="H159" s="12">
        <v>30465145</v>
      </c>
      <c r="I159" s="42" t="str">
        <f t="shared" si="93"/>
        <v>30465145-EJECUCION</v>
      </c>
      <c r="J159" s="12"/>
      <c r="K159" s="307" t="str">
        <f t="shared" si="94"/>
        <v>30465145</v>
      </c>
      <c r="L159" s="15" t="s">
        <v>792</v>
      </c>
      <c r="M159" s="23">
        <v>429195000</v>
      </c>
      <c r="N159" s="34">
        <v>0</v>
      </c>
      <c r="O159" s="34">
        <v>21459750</v>
      </c>
      <c r="P159" s="310">
        <v>0</v>
      </c>
      <c r="Q159" s="34">
        <v>0</v>
      </c>
      <c r="R159" s="308">
        <v>0</v>
      </c>
      <c r="S159" s="34">
        <f t="shared" si="95"/>
        <v>0</v>
      </c>
      <c r="T159" s="34">
        <v>0</v>
      </c>
      <c r="U159" s="34">
        <v>0</v>
      </c>
      <c r="V159" s="34">
        <f>P159+Q159+R159+T159+U159</f>
        <v>0</v>
      </c>
      <c r="W159" s="34">
        <f>O159-V159</f>
        <v>21459750</v>
      </c>
      <c r="X159" s="34">
        <f>M159-(N159+O159)</f>
        <v>407735250</v>
      </c>
      <c r="Y159" s="48" t="s">
        <v>246</v>
      </c>
      <c r="Z159" s="48" t="s">
        <v>357</v>
      </c>
      <c r="AA159" s="2" t="e">
        <v>#N/A</v>
      </c>
      <c r="AB159" s="2" t="e">
        <f>VLOOKUP(H159,#REF!,2,FALSE)</f>
        <v>#REF!</v>
      </c>
      <c r="AC159" s="2" t="e">
        <f>VLOOKUP(I159,#REF!,2,FALSE)</f>
        <v>#REF!</v>
      </c>
      <c r="AD159" s="2" t="e">
        <f>VLOOKUP(H159,#REF!,13,FALSE)</f>
        <v>#REF!</v>
      </c>
      <c r="AE159" s="2" t="e">
        <f>VLOOKUP(I159,#REF!,7,FALSE)</f>
        <v>#REF!</v>
      </c>
      <c r="AF159" s="2">
        <v>25</v>
      </c>
      <c r="AG159" s="2" t="e">
        <f>VLOOKUP(H159,#REF!,13,FALSE)</f>
        <v>#REF!</v>
      </c>
      <c r="AH159" s="2" t="e">
        <f>VLOOKUP(I159,#REF!,2,FALSE)</f>
        <v>#REF!</v>
      </c>
      <c r="AJ159" s="185" t="e">
        <f>VLOOKUP(H159,#REF!,3,FALSE)</f>
        <v>#REF!</v>
      </c>
      <c r="AK159" s="185"/>
      <c r="AL159" s="185" t="e">
        <f>VLOOKUP(H159,#REF!,13,FALSE)</f>
        <v>#REF!</v>
      </c>
      <c r="AM159" s="185" t="e">
        <f>VLOOKUP(CLEAN(H159),#REF!,7,FALSE)</f>
        <v>#REF!</v>
      </c>
      <c r="AN159" s="2" t="e">
        <f>VLOOKUP(H159,#REF!,8,FALSE)</f>
        <v>#REF!</v>
      </c>
      <c r="AO159" s="189" t="e">
        <f>VLOOKUP(H159,#REF!,2,FALSE)</f>
        <v>#REF!</v>
      </c>
      <c r="AP159" s="189" t="e">
        <f>VLOOKUP(H159,#REF!,2,FALSE)</f>
        <v>#REF!</v>
      </c>
      <c r="AQ159" s="189"/>
      <c r="AR159" s="2" t="e">
        <f>VLOOKUP(CLEAN(H159),#REF!,2,FALSE)</f>
        <v>#REF!</v>
      </c>
      <c r="AT159" s="2" t="e">
        <f>VLOOKUP(H159,#REF!,13,FALSE)</f>
        <v>#REF!</v>
      </c>
      <c r="AU159" s="2" t="e">
        <f>VLOOKUP(H159,#REF!,13,FALSE)</f>
        <v>#REF!</v>
      </c>
      <c r="AV159" s="2" t="e">
        <f>VLOOKUP(H159,#REF!,13,FALSE)</f>
        <v>#REF!</v>
      </c>
      <c r="AW159" s="2" t="e">
        <f>VLOOKUP(H159,#REF!,13,FALSE)</f>
        <v>#REF!</v>
      </c>
      <c r="AX159" s="2" t="e">
        <f>VLOOKUP(H159,#REF!,9,FALSE)</f>
        <v>#REF!</v>
      </c>
      <c r="AZ159" s="189" t="e">
        <f>VLOOKUP(H159,#REF!,2,FALSE)</f>
        <v>#REF!</v>
      </c>
      <c r="BF159" s="189" t="e">
        <f>VLOOKUP(CLEAN(H159),#REF!,2,FALSE)</f>
        <v>#REF!</v>
      </c>
      <c r="BG159" s="189" t="e">
        <f>T159-BF159</f>
        <v>#REF!</v>
      </c>
      <c r="BO159" s="2" t="e">
        <f>VLOOKUP(H159,#REF!,13,FALSE)</f>
        <v>#REF!</v>
      </c>
      <c r="BP159" s="2" t="e">
        <f>VLOOKUP(H159,#REF!,2,FALSE)</f>
        <v>#REF!</v>
      </c>
      <c r="BQ159" s="2" t="e">
        <f>VLOOKUP(H159,#REF!,13,FALSE)</f>
        <v>#REF!</v>
      </c>
      <c r="BR159" s="2" t="e">
        <f>VLOOKUP(H159,#REF!,3,FALSE)</f>
        <v>#REF!</v>
      </c>
    </row>
    <row r="160" spans="1:70" s="2" customFormat="1" ht="15" customHeight="1" outlineLevel="2">
      <c r="A160" s="5">
        <v>31</v>
      </c>
      <c r="B160" s="5" t="s">
        <v>11</v>
      </c>
      <c r="C160" s="5" t="s">
        <v>252</v>
      </c>
      <c r="D160" s="5" t="s">
        <v>7</v>
      </c>
      <c r="E160" s="5" t="s">
        <v>19</v>
      </c>
      <c r="F160" s="5" t="s">
        <v>75</v>
      </c>
      <c r="G160" s="5" t="s">
        <v>144</v>
      </c>
      <c r="H160" s="12">
        <v>30176872</v>
      </c>
      <c r="I160" s="42" t="str">
        <f t="shared" si="93"/>
        <v>30176872-EJECUCION</v>
      </c>
      <c r="J160" s="12"/>
      <c r="K160" s="307" t="str">
        <f t="shared" si="94"/>
        <v>30176872</v>
      </c>
      <c r="L160" s="15" t="s">
        <v>793</v>
      </c>
      <c r="M160" s="23">
        <v>247206000</v>
      </c>
      <c r="N160" s="34">
        <v>0</v>
      </c>
      <c r="O160" s="34">
        <v>12360300</v>
      </c>
      <c r="P160" s="310">
        <v>0</v>
      </c>
      <c r="Q160" s="34">
        <v>0</v>
      </c>
      <c r="R160" s="308">
        <v>0</v>
      </c>
      <c r="S160" s="34">
        <f t="shared" si="95"/>
        <v>0</v>
      </c>
      <c r="T160" s="34">
        <v>0</v>
      </c>
      <c r="U160" s="34">
        <v>0</v>
      </c>
      <c r="V160" s="34">
        <f>P160+Q160+R160+T160+U160</f>
        <v>0</v>
      </c>
      <c r="W160" s="34">
        <f>O160-V160</f>
        <v>12360300</v>
      </c>
      <c r="X160" s="34">
        <f>M160-(N160+O160)</f>
        <v>234845700</v>
      </c>
      <c r="Y160" s="48" t="s">
        <v>246</v>
      </c>
      <c r="Z160" s="48" t="s">
        <v>357</v>
      </c>
      <c r="AA160" s="2" t="e">
        <v>#N/A</v>
      </c>
      <c r="AB160" s="2" t="e">
        <f>VLOOKUP(H160,#REF!,2,FALSE)</f>
        <v>#REF!</v>
      </c>
      <c r="AC160" s="2" t="e">
        <f>VLOOKUP(I160,#REF!,2,FALSE)</f>
        <v>#REF!</v>
      </c>
      <c r="AD160" s="2" t="e">
        <f>VLOOKUP(H160,#REF!,13,FALSE)</f>
        <v>#REF!</v>
      </c>
      <c r="AE160" s="2" t="e">
        <f>VLOOKUP(I160,#REF!,7,FALSE)</f>
        <v>#REF!</v>
      </c>
      <c r="AF160" s="2">
        <v>25</v>
      </c>
      <c r="AG160" s="2" t="e">
        <f>VLOOKUP(H160,#REF!,13,FALSE)</f>
        <v>#REF!</v>
      </c>
      <c r="AH160" s="2" t="e">
        <f>VLOOKUP(I160,#REF!,2,FALSE)</f>
        <v>#REF!</v>
      </c>
      <c r="AJ160" s="185" t="e">
        <f>VLOOKUP(H160,#REF!,3,FALSE)</f>
        <v>#REF!</v>
      </c>
      <c r="AK160" s="185"/>
      <c r="AL160" s="185" t="e">
        <f>VLOOKUP(H160,#REF!,13,FALSE)</f>
        <v>#REF!</v>
      </c>
      <c r="AM160" s="185" t="e">
        <f>VLOOKUP(CLEAN(H160),#REF!,7,FALSE)</f>
        <v>#REF!</v>
      </c>
      <c r="AN160" s="2" t="e">
        <f>VLOOKUP(H160,#REF!,8,FALSE)</f>
        <v>#REF!</v>
      </c>
      <c r="AO160" s="189" t="e">
        <f>VLOOKUP(H160,#REF!,2,FALSE)</f>
        <v>#REF!</v>
      </c>
      <c r="AP160" s="189" t="e">
        <f>VLOOKUP(H160,#REF!,2,FALSE)</f>
        <v>#REF!</v>
      </c>
      <c r="AQ160" s="189"/>
      <c r="AR160" s="2" t="e">
        <f>VLOOKUP(CLEAN(H160),#REF!,2,FALSE)</f>
        <v>#REF!</v>
      </c>
      <c r="AT160" s="2" t="e">
        <f>VLOOKUP(H160,#REF!,13,FALSE)</f>
        <v>#REF!</v>
      </c>
      <c r="AU160" s="2" t="e">
        <f>VLOOKUP(H160,#REF!,13,FALSE)</f>
        <v>#REF!</v>
      </c>
      <c r="AV160" s="2" t="e">
        <f>VLOOKUP(H160,#REF!,13,FALSE)</f>
        <v>#REF!</v>
      </c>
      <c r="AW160" s="2" t="e">
        <f>VLOOKUP(H160,#REF!,13,FALSE)</f>
        <v>#REF!</v>
      </c>
      <c r="AX160" s="2" t="e">
        <f>VLOOKUP(H160,#REF!,9,FALSE)</f>
        <v>#REF!</v>
      </c>
      <c r="AZ160" s="2" t="e">
        <f>VLOOKUP(H160,#REF!,2,FALSE)</f>
        <v>#REF!</v>
      </c>
      <c r="BF160" s="189" t="e">
        <f>VLOOKUP(CLEAN(H160),#REF!,2,FALSE)</f>
        <v>#REF!</v>
      </c>
      <c r="BG160" s="189" t="e">
        <f>T160-BF160</f>
        <v>#REF!</v>
      </c>
      <c r="BO160" s="2" t="e">
        <f>VLOOKUP(H160,#REF!,13,FALSE)</f>
        <v>#REF!</v>
      </c>
      <c r="BP160" s="2" t="e">
        <f>VLOOKUP(H160,#REF!,2,FALSE)</f>
        <v>#REF!</v>
      </c>
      <c r="BQ160" s="2" t="e">
        <f>VLOOKUP(H160,#REF!,13,FALSE)</f>
        <v>#REF!</v>
      </c>
      <c r="BR160" s="2" t="e">
        <f>VLOOKUP(H160,#REF!,3,FALSE)</f>
        <v>#REF!</v>
      </c>
    </row>
    <row r="161" spans="1:70" s="2" customFormat="1" ht="15" customHeight="1" outlineLevel="2">
      <c r="A161" s="5">
        <v>31</v>
      </c>
      <c r="B161" s="5" t="s">
        <v>11</v>
      </c>
      <c r="C161" s="5" t="s">
        <v>311</v>
      </c>
      <c r="D161" s="5" t="s">
        <v>7</v>
      </c>
      <c r="E161" s="5" t="s">
        <v>19</v>
      </c>
      <c r="F161" s="5" t="s">
        <v>457</v>
      </c>
      <c r="G161" s="5" t="s">
        <v>144</v>
      </c>
      <c r="H161" s="12">
        <v>30465141</v>
      </c>
      <c r="I161" s="42" t="str">
        <f t="shared" si="93"/>
        <v>30465141-EJECUCION</v>
      </c>
      <c r="J161" s="12"/>
      <c r="K161" s="307" t="str">
        <f t="shared" si="94"/>
        <v>30465141</v>
      </c>
      <c r="L161" s="15" t="s">
        <v>389</v>
      </c>
      <c r="M161" s="23">
        <v>225854000</v>
      </c>
      <c r="N161" s="34">
        <v>0</v>
      </c>
      <c r="O161" s="34">
        <f>11292700+19545932-26400000</f>
        <v>4438632</v>
      </c>
      <c r="P161" s="310">
        <v>0</v>
      </c>
      <c r="Q161" s="34">
        <v>0</v>
      </c>
      <c r="R161" s="308">
        <v>0</v>
      </c>
      <c r="S161" s="34">
        <f t="shared" si="95"/>
        <v>0</v>
      </c>
      <c r="T161" s="34">
        <v>0</v>
      </c>
      <c r="U161" s="34">
        <v>0</v>
      </c>
      <c r="V161" s="34">
        <f>P161+Q161+R161+T161+U161</f>
        <v>0</v>
      </c>
      <c r="W161" s="34">
        <f>O161-V161</f>
        <v>4438632</v>
      </c>
      <c r="X161" s="34">
        <f>M161-(N161+O161)</f>
        <v>221415368</v>
      </c>
      <c r="Y161" s="48" t="s">
        <v>246</v>
      </c>
      <c r="Z161" s="48" t="s">
        <v>421</v>
      </c>
      <c r="AA161" s="2" t="e">
        <v>#N/A</v>
      </c>
      <c r="AB161" s="2" t="e">
        <f>VLOOKUP(H161,#REF!,2,FALSE)</f>
        <v>#REF!</v>
      </c>
      <c r="AC161" s="2" t="e">
        <f>VLOOKUP(I161,#REF!,2,FALSE)</f>
        <v>#REF!</v>
      </c>
      <c r="AD161" s="2" t="e">
        <f>VLOOKUP(H161,#REF!,13,FALSE)</f>
        <v>#REF!</v>
      </c>
      <c r="AE161" s="2" t="e">
        <f>VLOOKUP(I161,#REF!,7,FALSE)</f>
        <v>#REF!</v>
      </c>
      <c r="AF161" s="2">
        <v>25</v>
      </c>
      <c r="AG161" s="2" t="e">
        <f>VLOOKUP(H161,#REF!,13,FALSE)</f>
        <v>#REF!</v>
      </c>
      <c r="AH161" s="2" t="e">
        <f>VLOOKUP(I161,#REF!,2,FALSE)</f>
        <v>#REF!</v>
      </c>
      <c r="AJ161" s="185" t="e">
        <f>VLOOKUP(H161,#REF!,3,FALSE)</f>
        <v>#REF!</v>
      </c>
      <c r="AK161" s="185"/>
      <c r="AL161" s="185" t="e">
        <f>VLOOKUP(H161,#REF!,13,FALSE)</f>
        <v>#REF!</v>
      </c>
      <c r="AM161" s="185" t="e">
        <f>VLOOKUP(CLEAN(H161),#REF!,7,FALSE)</f>
        <v>#REF!</v>
      </c>
      <c r="AN161" s="2" t="e">
        <f>VLOOKUP(H161,#REF!,8,FALSE)</f>
        <v>#REF!</v>
      </c>
      <c r="AO161" s="189" t="e">
        <f>VLOOKUP(H161,#REF!,2,FALSE)</f>
        <v>#REF!</v>
      </c>
      <c r="AP161" s="189" t="e">
        <f>VLOOKUP(H161,#REF!,2,FALSE)</f>
        <v>#REF!</v>
      </c>
      <c r="AQ161" s="189"/>
      <c r="AR161" s="2" t="e">
        <f>VLOOKUP(CLEAN(H161),#REF!,2,FALSE)</f>
        <v>#REF!</v>
      </c>
      <c r="AT161" s="2" t="e">
        <f>VLOOKUP(H161,#REF!,13,FALSE)</f>
        <v>#REF!</v>
      </c>
      <c r="AU161" s="2" t="e">
        <f>VLOOKUP(H161,#REF!,13,FALSE)</f>
        <v>#REF!</v>
      </c>
      <c r="AV161" s="2" t="e">
        <f>VLOOKUP(H161,#REF!,13,FALSE)</f>
        <v>#REF!</v>
      </c>
      <c r="AW161" s="2" t="e">
        <f>VLOOKUP(H161,#REF!,13,FALSE)</f>
        <v>#REF!</v>
      </c>
      <c r="AX161" s="2" t="e">
        <f>VLOOKUP(H161,#REF!,9,FALSE)</f>
        <v>#REF!</v>
      </c>
      <c r="AZ161" s="2" t="e">
        <f>VLOOKUP(H161,#REF!,2,FALSE)</f>
        <v>#REF!</v>
      </c>
      <c r="BF161" s="189" t="e">
        <f>VLOOKUP(CLEAN(H161),#REF!,2,FALSE)</f>
        <v>#REF!</v>
      </c>
      <c r="BG161" s="189" t="e">
        <f>T161-BF161</f>
        <v>#REF!</v>
      </c>
      <c r="BO161" s="2" t="e">
        <f>VLOOKUP(H161,#REF!,13,FALSE)</f>
        <v>#REF!</v>
      </c>
      <c r="BP161" s="2" t="e">
        <f>VLOOKUP(H161,#REF!,2,FALSE)</f>
        <v>#REF!</v>
      </c>
      <c r="BQ161" s="2" t="e">
        <f>VLOOKUP(H161,#REF!,13,FALSE)</f>
        <v>#REF!</v>
      </c>
      <c r="BR161" s="2" t="e">
        <f>VLOOKUP(H161,#REF!,3,FALSE)</f>
        <v>#REF!</v>
      </c>
    </row>
    <row r="162" spans="1:70" ht="15" customHeight="1" outlineLevel="2">
      <c r="A162" s="7"/>
      <c r="B162" s="7"/>
      <c r="C162" s="7"/>
      <c r="D162" s="7"/>
      <c r="E162" s="7"/>
      <c r="F162" s="7"/>
      <c r="G162" s="7"/>
      <c r="H162" s="11"/>
      <c r="I162" s="11"/>
      <c r="J162" s="11"/>
      <c r="K162" s="11"/>
      <c r="L162" s="17" t="s">
        <v>693</v>
      </c>
      <c r="M162" s="27">
        <f t="shared" ref="M162:X162" si="96">SUBTOTAL(9,M158:M161)</f>
        <v>927255000</v>
      </c>
      <c r="N162" s="27">
        <f t="shared" si="96"/>
        <v>0</v>
      </c>
      <c r="O162" s="27">
        <f t="shared" si="96"/>
        <v>40758682</v>
      </c>
      <c r="P162" s="24">
        <f t="shared" si="96"/>
        <v>0</v>
      </c>
      <c r="Q162" s="24">
        <f t="shared" si="96"/>
        <v>0</v>
      </c>
      <c r="R162" s="24">
        <f t="shared" si="96"/>
        <v>0</v>
      </c>
      <c r="S162" s="27">
        <f t="shared" si="96"/>
        <v>0</v>
      </c>
      <c r="T162" s="27">
        <f t="shared" si="96"/>
        <v>0</v>
      </c>
      <c r="U162" s="27">
        <f t="shared" si="96"/>
        <v>0</v>
      </c>
      <c r="V162" s="27">
        <f t="shared" si="96"/>
        <v>0</v>
      </c>
      <c r="W162" s="27">
        <f t="shared" si="96"/>
        <v>40758682</v>
      </c>
      <c r="X162" s="27">
        <f t="shared" si="96"/>
        <v>886496318</v>
      </c>
      <c r="Y162" s="47"/>
      <c r="Z162" s="47"/>
      <c r="AM162" s="185" t="e">
        <f>VLOOKUP(CLEAN(H162),#REF!,7,FALSE)</f>
        <v>#REF!</v>
      </c>
      <c r="AO162"/>
      <c r="AP162"/>
      <c r="AQ162"/>
      <c r="AR162" s="2" t="e">
        <f>VLOOKUP(CLEAN(H162),#REF!,2,FALSE)</f>
        <v>#REF!</v>
      </c>
      <c r="AZ162" s="2" t="e">
        <f>VLOOKUP(H162,#REF!,2,FALSE)</f>
        <v>#REF!</v>
      </c>
      <c r="BO162" s="2" t="e">
        <f>VLOOKUP(H162,#REF!,13,FALSE)</f>
        <v>#REF!</v>
      </c>
      <c r="BQ162" s="2" t="e">
        <f>VLOOKUP(H162,#REF!,13,FALSE)</f>
        <v>#REF!</v>
      </c>
    </row>
    <row r="163" spans="1:70" ht="15" customHeight="1" outlineLevel="2">
      <c r="A163" s="7"/>
      <c r="B163" s="7"/>
      <c r="C163" s="7"/>
      <c r="D163" s="7"/>
      <c r="E163" s="7"/>
      <c r="F163" s="7"/>
      <c r="G163" s="7"/>
      <c r="H163" s="11"/>
      <c r="I163" s="11"/>
      <c r="J163" s="11"/>
      <c r="K163" s="11"/>
      <c r="L163" s="292"/>
      <c r="M163" s="22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47"/>
      <c r="Z163" s="47"/>
      <c r="AM163" s="185" t="e">
        <f>VLOOKUP(CLEAN(H163),#REF!,7,FALSE)</f>
        <v>#REF!</v>
      </c>
      <c r="AO163"/>
      <c r="AP163"/>
      <c r="AQ163"/>
      <c r="AR163" s="2" t="e">
        <f>VLOOKUP(CLEAN(H163),#REF!,2,FALSE)</f>
        <v>#REF!</v>
      </c>
      <c r="AZ163" s="2" t="e">
        <f>VLOOKUP(H163,#REF!,2,FALSE)</f>
        <v>#REF!</v>
      </c>
      <c r="BO163" s="2" t="e">
        <f>VLOOKUP(H163,#REF!,13,FALSE)</f>
        <v>#REF!</v>
      </c>
      <c r="BP163" s="293"/>
      <c r="BQ163" s="2" t="e">
        <f>VLOOKUP(H163,#REF!,13,FALSE)</f>
        <v>#REF!</v>
      </c>
    </row>
    <row r="164" spans="1:70" ht="18.75" customHeight="1" outlineLevel="1">
      <c r="A164" s="7"/>
      <c r="B164" s="7"/>
      <c r="C164" s="7"/>
      <c r="D164" s="7"/>
      <c r="E164" s="8"/>
      <c r="F164" s="7"/>
      <c r="G164" s="7"/>
      <c r="H164" s="11"/>
      <c r="I164" s="11"/>
      <c r="J164" s="11"/>
      <c r="K164" s="11"/>
      <c r="L164" s="45" t="s">
        <v>153</v>
      </c>
      <c r="M164" s="46">
        <f>M162+M147+M151+M155</f>
        <v>1188375068</v>
      </c>
      <c r="N164" s="46">
        <f t="shared" ref="N164:O164" si="97">N162+N147+N151+N155</f>
        <v>92013068</v>
      </c>
      <c r="O164" s="46">
        <f t="shared" si="97"/>
        <v>178298682</v>
      </c>
      <c r="P164" s="46">
        <f t="shared" ref="P164:X164" si="98">P162+P147+P151+P155</f>
        <v>0</v>
      </c>
      <c r="Q164" s="46">
        <f t="shared" si="98"/>
        <v>0</v>
      </c>
      <c r="R164" s="46">
        <f t="shared" si="98"/>
        <v>26180000</v>
      </c>
      <c r="S164" s="46">
        <f t="shared" si="98"/>
        <v>26180000</v>
      </c>
      <c r="T164" s="46">
        <f t="shared" si="98"/>
        <v>26400000</v>
      </c>
      <c r="U164" s="46">
        <f t="shared" si="98"/>
        <v>0</v>
      </c>
      <c r="V164" s="46">
        <f t="shared" si="98"/>
        <v>52580000</v>
      </c>
      <c r="W164" s="46">
        <f t="shared" si="98"/>
        <v>125718682</v>
      </c>
      <c r="X164" s="46">
        <f t="shared" si="98"/>
        <v>918063318</v>
      </c>
      <c r="Y164" s="47"/>
      <c r="Z164" s="47"/>
      <c r="AM164" s="185" t="e">
        <f>VLOOKUP(CLEAN(H164),#REF!,7,FALSE)</f>
        <v>#REF!</v>
      </c>
      <c r="AO164"/>
      <c r="AP164"/>
      <c r="AQ164"/>
      <c r="AR164" s="2" t="e">
        <f>VLOOKUP(CLEAN(H164),#REF!,2,FALSE)</f>
        <v>#REF!</v>
      </c>
      <c r="AZ164" s="2" t="e">
        <f>VLOOKUP(H164,#REF!,2,FALSE)</f>
        <v>#REF!</v>
      </c>
      <c r="BO164" s="2" t="e">
        <f>VLOOKUP(H164,#REF!,13,FALSE)</f>
        <v>#REF!</v>
      </c>
      <c r="BQ164" s="2" t="e">
        <f>VLOOKUP(H164,#REF!,13,FALSE)</f>
        <v>#REF!</v>
      </c>
    </row>
    <row r="165" spans="1:70" s="3" customFormat="1" ht="15" customHeight="1" outlineLevel="1">
      <c r="A165" s="7"/>
      <c r="B165" s="7"/>
      <c r="C165" s="7"/>
      <c r="D165" s="7"/>
      <c r="E165" s="8"/>
      <c r="F165" s="7"/>
      <c r="G165" s="7"/>
      <c r="H165" s="11"/>
      <c r="I165" s="11"/>
      <c r="J165" s="11"/>
      <c r="K165" s="11"/>
      <c r="L165" s="294"/>
      <c r="M165" s="26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47"/>
      <c r="Z165" s="47"/>
      <c r="AJ165" s="186"/>
      <c r="AK165" s="186"/>
      <c r="AL165" s="186"/>
      <c r="AM165" s="185" t="e">
        <f>VLOOKUP(CLEAN(H165),#REF!,7,FALSE)</f>
        <v>#REF!</v>
      </c>
      <c r="AR165" s="2" t="e">
        <f>VLOOKUP(CLEAN(H165),#REF!,2,FALSE)</f>
        <v>#REF!</v>
      </c>
      <c r="AZ165" s="2" t="e">
        <f>VLOOKUP(H165,#REF!,2,FALSE)</f>
        <v>#REF!</v>
      </c>
      <c r="BF165" s="193"/>
      <c r="BO165" s="2" t="e">
        <f>VLOOKUP(H165,#REF!,13,FALSE)</f>
        <v>#REF!</v>
      </c>
      <c r="BP165" s="7"/>
      <c r="BQ165" s="2" t="e">
        <f>VLOOKUP(H165,#REF!,13,FALSE)</f>
        <v>#REF!</v>
      </c>
    </row>
    <row r="166" spans="1:70" ht="21" customHeight="1" outlineLevel="1">
      <c r="A166" s="7"/>
      <c r="B166" s="7"/>
      <c r="C166" s="7"/>
      <c r="D166" s="7"/>
      <c r="E166" s="8"/>
      <c r="F166" s="7"/>
      <c r="G166" s="7"/>
      <c r="H166" s="11"/>
      <c r="I166" s="11"/>
      <c r="J166" s="11"/>
      <c r="K166" s="11"/>
      <c r="L166" s="53" t="s">
        <v>184</v>
      </c>
      <c r="M166" s="26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47"/>
      <c r="Z166" s="47"/>
      <c r="AM166" s="185" t="e">
        <f>VLOOKUP(CLEAN(H166),#REF!,7,FALSE)</f>
        <v>#REF!</v>
      </c>
      <c r="AO166"/>
      <c r="AP166"/>
      <c r="AQ166"/>
      <c r="AR166" s="2" t="e">
        <f>VLOOKUP(CLEAN(H166),#REF!,2,FALSE)</f>
        <v>#REF!</v>
      </c>
      <c r="AZ166" s="2" t="e">
        <f>VLOOKUP(H166,#REF!,2,FALSE)</f>
        <v>#REF!</v>
      </c>
      <c r="BO166" s="2" t="e">
        <f>VLOOKUP(H166,#REF!,13,FALSE)</f>
        <v>#REF!</v>
      </c>
      <c r="BQ166" s="2" t="e">
        <f>VLOOKUP(H166,#REF!,13,FALSE)</f>
        <v>#REF!</v>
      </c>
    </row>
    <row r="167" spans="1:70" ht="15" customHeight="1" outlineLevel="1">
      <c r="A167" s="7"/>
      <c r="B167" s="7"/>
      <c r="C167" s="7"/>
      <c r="D167" s="7"/>
      <c r="E167" s="8"/>
      <c r="F167" s="7"/>
      <c r="G167" s="7"/>
      <c r="H167" s="11"/>
      <c r="I167" s="11"/>
      <c r="J167" s="11"/>
      <c r="K167" s="11"/>
      <c r="L167" s="18" t="s">
        <v>695</v>
      </c>
      <c r="M167" s="26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47"/>
      <c r="Z167" s="47"/>
      <c r="AM167" s="185" t="e">
        <f>VLOOKUP(CLEAN(H167),#REF!,7,FALSE)</f>
        <v>#REF!</v>
      </c>
      <c r="AO167"/>
      <c r="AP167"/>
      <c r="AQ167"/>
      <c r="AR167" s="2" t="e">
        <f>VLOOKUP(CLEAN(H167),#REF!,2,FALSE)</f>
        <v>#REF!</v>
      </c>
      <c r="AZ167" s="2" t="e">
        <f>VLOOKUP(H167,#REF!,2,FALSE)</f>
        <v>#REF!</v>
      </c>
      <c r="BO167" s="2" t="e">
        <f>VLOOKUP(H167,#REF!,13,FALSE)</f>
        <v>#REF!</v>
      </c>
      <c r="BQ167" s="2" t="e">
        <f>VLOOKUP(H167,#REF!,13,FALSE)</f>
        <v>#REF!</v>
      </c>
    </row>
    <row r="168" spans="1:70" s="2" customFormat="1" ht="15" customHeight="1" outlineLevel="2">
      <c r="A168" s="5">
        <v>31</v>
      </c>
      <c r="B168" s="5" t="s">
        <v>5</v>
      </c>
      <c r="C168" s="5" t="s">
        <v>251</v>
      </c>
      <c r="D168" s="5" t="s">
        <v>7</v>
      </c>
      <c r="E168" s="5" t="s">
        <v>20</v>
      </c>
      <c r="F168" s="5" t="s">
        <v>13</v>
      </c>
      <c r="G168" s="5" t="s">
        <v>144</v>
      </c>
      <c r="H168" s="12">
        <v>30086815</v>
      </c>
      <c r="I168" s="42" t="str">
        <f t="shared" ref="I168:I170" si="99">CONCATENATE(H168,"-",G168)</f>
        <v>30086815-EJECUCION</v>
      </c>
      <c r="J168" s="12"/>
      <c r="K168" s="307" t="str">
        <f t="shared" ref="K168:K170" si="100">CLEAN(H168)</f>
        <v>30086815</v>
      </c>
      <c r="L168" s="15" t="s">
        <v>69</v>
      </c>
      <c r="M168" s="23">
        <v>15318985549</v>
      </c>
      <c r="N168" s="34">
        <v>4648166927</v>
      </c>
      <c r="O168" s="34">
        <v>5000000000</v>
      </c>
      <c r="P168" s="310">
        <v>0</v>
      </c>
      <c r="Q168" s="34">
        <v>0</v>
      </c>
      <c r="R168" s="308">
        <v>0</v>
      </c>
      <c r="S168" s="34">
        <f t="shared" ref="S168:S170" si="101">P168+Q168+R168</f>
        <v>0</v>
      </c>
      <c r="T168" s="34">
        <v>88439156</v>
      </c>
      <c r="U168" s="34">
        <v>0</v>
      </c>
      <c r="V168" s="34">
        <f>P168+Q168+R168+T168+U168</f>
        <v>88439156</v>
      </c>
      <c r="W168" s="34">
        <f>O168-V168</f>
        <v>4911560844</v>
      </c>
      <c r="X168" s="34">
        <f>M168-(N168+O168)</f>
        <v>5670818622</v>
      </c>
      <c r="Y168" s="48" t="s">
        <v>239</v>
      </c>
      <c r="Z168" s="48" t="s">
        <v>8</v>
      </c>
      <c r="AA168" s="2" t="s">
        <v>846</v>
      </c>
      <c r="AB168" s="2" t="e">
        <f>VLOOKUP(H168,#REF!,2,FALSE)</f>
        <v>#REF!</v>
      </c>
      <c r="AC168" s="2" t="e">
        <f>VLOOKUP(I168,#REF!,2,FALSE)</f>
        <v>#REF!</v>
      </c>
      <c r="AD168" s="2" t="e">
        <f>VLOOKUP(H168,#REF!,13,FALSE)</f>
        <v>#REF!</v>
      </c>
      <c r="AE168" s="2" t="e">
        <f>VLOOKUP(I168,#REF!,7,FALSE)</f>
        <v>#REF!</v>
      </c>
      <c r="AF168" s="2">
        <v>25</v>
      </c>
      <c r="AG168" s="2" t="e">
        <f>VLOOKUP(H168,#REF!,13,FALSE)</f>
        <v>#REF!</v>
      </c>
      <c r="AH168" s="2" t="e">
        <f>VLOOKUP(I168,#REF!,2,FALSE)</f>
        <v>#REF!</v>
      </c>
      <c r="AJ168" s="185" t="e">
        <f>VLOOKUP(H168,#REF!,3,FALSE)</f>
        <v>#REF!</v>
      </c>
      <c r="AK168" s="185"/>
      <c r="AL168" s="185" t="e">
        <f>VLOOKUP(H168,#REF!,13,FALSE)</f>
        <v>#REF!</v>
      </c>
      <c r="AM168" s="185" t="e">
        <f>VLOOKUP(CLEAN(H168),#REF!,7,FALSE)</f>
        <v>#REF!</v>
      </c>
      <c r="AN168" s="2" t="e">
        <f>VLOOKUP(H168,#REF!,8,FALSE)</f>
        <v>#REF!</v>
      </c>
      <c r="AO168" s="189" t="e">
        <f>VLOOKUP(H168,#REF!,2,FALSE)</f>
        <v>#REF!</v>
      </c>
      <c r="AP168" s="189" t="e">
        <f>VLOOKUP(H168,#REF!,2,FALSE)</f>
        <v>#REF!</v>
      </c>
      <c r="AQ168" s="189"/>
      <c r="AR168" s="2" t="e">
        <f>VLOOKUP(CLEAN(H168),#REF!,2,FALSE)</f>
        <v>#REF!</v>
      </c>
      <c r="AT168" s="2" t="e">
        <f>VLOOKUP(H168,#REF!,13,FALSE)</f>
        <v>#REF!</v>
      </c>
      <c r="AU168" s="2" t="e">
        <f>VLOOKUP(H168,#REF!,13,FALSE)</f>
        <v>#REF!</v>
      </c>
      <c r="AV168" s="2" t="e">
        <f>VLOOKUP(H168,#REF!,13,FALSE)</f>
        <v>#REF!</v>
      </c>
      <c r="AW168" s="2" t="e">
        <f>VLOOKUP(H168,#REF!,13,FALSE)</f>
        <v>#REF!</v>
      </c>
      <c r="AX168" s="2" t="e">
        <f>VLOOKUP(H168,#REF!,9,FALSE)</f>
        <v>#REF!</v>
      </c>
      <c r="AZ168" s="189" t="e">
        <f>VLOOKUP(H168,#REF!,2,FALSE)</f>
        <v>#REF!</v>
      </c>
      <c r="BF168" s="189" t="e">
        <f>VLOOKUP(CLEAN(H168),#REF!,2,FALSE)</f>
        <v>#REF!</v>
      </c>
      <c r="BG168" s="189" t="e">
        <f>T168-BF168</f>
        <v>#REF!</v>
      </c>
      <c r="BO168" s="2" t="e">
        <f>VLOOKUP(H168,#REF!,13,FALSE)</f>
        <v>#REF!</v>
      </c>
      <c r="BP168" s="2" t="e">
        <f>VLOOKUP(H168,#REF!,2,FALSE)</f>
        <v>#REF!</v>
      </c>
      <c r="BQ168" s="2" t="e">
        <f>VLOOKUP(H168,#REF!,13,FALSE)</f>
        <v>#REF!</v>
      </c>
      <c r="BR168" s="2" t="e">
        <f>VLOOKUP(H168,#REF!,3,FALSE)</f>
        <v>#REF!</v>
      </c>
    </row>
    <row r="169" spans="1:70" s="2" customFormat="1" ht="15" customHeight="1" outlineLevel="2">
      <c r="A169" s="5">
        <v>31</v>
      </c>
      <c r="B169" s="5" t="s">
        <v>5</v>
      </c>
      <c r="C169" s="5" t="s">
        <v>240</v>
      </c>
      <c r="D169" s="5" t="s">
        <v>7</v>
      </c>
      <c r="E169" s="5" t="s">
        <v>20</v>
      </c>
      <c r="F169" s="5" t="s">
        <v>457</v>
      </c>
      <c r="G169" s="5" t="s">
        <v>144</v>
      </c>
      <c r="H169" s="12">
        <v>30158072</v>
      </c>
      <c r="I169" s="42" t="str">
        <f t="shared" si="99"/>
        <v>30158072-EJECUCION</v>
      </c>
      <c r="J169" s="12" t="s">
        <v>720</v>
      </c>
      <c r="K169" s="307" t="str">
        <f t="shared" si="100"/>
        <v>30158072</v>
      </c>
      <c r="L169" s="15" t="s">
        <v>249</v>
      </c>
      <c r="M169" s="23">
        <v>3257705000</v>
      </c>
      <c r="N169" s="34">
        <v>2093000</v>
      </c>
      <c r="O169" s="34">
        <v>1200000000</v>
      </c>
      <c r="P169" s="310">
        <v>0</v>
      </c>
      <c r="Q169" s="34">
        <v>0</v>
      </c>
      <c r="R169" s="308">
        <v>0</v>
      </c>
      <c r="S169" s="34">
        <f t="shared" si="101"/>
        <v>0</v>
      </c>
      <c r="T169" s="34">
        <v>0</v>
      </c>
      <c r="U169" s="34">
        <v>196957341</v>
      </c>
      <c r="V169" s="34">
        <f>P169+Q169+R169+T169+U169</f>
        <v>196957341</v>
      </c>
      <c r="W169" s="34">
        <f>O169-V169</f>
        <v>1003042659</v>
      </c>
      <c r="X169" s="34">
        <f>M169-(N169+O169)</f>
        <v>2055612000</v>
      </c>
      <c r="Y169" s="48" t="s">
        <v>239</v>
      </c>
      <c r="Z169" s="48" t="s">
        <v>8</v>
      </c>
      <c r="AA169" s="2" t="s">
        <v>848</v>
      </c>
      <c r="AB169" s="2" t="e">
        <f>VLOOKUP(H169,#REF!,2,FALSE)</f>
        <v>#REF!</v>
      </c>
      <c r="AC169" s="2" t="e">
        <f>VLOOKUP(I169,#REF!,2,FALSE)</f>
        <v>#REF!</v>
      </c>
      <c r="AD169" s="2" t="e">
        <f>VLOOKUP(H169,#REF!,13,FALSE)</f>
        <v>#REF!</v>
      </c>
      <c r="AE169" s="2" t="e">
        <f>VLOOKUP(I169,#REF!,7,FALSE)</f>
        <v>#REF!</v>
      </c>
      <c r="AF169" s="2">
        <v>25</v>
      </c>
      <c r="AG169" s="2" t="e">
        <f>VLOOKUP(H169,#REF!,13,FALSE)</f>
        <v>#REF!</v>
      </c>
      <c r="AH169" s="2" t="e">
        <f>VLOOKUP(I169,#REF!,2,FALSE)</f>
        <v>#REF!</v>
      </c>
      <c r="AJ169" s="185" t="e">
        <f>VLOOKUP(H169,#REF!,3,FALSE)</f>
        <v>#REF!</v>
      </c>
      <c r="AK169" s="185"/>
      <c r="AL169" s="185" t="e">
        <f>VLOOKUP(H169,#REF!,13,FALSE)</f>
        <v>#REF!</v>
      </c>
      <c r="AM169" s="185" t="e">
        <f>VLOOKUP(CLEAN(H169),#REF!,7,FALSE)</f>
        <v>#REF!</v>
      </c>
      <c r="AN169" s="2" t="e">
        <f>VLOOKUP(H169,#REF!,8,FALSE)</f>
        <v>#REF!</v>
      </c>
      <c r="AO169" s="189" t="e">
        <f>VLOOKUP(H169,#REF!,2,FALSE)</f>
        <v>#REF!</v>
      </c>
      <c r="AP169" s="189" t="e">
        <f>VLOOKUP(H169,#REF!,2,FALSE)</f>
        <v>#REF!</v>
      </c>
      <c r="AQ169" s="189"/>
      <c r="AR169" s="2" t="e">
        <f>VLOOKUP(CLEAN(H169),#REF!,2,FALSE)</f>
        <v>#REF!</v>
      </c>
      <c r="AT169" s="2" t="e">
        <f>VLOOKUP(H169,#REF!,13,FALSE)</f>
        <v>#REF!</v>
      </c>
      <c r="AU169" s="2" t="e">
        <f>VLOOKUP(H169,#REF!,13,FALSE)</f>
        <v>#REF!</v>
      </c>
      <c r="AV169" s="2" t="e">
        <f>VLOOKUP(H169,#REF!,13,FALSE)</f>
        <v>#REF!</v>
      </c>
      <c r="AW169" s="2" t="e">
        <f>VLOOKUP(H169,#REF!,13,FALSE)</f>
        <v>#REF!</v>
      </c>
      <c r="AX169" s="2" t="e">
        <f>VLOOKUP(H169,#REF!,9,FALSE)</f>
        <v>#REF!</v>
      </c>
      <c r="AZ169" s="189" t="e">
        <f>VLOOKUP(H169,#REF!,2,FALSE)</f>
        <v>#REF!</v>
      </c>
      <c r="BF169" s="189" t="e">
        <f>VLOOKUP(CLEAN(H169),#REF!,2,FALSE)</f>
        <v>#REF!</v>
      </c>
      <c r="BG169" s="189" t="e">
        <f>T169-BF169</f>
        <v>#REF!</v>
      </c>
      <c r="BO169" s="2" t="e">
        <f>VLOOKUP(H169,#REF!,13,FALSE)</f>
        <v>#REF!</v>
      </c>
      <c r="BP169" s="2" t="e">
        <f>VLOOKUP(H169,#REF!,2,FALSE)</f>
        <v>#REF!</v>
      </c>
      <c r="BQ169" s="2" t="e">
        <f>VLOOKUP(H169,#REF!,13,FALSE)</f>
        <v>#REF!</v>
      </c>
      <c r="BR169" s="2" t="e">
        <f>VLOOKUP(H169,#REF!,3,FALSE)</f>
        <v>#REF!</v>
      </c>
    </row>
    <row r="170" spans="1:70" s="2" customFormat="1" ht="15" customHeight="1" outlineLevel="2">
      <c r="A170" s="5">
        <v>33</v>
      </c>
      <c r="B170" s="5" t="s">
        <v>54</v>
      </c>
      <c r="C170" s="5" t="s">
        <v>251</v>
      </c>
      <c r="D170" s="5" t="s">
        <v>7</v>
      </c>
      <c r="E170" s="5" t="s">
        <v>20</v>
      </c>
      <c r="F170" s="5" t="s">
        <v>73</v>
      </c>
      <c r="G170" s="5" t="s">
        <v>144</v>
      </c>
      <c r="H170" s="12" t="s">
        <v>223</v>
      </c>
      <c r="I170" s="42" t="str">
        <f t="shared" si="99"/>
        <v>S/C-EJECUCION</v>
      </c>
      <c r="J170" s="12"/>
      <c r="K170" s="307" t="str">
        <f t="shared" si="100"/>
        <v>S/C</v>
      </c>
      <c r="L170" s="15" t="s">
        <v>373</v>
      </c>
      <c r="M170" s="23">
        <v>1381816800</v>
      </c>
      <c r="N170" s="34">
        <v>0</v>
      </c>
      <c r="O170" s="34">
        <v>1381816800</v>
      </c>
      <c r="P170" s="310">
        <v>31077847</v>
      </c>
      <c r="Q170" s="34">
        <v>252592897</v>
      </c>
      <c r="R170" s="308">
        <v>386662130</v>
      </c>
      <c r="S170" s="34">
        <f t="shared" si="101"/>
        <v>670332874</v>
      </c>
      <c r="T170" s="34">
        <v>233715991</v>
      </c>
      <c r="U170" s="34">
        <v>339847220</v>
      </c>
      <c r="V170" s="34">
        <f>P170+Q170+R170+T170+U170</f>
        <v>1243896085</v>
      </c>
      <c r="W170" s="34">
        <f>O170-V170</f>
        <v>137920715</v>
      </c>
      <c r="X170" s="34">
        <f>M170-(N170+O170)</f>
        <v>0</v>
      </c>
      <c r="Y170" s="48" t="s">
        <v>239</v>
      </c>
      <c r="Z170" s="48" t="s">
        <v>12</v>
      </c>
      <c r="AA170" s="2" t="e">
        <v>#N/A</v>
      </c>
      <c r="AB170" s="2" t="e">
        <f>VLOOKUP(H170,#REF!,2,FALSE)</f>
        <v>#REF!</v>
      </c>
      <c r="AC170" s="2" t="e">
        <f>VLOOKUP(I170,#REF!,2,FALSE)</f>
        <v>#REF!</v>
      </c>
      <c r="AD170" s="2" t="e">
        <f>VLOOKUP(H170,#REF!,13,FALSE)</f>
        <v>#REF!</v>
      </c>
      <c r="AE170" s="177" t="e">
        <f>VLOOKUP(I170,#REF!,7,FALSE)</f>
        <v>#REF!</v>
      </c>
      <c r="AF170" s="2">
        <v>25</v>
      </c>
      <c r="AG170" s="2" t="e">
        <f>VLOOKUP(H170,#REF!,13,FALSE)</f>
        <v>#REF!</v>
      </c>
      <c r="AH170" s="2" t="e">
        <f>VLOOKUP(I170,#REF!,2,FALSE)</f>
        <v>#REF!</v>
      </c>
      <c r="AJ170" s="185" t="e">
        <f>VLOOKUP(H170,#REF!,3,FALSE)</f>
        <v>#REF!</v>
      </c>
      <c r="AK170" s="185"/>
      <c r="AL170" s="185"/>
      <c r="AM170" s="185" t="e">
        <f>VLOOKUP(CLEAN(H170),#REF!,7,FALSE)</f>
        <v>#REF!</v>
      </c>
      <c r="AN170" s="2" t="e">
        <f>VLOOKUP(H170,#REF!,8,FALSE)</f>
        <v>#REF!</v>
      </c>
      <c r="AO170" s="189" t="e">
        <f>VLOOKUP(H170,#REF!,2,FALSE)</f>
        <v>#REF!</v>
      </c>
      <c r="AP170" s="189" t="e">
        <f>VLOOKUP(H170,#REF!,2,FALSE)</f>
        <v>#REF!</v>
      </c>
      <c r="AQ170" s="189"/>
      <c r="AR170" s="2" t="e">
        <f>VLOOKUP(CLEAN(H170),#REF!,2,FALSE)</f>
        <v>#REF!</v>
      </c>
      <c r="AT170" s="2" t="e">
        <f>VLOOKUP(H170,#REF!,13,FALSE)</f>
        <v>#REF!</v>
      </c>
      <c r="AU170" s="2" t="e">
        <f>VLOOKUP(H170,#REF!,13,FALSE)</f>
        <v>#REF!</v>
      </c>
      <c r="AV170" s="2" t="e">
        <f>VLOOKUP(H170,#REF!,13,FALSE)</f>
        <v>#REF!</v>
      </c>
      <c r="AW170" s="2" t="e">
        <f>VLOOKUP(H170,#REF!,13,FALSE)</f>
        <v>#REF!</v>
      </c>
      <c r="AX170" s="2" t="e">
        <f>VLOOKUP(H170,#REF!,9,FALSE)</f>
        <v>#REF!</v>
      </c>
      <c r="AZ170" s="2" t="e">
        <f>VLOOKUP(H170,#REF!,2,FALSE)</f>
        <v>#REF!</v>
      </c>
      <c r="BF170" s="189" t="e">
        <f>VLOOKUP(CLEAN(H170),#REF!,2,FALSE)</f>
        <v>#REF!</v>
      </c>
      <c r="BG170" s="189" t="e">
        <f>T170-BF170</f>
        <v>#REF!</v>
      </c>
      <c r="BO170" s="2" t="e">
        <f>VLOOKUP(H170,#REF!,13,FALSE)</f>
        <v>#REF!</v>
      </c>
      <c r="BP170" s="2" t="e">
        <f>VLOOKUP(H170,#REF!,2,FALSE)</f>
        <v>#REF!</v>
      </c>
      <c r="BQ170" s="2" t="e">
        <f>VLOOKUP(H170,#REF!,13,FALSE)</f>
        <v>#REF!</v>
      </c>
      <c r="BR170" s="2" t="e">
        <f>VLOOKUP(H170,#REF!,3,FALSE)</f>
        <v>#REF!</v>
      </c>
    </row>
    <row r="171" spans="1:70" ht="15" customHeight="1" outlineLevel="2">
      <c r="A171" s="7"/>
      <c r="B171" s="7"/>
      <c r="C171" s="7"/>
      <c r="D171" s="7"/>
      <c r="E171" s="7"/>
      <c r="F171" s="7"/>
      <c r="G171" s="7"/>
      <c r="H171" s="11"/>
      <c r="I171" s="11"/>
      <c r="J171" s="11"/>
      <c r="K171" s="11"/>
      <c r="L171" s="17" t="s">
        <v>691</v>
      </c>
      <c r="M171" s="27">
        <f>SUBTOTAL(9,M168:M170)</f>
        <v>19958507349</v>
      </c>
      <c r="N171" s="27">
        <f t="shared" ref="N171:O171" si="102">SUBTOTAL(9,N168:N170)</f>
        <v>4650259927</v>
      </c>
      <c r="O171" s="27">
        <f t="shared" si="102"/>
        <v>7581816800</v>
      </c>
      <c r="P171" s="24">
        <f t="shared" ref="P171:X171" si="103">SUBTOTAL(9,P168:P170)</f>
        <v>31077847</v>
      </c>
      <c r="Q171" s="24">
        <f t="shared" si="103"/>
        <v>252592897</v>
      </c>
      <c r="R171" s="24">
        <f t="shared" si="103"/>
        <v>386662130</v>
      </c>
      <c r="S171" s="27">
        <f t="shared" si="103"/>
        <v>670332874</v>
      </c>
      <c r="T171" s="27">
        <f t="shared" si="103"/>
        <v>322155147</v>
      </c>
      <c r="U171" s="27">
        <f t="shared" si="103"/>
        <v>536804561</v>
      </c>
      <c r="V171" s="27">
        <f t="shared" si="103"/>
        <v>1529292582</v>
      </c>
      <c r="W171" s="27">
        <f t="shared" si="103"/>
        <v>6052524218</v>
      </c>
      <c r="X171" s="27">
        <f t="shared" si="103"/>
        <v>7726430622</v>
      </c>
      <c r="Y171" s="47"/>
      <c r="Z171" s="47"/>
      <c r="AM171" s="185" t="e">
        <f>VLOOKUP(CLEAN(H171),#REF!,7,FALSE)</f>
        <v>#REF!</v>
      </c>
      <c r="AO171"/>
      <c r="AP171"/>
      <c r="AQ171"/>
      <c r="AR171" s="2" t="e">
        <f>VLOOKUP(CLEAN(H171),#REF!,2,FALSE)</f>
        <v>#REF!</v>
      </c>
      <c r="AZ171" s="2" t="e">
        <f>VLOOKUP(H171,#REF!,2,FALSE)</f>
        <v>#REF!</v>
      </c>
      <c r="BO171" s="2" t="e">
        <f>VLOOKUP(H171,#REF!,13,FALSE)</f>
        <v>#REF!</v>
      </c>
      <c r="BQ171" s="2" t="e">
        <f>VLOOKUP(H171,#REF!,13,FALSE)</f>
        <v>#REF!</v>
      </c>
    </row>
    <row r="172" spans="1:70" ht="15" customHeight="1" outlineLevel="2">
      <c r="A172" s="7"/>
      <c r="B172" s="7"/>
      <c r="C172" s="7"/>
      <c r="D172" s="7"/>
      <c r="E172" s="7"/>
      <c r="F172" s="7"/>
      <c r="G172" s="7"/>
      <c r="H172" s="11"/>
      <c r="I172" s="11"/>
      <c r="J172" s="11"/>
      <c r="K172" s="11"/>
      <c r="L172" s="292"/>
      <c r="M172" s="22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47"/>
      <c r="Z172" s="47"/>
      <c r="AM172" s="185" t="e">
        <f>VLOOKUP(CLEAN(H172),#REF!,7,FALSE)</f>
        <v>#REF!</v>
      </c>
      <c r="AO172"/>
      <c r="AP172"/>
      <c r="AQ172"/>
      <c r="AR172" s="2" t="e">
        <f>VLOOKUP(CLEAN(H172),#REF!,2,FALSE)</f>
        <v>#REF!</v>
      </c>
      <c r="AZ172" s="2" t="e">
        <f>VLOOKUP(H172,#REF!,2,FALSE)</f>
        <v>#REF!</v>
      </c>
      <c r="BO172" s="2" t="e">
        <f>VLOOKUP(H172,#REF!,13,FALSE)</f>
        <v>#REF!</v>
      </c>
      <c r="BP172" s="293"/>
      <c r="BQ172" s="2" t="e">
        <f>VLOOKUP(H172,#REF!,13,FALSE)</f>
        <v>#REF!</v>
      </c>
    </row>
    <row r="173" spans="1:70" ht="15" customHeight="1" outlineLevel="2">
      <c r="A173" s="7"/>
      <c r="B173" s="7"/>
      <c r="C173" s="7"/>
      <c r="D173" s="7"/>
      <c r="E173" s="7"/>
      <c r="F173" s="7"/>
      <c r="G173" s="7"/>
      <c r="H173" s="11"/>
      <c r="I173" s="11"/>
      <c r="J173" s="11"/>
      <c r="K173" s="11"/>
      <c r="L173" s="18" t="s">
        <v>698</v>
      </c>
      <c r="M173" s="22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47"/>
      <c r="Z173" s="47"/>
      <c r="AO173"/>
      <c r="AP173"/>
      <c r="AQ173"/>
      <c r="AR173" s="2" t="e">
        <f>VLOOKUP(CLEAN(H173),#REF!,2,FALSE)</f>
        <v>#REF!</v>
      </c>
      <c r="AZ173" s="2" t="e">
        <f>VLOOKUP(H173,#REF!,2,FALSE)</f>
        <v>#REF!</v>
      </c>
      <c r="BO173" s="2" t="e">
        <f>VLOOKUP(H173,#REF!,13,FALSE)</f>
        <v>#REF!</v>
      </c>
      <c r="BQ173" s="2" t="e">
        <f>VLOOKUP(H173,#REF!,13,FALSE)</f>
        <v>#REF!</v>
      </c>
    </row>
    <row r="174" spans="1:70" s="2" customFormat="1" ht="15" customHeight="1" outlineLevel="2">
      <c r="A174" s="5">
        <v>31</v>
      </c>
      <c r="B174" s="5" t="s">
        <v>5</v>
      </c>
      <c r="C174" s="5" t="s">
        <v>242</v>
      </c>
      <c r="D174" s="5" t="s">
        <v>7</v>
      </c>
      <c r="E174" s="5" t="s">
        <v>20</v>
      </c>
      <c r="F174" s="5" t="s">
        <v>89</v>
      </c>
      <c r="G174" s="5" t="s">
        <v>144</v>
      </c>
      <c r="H174" s="12">
        <v>30087497</v>
      </c>
      <c r="I174" s="42" t="str">
        <f t="shared" ref="I174:I177" si="104">CONCATENATE(H174,"-",G174)</f>
        <v>30087497-EJECUCION</v>
      </c>
      <c r="J174" s="12"/>
      <c r="K174" s="307" t="str">
        <f t="shared" ref="K174:K177" si="105">CLEAN(H174)</f>
        <v>30087497</v>
      </c>
      <c r="L174" s="15" t="s">
        <v>70</v>
      </c>
      <c r="M174" s="23">
        <v>5473500000</v>
      </c>
      <c r="N174" s="34">
        <v>16381000</v>
      </c>
      <c r="O174" s="34">
        <f>3057366668-249575000</f>
        <v>2807791668</v>
      </c>
      <c r="P174" s="310">
        <v>0</v>
      </c>
      <c r="Q174" s="34">
        <v>0</v>
      </c>
      <c r="R174" s="308">
        <v>0</v>
      </c>
      <c r="S174" s="34">
        <f t="shared" ref="S174:S177" si="106">P174+Q174+R174</f>
        <v>0</v>
      </c>
      <c r="T174" s="34">
        <v>0</v>
      </c>
      <c r="U174" s="34">
        <v>0</v>
      </c>
      <c r="V174" s="34">
        <f>P174+Q174+R174+T174+U174</f>
        <v>0</v>
      </c>
      <c r="W174" s="34">
        <f>O174-V174</f>
        <v>2807791668</v>
      </c>
      <c r="X174" s="34">
        <f>M174-(N174+O174)</f>
        <v>2649327332</v>
      </c>
      <c r="Y174" s="48" t="s">
        <v>649</v>
      </c>
      <c r="Z174" s="48" t="s">
        <v>8</v>
      </c>
      <c r="AA174" s="2" t="s">
        <v>848</v>
      </c>
      <c r="AB174" s="2" t="e">
        <f>VLOOKUP(H174,#REF!,2,FALSE)</f>
        <v>#REF!</v>
      </c>
      <c r="AC174" s="2" t="e">
        <f>VLOOKUP(I174,#REF!,2,FALSE)</f>
        <v>#REF!</v>
      </c>
      <c r="AD174" s="2" t="e">
        <f>VLOOKUP(H174,#REF!,13,FALSE)</f>
        <v>#REF!</v>
      </c>
      <c r="AE174" s="2" t="e">
        <f>VLOOKUP(I174,#REF!,7,FALSE)</f>
        <v>#REF!</v>
      </c>
      <c r="AF174" s="2">
        <v>25</v>
      </c>
      <c r="AG174" s="2" t="e">
        <f>VLOOKUP(H174,#REF!,13,FALSE)</f>
        <v>#REF!</v>
      </c>
      <c r="AH174" s="2" t="e">
        <f>VLOOKUP(I174,#REF!,2,FALSE)</f>
        <v>#REF!</v>
      </c>
      <c r="AJ174" s="185" t="e">
        <f>VLOOKUP(H174,#REF!,3,FALSE)</f>
        <v>#REF!</v>
      </c>
      <c r="AK174" s="185"/>
      <c r="AL174" s="185" t="e">
        <f>VLOOKUP(H174,#REF!,13,FALSE)</f>
        <v>#REF!</v>
      </c>
      <c r="AM174" s="185" t="e">
        <f>VLOOKUP(CLEAN(H174),#REF!,7,FALSE)</f>
        <v>#REF!</v>
      </c>
      <c r="AN174" s="2" t="e">
        <f>VLOOKUP(H174,#REF!,8,FALSE)</f>
        <v>#REF!</v>
      </c>
      <c r="AO174" s="189" t="e">
        <f>VLOOKUP(H174,#REF!,2,FALSE)</f>
        <v>#REF!</v>
      </c>
      <c r="AP174" s="189" t="e">
        <f>VLOOKUP(H174,#REF!,2,FALSE)</f>
        <v>#REF!</v>
      </c>
      <c r="AQ174" s="189"/>
      <c r="AR174" s="2" t="e">
        <f>VLOOKUP(CLEAN(H174),#REF!,2,FALSE)</f>
        <v>#REF!</v>
      </c>
      <c r="AT174" s="2" t="e">
        <f>VLOOKUP(H174,#REF!,13,FALSE)</f>
        <v>#REF!</v>
      </c>
      <c r="AU174" s="2" t="e">
        <f>VLOOKUP(H174,#REF!,13,FALSE)</f>
        <v>#REF!</v>
      </c>
      <c r="AV174" s="2" t="e">
        <f>VLOOKUP(H174,#REF!,13,FALSE)</f>
        <v>#REF!</v>
      </c>
      <c r="AW174" s="2" t="e">
        <f>VLOOKUP(H174,#REF!,13,FALSE)</f>
        <v>#REF!</v>
      </c>
      <c r="AX174" s="2" t="e">
        <f>VLOOKUP(H174,#REF!,9,FALSE)</f>
        <v>#REF!</v>
      </c>
      <c r="AZ174" s="2" t="e">
        <f>VLOOKUP(H174,#REF!,2,FALSE)</f>
        <v>#REF!</v>
      </c>
      <c r="BF174" s="189" t="e">
        <f>VLOOKUP(CLEAN(H174),#REF!,2,FALSE)</f>
        <v>#REF!</v>
      </c>
      <c r="BG174" s="189" t="e">
        <f>T174-BF174</f>
        <v>#REF!</v>
      </c>
      <c r="BO174" s="2" t="e">
        <f>VLOOKUP(H174,#REF!,13,FALSE)</f>
        <v>#REF!</v>
      </c>
      <c r="BP174" s="2" t="e">
        <f>VLOOKUP(H174,#REF!,2,FALSE)</f>
        <v>#REF!</v>
      </c>
      <c r="BQ174" s="2" t="e">
        <f>VLOOKUP(H174,#REF!,13,FALSE)</f>
        <v>#REF!</v>
      </c>
      <c r="BR174" s="2" t="e">
        <f>VLOOKUP(H174,#REF!,3,FALSE)</f>
        <v>#REF!</v>
      </c>
    </row>
    <row r="175" spans="1:70" s="2" customFormat="1" ht="15" customHeight="1" outlineLevel="2">
      <c r="A175" s="5">
        <v>31</v>
      </c>
      <c r="B175" s="5" t="s">
        <v>5</v>
      </c>
      <c r="C175" s="5" t="s">
        <v>241</v>
      </c>
      <c r="D175" s="5" t="s">
        <v>7</v>
      </c>
      <c r="E175" s="5" t="s">
        <v>20</v>
      </c>
      <c r="F175" s="5" t="s">
        <v>457</v>
      </c>
      <c r="G175" s="5" t="s">
        <v>9</v>
      </c>
      <c r="H175" s="12">
        <v>30465788</v>
      </c>
      <c r="I175" s="42" t="str">
        <f t="shared" si="104"/>
        <v>30465788-DISEÑO</v>
      </c>
      <c r="J175" s="12"/>
      <c r="K175" s="307" t="str">
        <f t="shared" si="105"/>
        <v>30465788</v>
      </c>
      <c r="L175" s="15" t="s">
        <v>754</v>
      </c>
      <c r="M175" s="23">
        <v>325073000</v>
      </c>
      <c r="N175" s="34">
        <v>3999000</v>
      </c>
      <c r="O175" s="34">
        <v>297001000</v>
      </c>
      <c r="P175" s="310">
        <v>0</v>
      </c>
      <c r="Q175" s="34">
        <v>0</v>
      </c>
      <c r="R175" s="308">
        <v>0</v>
      </c>
      <c r="S175" s="34">
        <f t="shared" si="106"/>
        <v>0</v>
      </c>
      <c r="T175" s="34">
        <v>0</v>
      </c>
      <c r="U175" s="34">
        <v>0</v>
      </c>
      <c r="V175" s="34">
        <f>P175+Q175+R175+T175+U175</f>
        <v>0</v>
      </c>
      <c r="W175" s="34">
        <f>O175-V175</f>
        <v>297001000</v>
      </c>
      <c r="X175" s="34">
        <f>M175-(N175+O175)</f>
        <v>24073000</v>
      </c>
      <c r="Y175" s="48" t="s">
        <v>649</v>
      </c>
      <c r="Z175" s="48" t="s">
        <v>8</v>
      </c>
      <c r="AA175" s="2" t="s">
        <v>848</v>
      </c>
      <c r="AB175" s="2" t="e">
        <f>VLOOKUP(H175,#REF!,2,FALSE)</f>
        <v>#REF!</v>
      </c>
      <c r="AC175" s="2" t="e">
        <f>VLOOKUP(I175,#REF!,2,FALSE)</f>
        <v>#REF!</v>
      </c>
      <c r="AD175" s="2" t="e">
        <f>VLOOKUP(H175,#REF!,13,FALSE)</f>
        <v>#REF!</v>
      </c>
      <c r="AE175" s="2" t="e">
        <f>VLOOKUP(I175,#REF!,7,FALSE)</f>
        <v>#REF!</v>
      </c>
      <c r="AF175" s="2">
        <v>25</v>
      </c>
      <c r="AG175" s="2" t="e">
        <f>VLOOKUP(H175,#REF!,13,FALSE)</f>
        <v>#REF!</v>
      </c>
      <c r="AH175" s="2" t="e">
        <f>VLOOKUP(I175,#REF!,2,FALSE)</f>
        <v>#REF!</v>
      </c>
      <c r="AJ175" s="185" t="e">
        <f>VLOOKUP(H175,#REF!,3,FALSE)</f>
        <v>#REF!</v>
      </c>
      <c r="AK175" s="185"/>
      <c r="AL175" s="185" t="e">
        <f>VLOOKUP(H175,#REF!,13,FALSE)</f>
        <v>#REF!</v>
      </c>
      <c r="AM175" s="185" t="e">
        <f>VLOOKUP(CLEAN(H175),#REF!,7,FALSE)</f>
        <v>#REF!</v>
      </c>
      <c r="AN175" s="2" t="e">
        <f>VLOOKUP(H175,#REF!,8,FALSE)</f>
        <v>#REF!</v>
      </c>
      <c r="AO175" s="189" t="e">
        <f>VLOOKUP(H175,#REF!,2,FALSE)</f>
        <v>#REF!</v>
      </c>
      <c r="AP175" s="189" t="e">
        <f>VLOOKUP(H175,#REF!,2,FALSE)</f>
        <v>#REF!</v>
      </c>
      <c r="AQ175" s="189"/>
      <c r="AR175" s="2" t="e">
        <f>VLOOKUP(CLEAN(H175),#REF!,2,FALSE)</f>
        <v>#REF!</v>
      </c>
      <c r="AT175" s="2" t="e">
        <f>VLOOKUP(H175,#REF!,13,FALSE)</f>
        <v>#REF!</v>
      </c>
      <c r="AU175" s="2" t="e">
        <f>VLOOKUP(H175,#REF!,13,FALSE)</f>
        <v>#REF!</v>
      </c>
      <c r="AV175" s="2" t="e">
        <f>VLOOKUP(H175,#REF!,13,FALSE)</f>
        <v>#REF!</v>
      </c>
      <c r="AW175" s="2" t="e">
        <f>VLOOKUP(H175,#REF!,13,FALSE)</f>
        <v>#REF!</v>
      </c>
      <c r="AX175" s="2" t="e">
        <f>VLOOKUP(H175,#REF!,9,FALSE)</f>
        <v>#REF!</v>
      </c>
      <c r="AZ175" s="189" t="e">
        <f>VLOOKUP(H175,#REF!,2,FALSE)</f>
        <v>#REF!</v>
      </c>
      <c r="BF175" s="189" t="e">
        <f>VLOOKUP(CLEAN(H175),#REF!,2,FALSE)</f>
        <v>#REF!</v>
      </c>
      <c r="BG175" s="189" t="e">
        <f>T175-BF175</f>
        <v>#REF!</v>
      </c>
      <c r="BO175" s="2" t="e">
        <f>VLOOKUP(H175,#REF!,13,FALSE)</f>
        <v>#REF!</v>
      </c>
      <c r="BP175" s="2" t="e">
        <f>VLOOKUP(H175,#REF!,2,FALSE)</f>
        <v>#REF!</v>
      </c>
      <c r="BQ175" s="2" t="e">
        <f>VLOOKUP(H175,#REF!,13,FALSE)</f>
        <v>#REF!</v>
      </c>
      <c r="BR175" s="2" t="e">
        <f>VLOOKUP(H175,#REF!,3,FALSE)</f>
        <v>#REF!</v>
      </c>
    </row>
    <row r="176" spans="1:70" s="2" customFormat="1" ht="15" customHeight="1" outlineLevel="2">
      <c r="A176" s="5">
        <v>31</v>
      </c>
      <c r="B176" s="5" t="s">
        <v>54</v>
      </c>
      <c r="C176" s="5" t="s">
        <v>240</v>
      </c>
      <c r="D176" s="5" t="s">
        <v>7</v>
      </c>
      <c r="E176" s="5" t="s">
        <v>20</v>
      </c>
      <c r="F176" s="5" t="s">
        <v>457</v>
      </c>
      <c r="G176" s="5" t="s">
        <v>144</v>
      </c>
      <c r="H176" s="12">
        <v>30126943</v>
      </c>
      <c r="I176" s="42" t="str">
        <f t="shared" si="104"/>
        <v>30126943-EJECUCION</v>
      </c>
      <c r="J176" s="12" t="s">
        <v>722</v>
      </c>
      <c r="K176" s="307" t="str">
        <f t="shared" si="105"/>
        <v>30126943</v>
      </c>
      <c r="L176" s="15" t="s">
        <v>230</v>
      </c>
      <c r="M176" s="23">
        <v>3242559000</v>
      </c>
      <c r="N176" s="34">
        <v>2092000</v>
      </c>
      <c r="O176" s="34">
        <f>1200000000-55588067</f>
        <v>1144411933</v>
      </c>
      <c r="P176" s="310">
        <v>0</v>
      </c>
      <c r="Q176" s="34">
        <v>0</v>
      </c>
      <c r="R176" s="308">
        <v>0</v>
      </c>
      <c r="S176" s="34">
        <f t="shared" si="106"/>
        <v>0</v>
      </c>
      <c r="T176" s="34">
        <v>0</v>
      </c>
      <c r="U176" s="34">
        <v>0</v>
      </c>
      <c r="V176" s="34">
        <f>P176+Q176+R176+T176+U176</f>
        <v>0</v>
      </c>
      <c r="W176" s="34">
        <f>O176-V176</f>
        <v>1144411933</v>
      </c>
      <c r="X176" s="34">
        <f>M176-(N176+O176)</f>
        <v>2096055067</v>
      </c>
      <c r="Y176" s="48" t="s">
        <v>649</v>
      </c>
      <c r="Z176" s="48" t="s">
        <v>8</v>
      </c>
      <c r="AA176" s="2" t="s">
        <v>848</v>
      </c>
      <c r="AB176" s="2" t="e">
        <f>VLOOKUP(H176,#REF!,2,FALSE)</f>
        <v>#REF!</v>
      </c>
      <c r="AC176" s="2" t="e">
        <f>VLOOKUP(I176,#REF!,2,FALSE)</f>
        <v>#REF!</v>
      </c>
      <c r="AD176" s="2" t="e">
        <f>VLOOKUP(H176,#REF!,13,FALSE)</f>
        <v>#REF!</v>
      </c>
      <c r="AE176" s="2" t="e">
        <f>VLOOKUP(I176,#REF!,7,FALSE)</f>
        <v>#REF!</v>
      </c>
      <c r="AF176" s="2">
        <v>25</v>
      </c>
      <c r="AG176" s="2" t="e">
        <f>VLOOKUP(H176,#REF!,13,FALSE)</f>
        <v>#REF!</v>
      </c>
      <c r="AH176" s="2" t="e">
        <f>VLOOKUP(I176,#REF!,2,FALSE)</f>
        <v>#REF!</v>
      </c>
      <c r="AJ176" s="185" t="e">
        <f>VLOOKUP(H176,#REF!,3,FALSE)</f>
        <v>#REF!</v>
      </c>
      <c r="AK176" s="185"/>
      <c r="AL176" s="185" t="e">
        <f>VLOOKUP(H176,#REF!,13,FALSE)</f>
        <v>#REF!</v>
      </c>
      <c r="AM176" s="185" t="e">
        <f>VLOOKUP(CLEAN(H176),#REF!,7,FALSE)</f>
        <v>#REF!</v>
      </c>
      <c r="AN176" s="2" t="e">
        <f>VLOOKUP(H176,#REF!,8,FALSE)</f>
        <v>#REF!</v>
      </c>
      <c r="AO176" s="189" t="e">
        <f>VLOOKUP(H176,#REF!,2,FALSE)</f>
        <v>#REF!</v>
      </c>
      <c r="AP176" s="189" t="e">
        <f>VLOOKUP(H176,#REF!,2,FALSE)</f>
        <v>#REF!</v>
      </c>
      <c r="AQ176" s="189"/>
      <c r="AR176" s="2" t="e">
        <f>VLOOKUP(CLEAN(H176),#REF!,2,FALSE)</f>
        <v>#REF!</v>
      </c>
      <c r="AT176" s="2" t="e">
        <f>VLOOKUP(H176,#REF!,13,FALSE)</f>
        <v>#REF!</v>
      </c>
      <c r="AU176" s="2" t="e">
        <f>VLOOKUP(H176,#REF!,13,FALSE)</f>
        <v>#REF!</v>
      </c>
      <c r="AV176" s="2" t="e">
        <f>VLOOKUP(H176,#REF!,13,FALSE)</f>
        <v>#REF!</v>
      </c>
      <c r="AW176" s="2" t="e">
        <f>VLOOKUP(H176,#REF!,13,FALSE)</f>
        <v>#REF!</v>
      </c>
      <c r="AX176" s="2" t="e">
        <f>VLOOKUP(H176,#REF!,9,FALSE)</f>
        <v>#REF!</v>
      </c>
      <c r="AY176" s="2" t="s">
        <v>649</v>
      </c>
      <c r="AZ176" s="189" t="e">
        <f>VLOOKUP(H176,#REF!,2,FALSE)</f>
        <v>#REF!</v>
      </c>
      <c r="BF176" s="189" t="e">
        <f>VLOOKUP(CLEAN(H176),#REF!,2,FALSE)</f>
        <v>#REF!</v>
      </c>
      <c r="BG176" s="189" t="e">
        <f>T176-BF176</f>
        <v>#REF!</v>
      </c>
      <c r="BO176" s="2" t="e">
        <f>VLOOKUP(H176,#REF!,13,FALSE)</f>
        <v>#REF!</v>
      </c>
      <c r="BP176" s="2" t="e">
        <f>VLOOKUP(H176,#REF!,2,FALSE)</f>
        <v>#REF!</v>
      </c>
      <c r="BQ176" s="2" t="e">
        <f>VLOOKUP(H176,#REF!,13,FALSE)</f>
        <v>#REF!</v>
      </c>
      <c r="BR176" s="2" t="e">
        <f>VLOOKUP(H176,#REF!,3,FALSE)</f>
        <v>#REF!</v>
      </c>
    </row>
    <row r="177" spans="1:70" s="2" customFormat="1" ht="15" customHeight="1" outlineLevel="2">
      <c r="A177" s="5">
        <v>29</v>
      </c>
      <c r="B177" s="5" t="s">
        <v>54</v>
      </c>
      <c r="C177" s="5" t="s">
        <v>251</v>
      </c>
      <c r="D177" s="5" t="s">
        <v>7</v>
      </c>
      <c r="E177" s="5" t="s">
        <v>20</v>
      </c>
      <c r="F177" s="5" t="s">
        <v>13</v>
      </c>
      <c r="G177" s="5" t="s">
        <v>144</v>
      </c>
      <c r="H177" s="12">
        <v>30085619</v>
      </c>
      <c r="I177" s="42" t="str">
        <f t="shared" si="104"/>
        <v>30085619-EJECUCION</v>
      </c>
      <c r="J177" s="12"/>
      <c r="K177" s="307" t="str">
        <f t="shared" si="105"/>
        <v>30085619</v>
      </c>
      <c r="L177" s="15" t="s">
        <v>255</v>
      </c>
      <c r="M177" s="23">
        <v>190400000</v>
      </c>
      <c r="N177" s="34">
        <v>0</v>
      </c>
      <c r="O177" s="34">
        <v>190400000</v>
      </c>
      <c r="P177" s="310">
        <v>0</v>
      </c>
      <c r="Q177" s="34">
        <v>0</v>
      </c>
      <c r="R177" s="308">
        <v>0</v>
      </c>
      <c r="S177" s="34">
        <f t="shared" si="106"/>
        <v>0</v>
      </c>
      <c r="T177" s="34">
        <v>0</v>
      </c>
      <c r="U177" s="34">
        <v>0</v>
      </c>
      <c r="V177" s="34">
        <f>P177+Q177+R177+T177+U177</f>
        <v>0</v>
      </c>
      <c r="W177" s="34">
        <f>O177-V177</f>
        <v>190400000</v>
      </c>
      <c r="X177" s="34">
        <f>M177-(N177+O177)</f>
        <v>0</v>
      </c>
      <c r="Y177" s="48" t="s">
        <v>460</v>
      </c>
      <c r="Z177" s="48" t="s">
        <v>10</v>
      </c>
      <c r="AA177" s="2" t="e">
        <v>#N/A</v>
      </c>
      <c r="AB177" s="2" t="e">
        <f>VLOOKUP(H177,#REF!,2,FALSE)</f>
        <v>#REF!</v>
      </c>
      <c r="AC177" s="2" t="e">
        <f>VLOOKUP(I177,#REF!,2,FALSE)</f>
        <v>#REF!</v>
      </c>
      <c r="AD177" s="2" t="e">
        <f>VLOOKUP(H177,#REF!,13,FALSE)</f>
        <v>#REF!</v>
      </c>
      <c r="AE177" s="2" t="e">
        <f>VLOOKUP(I177,#REF!,7,FALSE)</f>
        <v>#REF!</v>
      </c>
      <c r="AF177" s="2">
        <v>25</v>
      </c>
      <c r="AG177" s="2" t="e">
        <f>VLOOKUP(H177,#REF!,13,FALSE)</f>
        <v>#REF!</v>
      </c>
      <c r="AH177" s="2" t="e">
        <f>VLOOKUP(I177,#REF!,2,FALSE)</f>
        <v>#REF!</v>
      </c>
      <c r="AJ177" s="185" t="e">
        <f>VLOOKUP(H177,#REF!,3,FALSE)</f>
        <v>#REF!</v>
      </c>
      <c r="AK177" s="185" t="s">
        <v>684</v>
      </c>
      <c r="AL177" s="185" t="e">
        <f>VLOOKUP(H177,#REF!,13,FALSE)</f>
        <v>#REF!</v>
      </c>
      <c r="AM177" s="185" t="e">
        <f>VLOOKUP(CLEAN(H177),#REF!,7,FALSE)</f>
        <v>#REF!</v>
      </c>
      <c r="AN177" s="2" t="e">
        <f>VLOOKUP(H177,#REF!,8,FALSE)</f>
        <v>#REF!</v>
      </c>
      <c r="AO177" s="189" t="e">
        <f>VLOOKUP(H177,#REF!,2,FALSE)</f>
        <v>#REF!</v>
      </c>
      <c r="AP177" s="189" t="e">
        <f>VLOOKUP(H177,#REF!,2,FALSE)</f>
        <v>#REF!</v>
      </c>
      <c r="AQ177" s="189"/>
      <c r="AR177" s="2" t="e">
        <f>VLOOKUP(CLEAN(H177),#REF!,2,FALSE)</f>
        <v>#REF!</v>
      </c>
      <c r="AT177" s="2" t="e">
        <f>VLOOKUP(H177,#REF!,13,FALSE)</f>
        <v>#REF!</v>
      </c>
      <c r="AU177" s="2" t="e">
        <f>VLOOKUP(H177,#REF!,13,FALSE)</f>
        <v>#REF!</v>
      </c>
      <c r="AV177" s="2" t="e">
        <f>VLOOKUP(H177,#REF!,13,FALSE)</f>
        <v>#REF!</v>
      </c>
      <c r="AW177" s="2" t="e">
        <f>VLOOKUP(H177,#REF!,13,FALSE)</f>
        <v>#REF!</v>
      </c>
      <c r="AX177" s="2" t="e">
        <f>VLOOKUP(H177,#REF!,9,FALSE)</f>
        <v>#REF!</v>
      </c>
      <c r="AZ177" s="2" t="e">
        <f>VLOOKUP(H177,#REF!,2,FALSE)</f>
        <v>#REF!</v>
      </c>
      <c r="BF177" s="189" t="e">
        <f>VLOOKUP(CLEAN(H177),#REF!,2,FALSE)</f>
        <v>#REF!</v>
      </c>
      <c r="BG177" s="189" t="e">
        <f>T177-BF177</f>
        <v>#REF!</v>
      </c>
      <c r="BO177" s="2" t="e">
        <f>VLOOKUP(H177,#REF!,13,FALSE)</f>
        <v>#REF!</v>
      </c>
      <c r="BP177" s="2" t="e">
        <f>VLOOKUP(H177,#REF!,2,FALSE)</f>
        <v>#REF!</v>
      </c>
      <c r="BQ177" s="2" t="e">
        <f>VLOOKUP(H177,#REF!,13,FALSE)</f>
        <v>#REF!</v>
      </c>
      <c r="BR177" s="2" t="e">
        <f>VLOOKUP(H177,#REF!,3,FALSE)</f>
        <v>#REF!</v>
      </c>
    </row>
    <row r="178" spans="1:70" ht="15" customHeight="1" outlineLevel="2">
      <c r="A178" s="7"/>
      <c r="B178" s="7"/>
      <c r="C178" s="7"/>
      <c r="D178" s="7"/>
      <c r="E178" s="7"/>
      <c r="F178" s="7"/>
      <c r="G178" s="7"/>
      <c r="H178" s="11"/>
      <c r="I178" s="11"/>
      <c r="J178" s="11"/>
      <c r="K178" s="11"/>
      <c r="L178" s="17" t="s">
        <v>692</v>
      </c>
      <c r="M178" s="27">
        <f t="shared" ref="M178:X178" si="107">SUBTOTAL(9,M174:M177)</f>
        <v>9231532000</v>
      </c>
      <c r="N178" s="27">
        <f t="shared" si="107"/>
        <v>22472000</v>
      </c>
      <c r="O178" s="27">
        <f t="shared" si="107"/>
        <v>4439604601</v>
      </c>
      <c r="P178" s="24">
        <f t="shared" si="107"/>
        <v>0</v>
      </c>
      <c r="Q178" s="24">
        <f t="shared" si="107"/>
        <v>0</v>
      </c>
      <c r="R178" s="24">
        <f t="shared" si="107"/>
        <v>0</v>
      </c>
      <c r="S178" s="27">
        <f t="shared" si="107"/>
        <v>0</v>
      </c>
      <c r="T178" s="27">
        <f t="shared" si="107"/>
        <v>0</v>
      </c>
      <c r="U178" s="27">
        <f t="shared" si="107"/>
        <v>0</v>
      </c>
      <c r="V178" s="27">
        <f t="shared" si="107"/>
        <v>0</v>
      </c>
      <c r="W178" s="27">
        <f t="shared" si="107"/>
        <v>4439604601</v>
      </c>
      <c r="X178" s="27">
        <f t="shared" si="107"/>
        <v>4769455399</v>
      </c>
      <c r="Y178" s="47"/>
      <c r="Z178" s="47"/>
      <c r="AO178"/>
      <c r="AP178"/>
      <c r="AQ178"/>
      <c r="AR178" s="2" t="e">
        <f>VLOOKUP(CLEAN(H178),#REF!,2,FALSE)</f>
        <v>#REF!</v>
      </c>
      <c r="AZ178" s="2" t="e">
        <f>VLOOKUP(H178,#REF!,2,FALSE)</f>
        <v>#REF!</v>
      </c>
      <c r="BO178" s="2" t="e">
        <f>VLOOKUP(H178,#REF!,13,FALSE)</f>
        <v>#REF!</v>
      </c>
      <c r="BQ178" s="2" t="e">
        <f>VLOOKUP(H178,#REF!,13,FALSE)</f>
        <v>#REF!</v>
      </c>
    </row>
    <row r="179" spans="1:70" ht="15" customHeight="1" outlineLevel="2">
      <c r="A179" s="7"/>
      <c r="B179" s="7"/>
      <c r="C179" s="7"/>
      <c r="D179" s="7"/>
      <c r="E179" s="7"/>
      <c r="F179" s="7"/>
      <c r="G179" s="7"/>
      <c r="H179" s="11"/>
      <c r="I179" s="11"/>
      <c r="J179" s="11"/>
      <c r="K179" s="11"/>
      <c r="L179" s="292"/>
      <c r="M179" s="22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47"/>
      <c r="Z179" s="47"/>
      <c r="AO179"/>
      <c r="AP179"/>
      <c r="AQ179"/>
      <c r="AR179" s="2" t="e">
        <f>VLOOKUP(CLEAN(H179),#REF!,2,FALSE)</f>
        <v>#REF!</v>
      </c>
      <c r="AZ179" s="2" t="e">
        <f>VLOOKUP(H179,#REF!,2,FALSE)</f>
        <v>#REF!</v>
      </c>
      <c r="BO179" s="2" t="e">
        <f>VLOOKUP(H179,#REF!,13,FALSE)</f>
        <v>#REF!</v>
      </c>
      <c r="BP179" s="293"/>
      <c r="BQ179" s="2" t="e">
        <f>VLOOKUP(H179,#REF!,13,FALSE)</f>
        <v>#REF!</v>
      </c>
    </row>
    <row r="180" spans="1:70" ht="15" customHeight="1" outlineLevel="2">
      <c r="A180" s="7"/>
      <c r="B180" s="7"/>
      <c r="C180" s="7"/>
      <c r="D180" s="7"/>
      <c r="E180" s="7"/>
      <c r="F180" s="7"/>
      <c r="G180" s="7"/>
      <c r="H180" s="11"/>
      <c r="I180" s="11"/>
      <c r="J180" s="11"/>
      <c r="K180" s="11"/>
      <c r="L180" s="18" t="s">
        <v>701</v>
      </c>
      <c r="M180" s="22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47"/>
      <c r="Z180" s="47"/>
      <c r="AM180" s="185" t="e">
        <f>VLOOKUP(CLEAN(H180),#REF!,7,FALSE)</f>
        <v>#REF!</v>
      </c>
      <c r="AO180"/>
      <c r="AP180"/>
      <c r="AQ180"/>
      <c r="AR180" s="2" t="e">
        <f>VLOOKUP(CLEAN(H180),#REF!,2,FALSE)</f>
        <v>#REF!</v>
      </c>
      <c r="AZ180" s="2" t="e">
        <f>VLOOKUP(H180,#REF!,2,FALSE)</f>
        <v>#REF!</v>
      </c>
      <c r="BO180" s="2" t="e">
        <f>VLOOKUP(H180,#REF!,13,FALSE)</f>
        <v>#REF!</v>
      </c>
      <c r="BQ180" s="2" t="e">
        <f>VLOOKUP(H180,#REF!,13,FALSE)</f>
        <v>#REF!</v>
      </c>
    </row>
    <row r="181" spans="1:70" s="2" customFormat="1" ht="15" customHeight="1" outlineLevel="2">
      <c r="A181" s="5">
        <v>29</v>
      </c>
      <c r="B181" s="5" t="s">
        <v>54</v>
      </c>
      <c r="C181" s="5" t="s">
        <v>240</v>
      </c>
      <c r="D181" s="5" t="s">
        <v>7</v>
      </c>
      <c r="E181" s="5" t="s">
        <v>20</v>
      </c>
      <c r="F181" s="5" t="s">
        <v>457</v>
      </c>
      <c r="G181" s="5" t="s">
        <v>144</v>
      </c>
      <c r="H181" s="12">
        <v>30486204</v>
      </c>
      <c r="I181" s="42" t="str">
        <f t="shared" ref="I181:I187" si="108">CONCATENATE(H181,"-",G181)</f>
        <v>30486204-EJECUCION</v>
      </c>
      <c r="J181" s="12"/>
      <c r="K181" s="307" t="str">
        <f t="shared" ref="K181:K187" si="109">CLEAN(H181)</f>
        <v>30486204</v>
      </c>
      <c r="L181" s="15" t="s">
        <v>370</v>
      </c>
      <c r="M181" s="23">
        <f>24857000-9800</f>
        <v>24847200</v>
      </c>
      <c r="N181" s="34">
        <v>0</v>
      </c>
      <c r="O181" s="23">
        <f>24857000-9800</f>
        <v>24847200</v>
      </c>
      <c r="P181" s="310">
        <v>0</v>
      </c>
      <c r="Q181" s="34">
        <v>0</v>
      </c>
      <c r="R181" s="308">
        <v>0</v>
      </c>
      <c r="S181" s="34">
        <f t="shared" ref="S181:S187" si="110">P181+Q181+R181</f>
        <v>0</v>
      </c>
      <c r="T181" s="34">
        <v>0</v>
      </c>
      <c r="U181" s="34">
        <v>24847200</v>
      </c>
      <c r="V181" s="34">
        <f>P181+Q181+R181+T181+U181</f>
        <v>24847200</v>
      </c>
      <c r="W181" s="34">
        <f>O181-V181</f>
        <v>0</v>
      </c>
      <c r="X181" s="34">
        <f>M181-(N181+O181)</f>
        <v>0</v>
      </c>
      <c r="Y181" s="48" t="s">
        <v>460</v>
      </c>
      <c r="Z181" s="48" t="s">
        <v>10</v>
      </c>
      <c r="AA181" s="2" t="s">
        <v>849</v>
      </c>
      <c r="AB181" s="2" t="e">
        <f>VLOOKUP(H181,#REF!,2,FALSE)</f>
        <v>#REF!</v>
      </c>
      <c r="AC181" s="2" t="e">
        <f>VLOOKUP(I181,#REF!,2,FALSE)</f>
        <v>#REF!</v>
      </c>
      <c r="AD181" s="2" t="e">
        <f>VLOOKUP(H181,#REF!,13,FALSE)</f>
        <v>#REF!</v>
      </c>
      <c r="AE181" s="177" t="e">
        <f>VLOOKUP(I181,#REF!,7,FALSE)</f>
        <v>#REF!</v>
      </c>
      <c r="AF181" s="2">
        <v>25</v>
      </c>
      <c r="AG181" s="2" t="e">
        <f>VLOOKUP(H181,#REF!,13,FALSE)</f>
        <v>#REF!</v>
      </c>
      <c r="AH181" s="2" t="e">
        <f>VLOOKUP(I181,#REF!,2,FALSE)</f>
        <v>#REF!</v>
      </c>
      <c r="AJ181" s="185" t="e">
        <f>VLOOKUP(H181,#REF!,3,FALSE)</f>
        <v>#REF!</v>
      </c>
      <c r="AK181" s="185"/>
      <c r="AL181" s="185" t="e">
        <f>VLOOKUP(H181,#REF!,13,FALSE)</f>
        <v>#REF!</v>
      </c>
      <c r="AM181" s="185" t="e">
        <f>VLOOKUP(CLEAN(H181),#REF!,7,FALSE)</f>
        <v>#REF!</v>
      </c>
      <c r="AN181" s="2" t="e">
        <f>VLOOKUP(H181,#REF!,8,FALSE)</f>
        <v>#REF!</v>
      </c>
      <c r="AO181" s="189" t="e">
        <f>VLOOKUP(H181,#REF!,2,FALSE)</f>
        <v>#REF!</v>
      </c>
      <c r="AP181" s="189" t="e">
        <f>VLOOKUP(H181,#REF!,2,FALSE)</f>
        <v>#REF!</v>
      </c>
      <c r="AQ181" s="189"/>
      <c r="AR181" s="2" t="e">
        <f>VLOOKUP(CLEAN(H181),#REF!,2,FALSE)</f>
        <v>#REF!</v>
      </c>
      <c r="AT181" s="2" t="e">
        <f>VLOOKUP(H181,#REF!,13,FALSE)</f>
        <v>#REF!</v>
      </c>
      <c r="AU181" s="2" t="e">
        <f>VLOOKUP(H181,#REF!,13,FALSE)</f>
        <v>#REF!</v>
      </c>
      <c r="AV181" s="2" t="e">
        <f>VLOOKUP(H181,#REF!,13,FALSE)</f>
        <v>#REF!</v>
      </c>
      <c r="AW181" s="2" t="e">
        <f>VLOOKUP(H181,#REF!,13,FALSE)</f>
        <v>#REF!</v>
      </c>
      <c r="AX181" s="2" t="e">
        <f>VLOOKUP(H181,#REF!,9,FALSE)</f>
        <v>#REF!</v>
      </c>
      <c r="AY181" s="2" t="e">
        <f>VLOOKUP(H181,#REF!,2,FALSE)</f>
        <v>#REF!</v>
      </c>
      <c r="AZ181" s="189" t="e">
        <f>VLOOKUP(H181,#REF!,2,FALSE)</f>
        <v>#REF!</v>
      </c>
      <c r="BF181" s="189" t="e">
        <f>VLOOKUP(CLEAN(H181),#REF!,2,FALSE)</f>
        <v>#REF!</v>
      </c>
      <c r="BG181" s="189" t="e">
        <f>T181-BF181</f>
        <v>#REF!</v>
      </c>
      <c r="BO181" s="2" t="e">
        <f>VLOOKUP(H181,#REF!,13,FALSE)</f>
        <v>#REF!</v>
      </c>
      <c r="BP181" s="2" t="e">
        <f>VLOOKUP(H181,#REF!,2,FALSE)</f>
        <v>#REF!</v>
      </c>
      <c r="BQ181" s="2" t="e">
        <f>VLOOKUP(H181,#REF!,13,FALSE)</f>
        <v>#REF!</v>
      </c>
      <c r="BR181" s="2" t="e">
        <f>VLOOKUP(H181,#REF!,3,FALSE)</f>
        <v>#REF!</v>
      </c>
    </row>
    <row r="182" spans="1:70" s="2" customFormat="1" ht="15" customHeight="1" outlineLevel="2">
      <c r="A182" s="5">
        <v>29</v>
      </c>
      <c r="B182" s="5" t="s">
        <v>11</v>
      </c>
      <c r="C182" s="5" t="s">
        <v>242</v>
      </c>
      <c r="D182" s="5" t="s">
        <v>7</v>
      </c>
      <c r="E182" s="5" t="s">
        <v>20</v>
      </c>
      <c r="F182" s="5" t="s">
        <v>457</v>
      </c>
      <c r="G182" s="5" t="s">
        <v>144</v>
      </c>
      <c r="H182" s="12">
        <v>40001457</v>
      </c>
      <c r="I182" s="42" t="str">
        <f t="shared" si="108"/>
        <v>40001457-EJECUCION</v>
      </c>
      <c r="J182" s="12"/>
      <c r="K182" s="307" t="str">
        <f t="shared" si="109"/>
        <v>40001457</v>
      </c>
      <c r="L182" s="15" t="s">
        <v>634</v>
      </c>
      <c r="M182" s="23">
        <v>249575000</v>
      </c>
      <c r="N182" s="34">
        <v>0</v>
      </c>
      <c r="O182" s="34">
        <v>249575000</v>
      </c>
      <c r="P182" s="310">
        <v>0</v>
      </c>
      <c r="Q182" s="34">
        <v>0</v>
      </c>
      <c r="R182" s="308">
        <v>0</v>
      </c>
      <c r="S182" s="34">
        <f t="shared" si="110"/>
        <v>0</v>
      </c>
      <c r="T182" s="34">
        <v>0</v>
      </c>
      <c r="U182" s="34">
        <v>0</v>
      </c>
      <c r="V182" s="34">
        <f>P182+Q182+R182+T182+U182</f>
        <v>0</v>
      </c>
      <c r="W182" s="34">
        <f>O182-V182</f>
        <v>249575000</v>
      </c>
      <c r="X182" s="34">
        <f>M182-(N182+O182)</f>
        <v>0</v>
      </c>
      <c r="Y182" s="48" t="s">
        <v>243</v>
      </c>
      <c r="Z182" s="48" t="s">
        <v>10</v>
      </c>
      <c r="AA182" s="2" t="e">
        <v>#N/A</v>
      </c>
      <c r="AB182" s="2" t="e">
        <f>VLOOKUP(H182,#REF!,2,FALSE)</f>
        <v>#REF!</v>
      </c>
      <c r="AC182" s="2" t="e">
        <f>VLOOKUP(I182,#REF!,2,FALSE)</f>
        <v>#REF!</v>
      </c>
      <c r="AD182" s="2" t="e">
        <f>VLOOKUP(H182,#REF!,13,FALSE)</f>
        <v>#REF!</v>
      </c>
      <c r="AE182" s="2" t="e">
        <f>VLOOKUP(I182,#REF!,7,FALSE)</f>
        <v>#REF!</v>
      </c>
      <c r="AF182" s="2">
        <v>25</v>
      </c>
      <c r="AG182" s="2" t="e">
        <f>VLOOKUP(H182,#REF!,13,FALSE)</f>
        <v>#REF!</v>
      </c>
      <c r="AH182" s="2" t="e">
        <f>VLOOKUP(I182,#REF!,2,FALSE)</f>
        <v>#REF!</v>
      </c>
      <c r="AJ182" s="185" t="e">
        <f>VLOOKUP(H182,#REF!,3,FALSE)</f>
        <v>#REF!</v>
      </c>
      <c r="AK182" s="185"/>
      <c r="AL182" s="185" t="e">
        <f>VLOOKUP(H182,#REF!,13,FALSE)</f>
        <v>#REF!</v>
      </c>
      <c r="AM182" s="185" t="e">
        <f>VLOOKUP(CLEAN(H182),#REF!,7,FALSE)</f>
        <v>#REF!</v>
      </c>
      <c r="AN182" s="2" t="e">
        <f>VLOOKUP(H182,#REF!,8,FALSE)</f>
        <v>#REF!</v>
      </c>
      <c r="AO182" s="189" t="e">
        <f>VLOOKUP(H182,#REF!,2,FALSE)</f>
        <v>#REF!</v>
      </c>
      <c r="AP182" s="189" t="e">
        <f>VLOOKUP(H182,#REF!,2,FALSE)</f>
        <v>#REF!</v>
      </c>
      <c r="AQ182" s="189"/>
      <c r="AR182" s="2" t="e">
        <f>VLOOKUP(CLEAN(H182),#REF!,2,FALSE)</f>
        <v>#REF!</v>
      </c>
      <c r="AT182" s="2" t="e">
        <f>VLOOKUP(H182,#REF!,13,FALSE)</f>
        <v>#REF!</v>
      </c>
      <c r="AU182" s="2" t="e">
        <f>VLOOKUP(H182,#REF!,13,FALSE)</f>
        <v>#REF!</v>
      </c>
      <c r="AV182" s="2" t="e">
        <f>VLOOKUP(H182,#REF!,13,FALSE)</f>
        <v>#REF!</v>
      </c>
      <c r="AW182" s="2" t="e">
        <f>VLOOKUP(H182,#REF!,13,FALSE)</f>
        <v>#REF!</v>
      </c>
      <c r="AX182" s="2" t="e">
        <f>VLOOKUP(H182,#REF!,9,FALSE)</f>
        <v>#REF!</v>
      </c>
      <c r="AY182" s="2" t="e">
        <f>VLOOKUP(H182,#REF!,2,FALSE)</f>
        <v>#REF!</v>
      </c>
      <c r="AZ182" s="189" t="e">
        <f>VLOOKUP(H182,#REF!,2,FALSE)</f>
        <v>#REF!</v>
      </c>
      <c r="BF182" s="189" t="e">
        <f>VLOOKUP(CLEAN(H182),#REF!,2,FALSE)</f>
        <v>#REF!</v>
      </c>
      <c r="BG182" s="189" t="e">
        <f>T182-BF182</f>
        <v>#REF!</v>
      </c>
      <c r="BO182" s="2" t="e">
        <f>VLOOKUP(H182,#REF!,13,FALSE)</f>
        <v>#REF!</v>
      </c>
      <c r="BP182" s="2" t="e">
        <f>VLOOKUP(H182,#REF!,2,FALSE)</f>
        <v>#REF!</v>
      </c>
      <c r="BQ182" s="2" t="e">
        <f>VLOOKUP(H182,#REF!,13,FALSE)</f>
        <v>#REF!</v>
      </c>
      <c r="BR182" s="2" t="e">
        <f>VLOOKUP(H182,#REF!,3,FALSE)</f>
        <v>#REF!</v>
      </c>
    </row>
    <row r="183" spans="1:70" s="2" customFormat="1" ht="15" customHeight="1" outlineLevel="2">
      <c r="A183" s="5">
        <v>31</v>
      </c>
      <c r="B183" s="5" t="s">
        <v>54</v>
      </c>
      <c r="C183" s="5" t="s">
        <v>241</v>
      </c>
      <c r="D183" s="5" t="s">
        <v>7</v>
      </c>
      <c r="E183" s="5" t="s">
        <v>20</v>
      </c>
      <c r="F183" s="5" t="s">
        <v>89</v>
      </c>
      <c r="G183" s="5" t="s">
        <v>144</v>
      </c>
      <c r="H183" s="12">
        <v>30448275</v>
      </c>
      <c r="I183" s="42" t="str">
        <f t="shared" si="108"/>
        <v>30448275-EJECUCION</v>
      </c>
      <c r="J183" s="12"/>
      <c r="K183" s="307" t="str">
        <f t="shared" si="109"/>
        <v>30448275</v>
      </c>
      <c r="L183" s="15" t="s">
        <v>755</v>
      </c>
      <c r="M183" s="23">
        <v>328333000</v>
      </c>
      <c r="N183" s="34">
        <v>0</v>
      </c>
      <c r="O183" s="34">
        <v>50000000</v>
      </c>
      <c r="P183" s="310">
        <v>0</v>
      </c>
      <c r="Q183" s="34">
        <v>0</v>
      </c>
      <c r="R183" s="308">
        <v>0</v>
      </c>
      <c r="S183" s="34">
        <f t="shared" si="110"/>
        <v>0</v>
      </c>
      <c r="T183" s="34">
        <v>0</v>
      </c>
      <c r="U183" s="34">
        <v>0</v>
      </c>
      <c r="V183" s="34">
        <f>P183+Q183+R183+T183+U183</f>
        <v>0</v>
      </c>
      <c r="W183" s="34">
        <f>O183-V183</f>
        <v>50000000</v>
      </c>
      <c r="X183" s="34">
        <f>M183-(N183+O183)</f>
        <v>278333000</v>
      </c>
      <c r="Y183" s="48" t="s">
        <v>243</v>
      </c>
      <c r="Z183" s="48" t="s">
        <v>10</v>
      </c>
      <c r="AA183" s="2" t="s">
        <v>848</v>
      </c>
      <c r="AB183" s="2" t="e">
        <f>VLOOKUP(H183,#REF!,2,FALSE)</f>
        <v>#REF!</v>
      </c>
      <c r="AC183" s="2" t="e">
        <f>VLOOKUP(I183,#REF!,2,FALSE)</f>
        <v>#REF!</v>
      </c>
      <c r="AD183" s="2" t="e">
        <f>VLOOKUP(H183,#REF!,13,FALSE)</f>
        <v>#REF!</v>
      </c>
      <c r="AE183" s="2" t="e">
        <f>VLOOKUP(I183,#REF!,7,FALSE)</f>
        <v>#REF!</v>
      </c>
      <c r="AF183" s="2">
        <v>25</v>
      </c>
      <c r="AG183" s="2" t="e">
        <f>VLOOKUP(H183,#REF!,13,FALSE)</f>
        <v>#REF!</v>
      </c>
      <c r="AH183" s="2" t="e">
        <f>VLOOKUP(I183,#REF!,2,FALSE)</f>
        <v>#REF!</v>
      </c>
      <c r="AJ183" s="185" t="e">
        <f>VLOOKUP(H183,#REF!,3,FALSE)</f>
        <v>#REF!</v>
      </c>
      <c r="AK183" s="185"/>
      <c r="AL183" s="185" t="e">
        <f>VLOOKUP(H183,#REF!,13,FALSE)</f>
        <v>#REF!</v>
      </c>
      <c r="AM183" s="185" t="e">
        <f>VLOOKUP(CLEAN(H183),#REF!,7,FALSE)</f>
        <v>#REF!</v>
      </c>
      <c r="AN183" s="2" t="e">
        <f>VLOOKUP(H183,#REF!,8,FALSE)</f>
        <v>#REF!</v>
      </c>
      <c r="AO183" s="189" t="e">
        <f>VLOOKUP(H183,#REF!,2,FALSE)</f>
        <v>#REF!</v>
      </c>
      <c r="AP183" s="189" t="e">
        <f>VLOOKUP(H183,#REF!,2,FALSE)</f>
        <v>#REF!</v>
      </c>
      <c r="AQ183" s="189"/>
      <c r="AR183" s="2" t="e">
        <f>VLOOKUP(CLEAN(H183),#REF!,2,FALSE)</f>
        <v>#REF!</v>
      </c>
      <c r="AT183" s="2" t="e">
        <f>VLOOKUP(H183,#REF!,13,FALSE)</f>
        <v>#REF!</v>
      </c>
      <c r="AU183" s="2" t="e">
        <f>VLOOKUP(H183,#REF!,13,FALSE)</f>
        <v>#REF!</v>
      </c>
      <c r="AV183" s="2" t="e">
        <f>VLOOKUP(H183,#REF!,13,FALSE)</f>
        <v>#REF!</v>
      </c>
      <c r="AW183" s="2" t="e">
        <f>VLOOKUP(H183,#REF!,13,FALSE)</f>
        <v>#REF!</v>
      </c>
      <c r="AX183" s="2" t="e">
        <f>VLOOKUP(H183,#REF!,9,FALSE)</f>
        <v>#REF!</v>
      </c>
      <c r="AZ183" s="189" t="e">
        <f>VLOOKUP(H183,#REF!,2,FALSE)</f>
        <v>#REF!</v>
      </c>
      <c r="BF183" s="189" t="e">
        <f>VLOOKUP(CLEAN(H183),#REF!,2,FALSE)</f>
        <v>#REF!</v>
      </c>
      <c r="BG183" s="189" t="e">
        <f>T183-BF183</f>
        <v>#REF!</v>
      </c>
      <c r="BO183" s="2" t="e">
        <f>VLOOKUP(H183,#REF!,13,FALSE)</f>
        <v>#REF!</v>
      </c>
      <c r="BP183" s="2" t="e">
        <f>VLOOKUP(H183,#REF!,2,FALSE)</f>
        <v>#REF!</v>
      </c>
      <c r="BQ183" s="2" t="e">
        <f>VLOOKUP(H183,#REF!,13,FALSE)</f>
        <v>#REF!</v>
      </c>
      <c r="BR183" s="2" t="e">
        <f>VLOOKUP(H183,#REF!,3,FALSE)</f>
        <v>#REF!</v>
      </c>
    </row>
    <row r="184" spans="1:70" s="2" customFormat="1" ht="15" customHeight="1" outlineLevel="2">
      <c r="A184" s="5">
        <v>31</v>
      </c>
      <c r="B184" s="5" t="s">
        <v>54</v>
      </c>
      <c r="C184" s="5" t="s">
        <v>251</v>
      </c>
      <c r="D184" s="5" t="s">
        <v>7</v>
      </c>
      <c r="E184" s="5" t="s">
        <v>20</v>
      </c>
      <c r="F184" s="5" t="s">
        <v>457</v>
      </c>
      <c r="G184" s="5" t="s">
        <v>144</v>
      </c>
      <c r="H184" s="12">
        <v>30126075</v>
      </c>
      <c r="I184" s="42" t="str">
        <f t="shared" si="108"/>
        <v>30126075-EJECUCION</v>
      </c>
      <c r="J184" s="12"/>
      <c r="K184" s="307" t="str">
        <f t="shared" si="109"/>
        <v>30126075</v>
      </c>
      <c r="L184" s="15" t="s">
        <v>390</v>
      </c>
      <c r="M184" s="23">
        <v>886118000</v>
      </c>
      <c r="N184" s="34">
        <v>0</v>
      </c>
      <c r="O184" s="34">
        <v>300000000</v>
      </c>
      <c r="P184" s="310">
        <v>0</v>
      </c>
      <c r="Q184" s="34">
        <v>0</v>
      </c>
      <c r="R184" s="308">
        <v>0</v>
      </c>
      <c r="S184" s="34">
        <f t="shared" si="110"/>
        <v>0</v>
      </c>
      <c r="T184" s="34">
        <v>0</v>
      </c>
      <c r="U184" s="34">
        <v>0</v>
      </c>
      <c r="V184" s="34">
        <f>P184+Q184+R184+T184+U184</f>
        <v>0</v>
      </c>
      <c r="W184" s="34">
        <f>O184-V184</f>
        <v>300000000</v>
      </c>
      <c r="X184" s="34">
        <f>M184-(N184+O184)</f>
        <v>586118000</v>
      </c>
      <c r="Y184" s="48" t="s">
        <v>243</v>
      </c>
      <c r="Z184" s="48" t="s">
        <v>8</v>
      </c>
      <c r="AA184" s="2" t="s">
        <v>848</v>
      </c>
      <c r="AB184" s="2" t="e">
        <f>VLOOKUP(H184,#REF!,2,FALSE)</f>
        <v>#REF!</v>
      </c>
      <c r="AC184" s="2" t="e">
        <f>VLOOKUP(I184,#REF!,2,FALSE)</f>
        <v>#REF!</v>
      </c>
      <c r="AD184" s="2" t="e">
        <f>VLOOKUP(H184,#REF!,13,FALSE)</f>
        <v>#REF!</v>
      </c>
      <c r="AE184" s="2" t="e">
        <f>VLOOKUP(I184,#REF!,7,FALSE)</f>
        <v>#REF!</v>
      </c>
      <c r="AF184" s="2">
        <v>25</v>
      </c>
      <c r="AG184" s="2" t="e">
        <f>VLOOKUP(H184,#REF!,13,FALSE)</f>
        <v>#REF!</v>
      </c>
      <c r="AH184" s="2" t="e">
        <f>VLOOKUP(I184,#REF!,2,FALSE)</f>
        <v>#REF!</v>
      </c>
      <c r="AJ184" s="185" t="e">
        <f>VLOOKUP(H184,#REF!,3,FALSE)</f>
        <v>#REF!</v>
      </c>
      <c r="AK184" s="185"/>
      <c r="AL184" s="185" t="e">
        <f>VLOOKUP(H184,#REF!,13,FALSE)</f>
        <v>#REF!</v>
      </c>
      <c r="AM184" s="185" t="e">
        <f>VLOOKUP(CLEAN(H184),#REF!,7,FALSE)</f>
        <v>#REF!</v>
      </c>
      <c r="AN184" s="2" t="e">
        <f>VLOOKUP(H184,#REF!,8,FALSE)</f>
        <v>#REF!</v>
      </c>
      <c r="AO184" s="189" t="e">
        <f>VLOOKUP(H184,#REF!,2,FALSE)</f>
        <v>#REF!</v>
      </c>
      <c r="AP184" s="189" t="e">
        <f>VLOOKUP(H184,#REF!,2,FALSE)</f>
        <v>#REF!</v>
      </c>
      <c r="AQ184" s="189"/>
      <c r="AR184" s="2" t="e">
        <f>VLOOKUP(CLEAN(H184),#REF!,2,FALSE)</f>
        <v>#REF!</v>
      </c>
      <c r="AT184" s="2" t="e">
        <f>VLOOKUP(H184,#REF!,13,FALSE)</f>
        <v>#REF!</v>
      </c>
      <c r="AU184" s="2" t="e">
        <f>VLOOKUP(H184,#REF!,13,FALSE)</f>
        <v>#REF!</v>
      </c>
      <c r="AV184" s="2" t="e">
        <f>VLOOKUP(H184,#REF!,13,FALSE)</f>
        <v>#REF!</v>
      </c>
      <c r="AW184" s="2" t="e">
        <f>VLOOKUP(H184,#REF!,13,FALSE)</f>
        <v>#REF!</v>
      </c>
      <c r="AX184" s="2" t="e">
        <f>VLOOKUP(H184,#REF!,9,FALSE)</f>
        <v>#REF!</v>
      </c>
      <c r="AZ184" s="2" t="e">
        <f>VLOOKUP(H184,#REF!,2,FALSE)</f>
        <v>#REF!</v>
      </c>
      <c r="BF184" s="189" t="e">
        <f>VLOOKUP(CLEAN(H184),#REF!,2,FALSE)</f>
        <v>#REF!</v>
      </c>
      <c r="BG184" s="189" t="e">
        <f>T184-BF184</f>
        <v>#REF!</v>
      </c>
      <c r="BO184" s="2" t="e">
        <f>VLOOKUP(H184,#REF!,13,FALSE)</f>
        <v>#REF!</v>
      </c>
      <c r="BP184" s="2" t="e">
        <f>VLOOKUP(H184,#REF!,2,FALSE)</f>
        <v>#REF!</v>
      </c>
      <c r="BQ184" s="2" t="e">
        <f>VLOOKUP(H184,#REF!,13,FALSE)</f>
        <v>#REF!</v>
      </c>
      <c r="BR184" s="2" t="e">
        <f>VLOOKUP(H184,#REF!,3,FALSE)</f>
        <v>#REF!</v>
      </c>
    </row>
    <row r="185" spans="1:70" s="2" customFormat="1" ht="15" customHeight="1" outlineLevel="2">
      <c r="A185" s="5">
        <v>24</v>
      </c>
      <c r="B185" s="5" t="s">
        <v>54</v>
      </c>
      <c r="C185" s="5" t="s">
        <v>238</v>
      </c>
      <c r="D185" s="5" t="s">
        <v>7</v>
      </c>
      <c r="E185" s="5" t="s">
        <v>20</v>
      </c>
      <c r="F185" s="5" t="s">
        <v>457</v>
      </c>
      <c r="G185" s="5" t="s">
        <v>144</v>
      </c>
      <c r="H185" s="12" t="s">
        <v>374</v>
      </c>
      <c r="I185" s="42" t="str">
        <f t="shared" si="108"/>
        <v>SUBT 24-EJECUCION</v>
      </c>
      <c r="J185" s="12"/>
      <c r="K185" s="307" t="str">
        <f t="shared" si="109"/>
        <v>SUBT 24</v>
      </c>
      <c r="L185" s="15" t="s">
        <v>375</v>
      </c>
      <c r="M185" s="23">
        <v>359099988.79963976</v>
      </c>
      <c r="N185" s="34">
        <v>0</v>
      </c>
      <c r="O185" s="34">
        <v>359099988.79963976</v>
      </c>
      <c r="P185" s="310">
        <v>0</v>
      </c>
      <c r="Q185" s="34">
        <v>0</v>
      </c>
      <c r="R185" s="308">
        <v>0</v>
      </c>
      <c r="S185" s="34">
        <f t="shared" si="110"/>
        <v>0</v>
      </c>
      <c r="T185" s="34">
        <v>904413</v>
      </c>
      <c r="U185" s="34">
        <v>0</v>
      </c>
      <c r="V185" s="34">
        <f>P185+Q185+R185+T185+U185</f>
        <v>904413</v>
      </c>
      <c r="W185" s="34">
        <f>O185-V185</f>
        <v>358195575.79963976</v>
      </c>
      <c r="X185" s="34">
        <f>M185-(N185+O185)</f>
        <v>0</v>
      </c>
      <c r="Y185" s="48" t="s">
        <v>419</v>
      </c>
      <c r="Z185" s="48" t="s">
        <v>256</v>
      </c>
      <c r="AA185" s="2" t="e">
        <v>#N/A</v>
      </c>
      <c r="AB185" s="2" t="e">
        <f>VLOOKUP(H185,#REF!,2,FALSE)</f>
        <v>#REF!</v>
      </c>
      <c r="AC185" s="2" t="e">
        <f>VLOOKUP(I185,#REF!,2,FALSE)</f>
        <v>#REF!</v>
      </c>
      <c r="AD185" s="2" t="e">
        <f>VLOOKUP(H185,#REF!,13,FALSE)</f>
        <v>#REF!</v>
      </c>
      <c r="AE185" s="2" t="e">
        <f>VLOOKUP(I185,#REF!,7,FALSE)</f>
        <v>#REF!</v>
      </c>
      <c r="AF185" s="2">
        <v>25</v>
      </c>
      <c r="AG185" s="2" t="e">
        <f>VLOOKUP(H185,#REF!,13,FALSE)</f>
        <v>#REF!</v>
      </c>
      <c r="AH185" s="2" t="e">
        <f>VLOOKUP(I185,#REF!,2,FALSE)</f>
        <v>#REF!</v>
      </c>
      <c r="AJ185" s="185" t="e">
        <f>VLOOKUP(H185,#REF!,3,FALSE)</f>
        <v>#REF!</v>
      </c>
      <c r="AK185" s="185"/>
      <c r="AL185" s="185"/>
      <c r="AM185" s="185" t="e">
        <f>VLOOKUP(CLEAN(H185),#REF!,7,FALSE)</f>
        <v>#REF!</v>
      </c>
      <c r="AN185" s="2" t="e">
        <f>VLOOKUP(H185,#REF!,8,FALSE)</f>
        <v>#REF!</v>
      </c>
      <c r="AO185" s="189" t="e">
        <f>VLOOKUP(H185,#REF!,2,FALSE)</f>
        <v>#REF!</v>
      </c>
      <c r="AP185" s="189" t="e">
        <f>VLOOKUP(H185,#REF!,2,FALSE)</f>
        <v>#REF!</v>
      </c>
      <c r="AQ185" s="189"/>
      <c r="AR185" s="2" t="e">
        <f>VLOOKUP(CLEAN(H185),#REF!,2,FALSE)</f>
        <v>#REF!</v>
      </c>
      <c r="AT185" s="2" t="e">
        <f>VLOOKUP(H185,#REF!,13,FALSE)</f>
        <v>#REF!</v>
      </c>
      <c r="AU185" s="2" t="e">
        <f>VLOOKUP(H185,#REF!,13,FALSE)</f>
        <v>#REF!</v>
      </c>
      <c r="AV185" s="2" t="e">
        <f>VLOOKUP(H185,#REF!,13,FALSE)</f>
        <v>#REF!</v>
      </c>
      <c r="AW185" s="2" t="e">
        <f>VLOOKUP(H185,#REF!,13,FALSE)</f>
        <v>#REF!</v>
      </c>
      <c r="AX185" s="2" t="e">
        <f>VLOOKUP(H185,#REF!,9,FALSE)</f>
        <v>#REF!</v>
      </c>
      <c r="AZ185" s="2" t="e">
        <f>VLOOKUP(H185,#REF!,2,FALSE)</f>
        <v>#REF!</v>
      </c>
      <c r="BF185" s="189" t="e">
        <f>VLOOKUP(CLEAN(H185),#REF!,2,FALSE)</f>
        <v>#REF!</v>
      </c>
      <c r="BG185" s="189" t="e">
        <f>T185-BF185</f>
        <v>#REF!</v>
      </c>
      <c r="BO185" s="2" t="e">
        <f>VLOOKUP(H185,#REF!,13,FALSE)</f>
        <v>#REF!</v>
      </c>
      <c r="BP185" s="2" t="e">
        <f>VLOOKUP(H185,#REF!,2,FALSE)</f>
        <v>#REF!</v>
      </c>
      <c r="BQ185" s="2" t="e">
        <f>VLOOKUP(H185,#REF!,13,FALSE)</f>
        <v>#REF!</v>
      </c>
      <c r="BR185" s="2" t="e">
        <f>VLOOKUP(H185,#REF!,3,FALSE)</f>
        <v>#REF!</v>
      </c>
    </row>
    <row r="186" spans="1:70" s="2" customFormat="1" ht="15" customHeight="1" outlineLevel="2">
      <c r="A186" s="5">
        <v>24</v>
      </c>
      <c r="B186" s="5" t="s">
        <v>54</v>
      </c>
      <c r="C186" s="5" t="s">
        <v>253</v>
      </c>
      <c r="D186" s="5" t="s">
        <v>7</v>
      </c>
      <c r="E186" s="5" t="s">
        <v>20</v>
      </c>
      <c r="F186" s="5" t="s">
        <v>457</v>
      </c>
      <c r="G186" s="5" t="s">
        <v>144</v>
      </c>
      <c r="H186" s="12" t="s">
        <v>374</v>
      </c>
      <c r="I186" s="42" t="str">
        <f t="shared" si="108"/>
        <v>SUBT 24-EJECUCION</v>
      </c>
      <c r="J186" s="12"/>
      <c r="K186" s="307" t="str">
        <f t="shared" si="109"/>
        <v>SUBT 24</v>
      </c>
      <c r="L186" s="15" t="s">
        <v>376</v>
      </c>
      <c r="M186" s="23">
        <v>359099988.79963976</v>
      </c>
      <c r="N186" s="34">
        <v>0</v>
      </c>
      <c r="O186" s="34">
        <v>359099988.79963976</v>
      </c>
      <c r="P186" s="310">
        <v>0</v>
      </c>
      <c r="Q186" s="34">
        <v>1350000</v>
      </c>
      <c r="R186" s="308">
        <v>0</v>
      </c>
      <c r="S186" s="34">
        <f t="shared" si="110"/>
        <v>1350000</v>
      </c>
      <c r="T186" s="34">
        <v>0</v>
      </c>
      <c r="U186" s="34">
        <v>0</v>
      </c>
      <c r="V186" s="34">
        <f>P186+Q186+R186+T186+U186</f>
        <v>1350000</v>
      </c>
      <c r="W186" s="34">
        <f>O186-V186</f>
        <v>357749988.79963976</v>
      </c>
      <c r="X186" s="34">
        <f>M186-(N186+O186)</f>
        <v>0</v>
      </c>
      <c r="Y186" s="48" t="s">
        <v>419</v>
      </c>
      <c r="Z186" s="48" t="s">
        <v>256</v>
      </c>
      <c r="AA186" s="2" t="e">
        <v>#N/A</v>
      </c>
      <c r="AB186" s="2" t="e">
        <f>VLOOKUP(H186,#REF!,2,FALSE)</f>
        <v>#REF!</v>
      </c>
      <c r="AC186" s="2" t="e">
        <f>VLOOKUP(I186,#REF!,2,FALSE)</f>
        <v>#REF!</v>
      </c>
      <c r="AD186" s="2" t="e">
        <f>VLOOKUP(H186,#REF!,13,FALSE)</f>
        <v>#REF!</v>
      </c>
      <c r="AE186" s="177" t="e">
        <f>VLOOKUP(I186,#REF!,7,FALSE)</f>
        <v>#REF!</v>
      </c>
      <c r="AF186" s="2">
        <v>25</v>
      </c>
      <c r="AG186" s="2" t="e">
        <f>VLOOKUP(H186,#REF!,13,FALSE)</f>
        <v>#REF!</v>
      </c>
      <c r="AH186" s="2" t="e">
        <f>VLOOKUP(I186,#REF!,2,FALSE)</f>
        <v>#REF!</v>
      </c>
      <c r="AJ186" s="185" t="e">
        <f>VLOOKUP(H186,#REF!,3,FALSE)</f>
        <v>#REF!</v>
      </c>
      <c r="AK186" s="185"/>
      <c r="AL186" s="185"/>
      <c r="AM186" s="185" t="e">
        <f>VLOOKUP(CLEAN(H186),#REF!,7,FALSE)</f>
        <v>#REF!</v>
      </c>
      <c r="AN186" s="2" t="e">
        <f>VLOOKUP(H186,#REF!,8,FALSE)</f>
        <v>#REF!</v>
      </c>
      <c r="AO186" s="189" t="e">
        <f>VLOOKUP(H186,#REF!,2,FALSE)</f>
        <v>#REF!</v>
      </c>
      <c r="AP186" s="189" t="e">
        <f>VLOOKUP(H186,#REF!,2,FALSE)</f>
        <v>#REF!</v>
      </c>
      <c r="AQ186" s="189"/>
      <c r="AR186" s="2" t="e">
        <f>VLOOKUP(CLEAN(H186),#REF!,2,FALSE)</f>
        <v>#REF!</v>
      </c>
      <c r="AT186" s="2" t="e">
        <f>VLOOKUP(H186,#REF!,13,FALSE)</f>
        <v>#REF!</v>
      </c>
      <c r="AU186" s="2" t="e">
        <f>VLOOKUP(H186,#REF!,13,FALSE)</f>
        <v>#REF!</v>
      </c>
      <c r="AV186" s="2" t="e">
        <f>VLOOKUP(H186,#REF!,13,FALSE)</f>
        <v>#REF!</v>
      </c>
      <c r="AW186" s="2" t="e">
        <f>VLOOKUP(H186,#REF!,13,FALSE)</f>
        <v>#REF!</v>
      </c>
      <c r="AX186" s="2" t="e">
        <f>VLOOKUP(H186,#REF!,9,FALSE)</f>
        <v>#REF!</v>
      </c>
      <c r="AZ186" s="2" t="e">
        <f>VLOOKUP(H186,#REF!,2,FALSE)</f>
        <v>#REF!</v>
      </c>
      <c r="BF186" s="189" t="e">
        <f>VLOOKUP(CLEAN(H186),#REF!,2,FALSE)</f>
        <v>#REF!</v>
      </c>
      <c r="BG186" s="189" t="e">
        <f>T186-BF186</f>
        <v>#REF!</v>
      </c>
      <c r="BO186" s="2" t="e">
        <f>VLOOKUP(H186,#REF!,13,FALSE)</f>
        <v>#REF!</v>
      </c>
      <c r="BP186" s="2" t="e">
        <f>VLOOKUP(H186,#REF!,2,FALSE)</f>
        <v>#REF!</v>
      </c>
      <c r="BQ186" s="2" t="e">
        <f>VLOOKUP(H186,#REF!,13,FALSE)</f>
        <v>#REF!</v>
      </c>
      <c r="BR186" s="2" t="e">
        <f>VLOOKUP(H186,#REF!,3,FALSE)</f>
        <v>#REF!</v>
      </c>
    </row>
    <row r="187" spans="1:70" s="2" customFormat="1" ht="15" customHeight="1" outlineLevel="2">
      <c r="A187" s="5">
        <v>24</v>
      </c>
      <c r="B187" s="5" t="s">
        <v>54</v>
      </c>
      <c r="C187" s="5" t="s">
        <v>242</v>
      </c>
      <c r="D187" s="5" t="s">
        <v>7</v>
      </c>
      <c r="E187" s="5" t="s">
        <v>20</v>
      </c>
      <c r="F187" s="5" t="s">
        <v>457</v>
      </c>
      <c r="G187" s="5" t="s">
        <v>144</v>
      </c>
      <c r="H187" s="12" t="s">
        <v>374</v>
      </c>
      <c r="I187" s="42" t="str">
        <f t="shared" si="108"/>
        <v>SUBT 24-EJECUCION</v>
      </c>
      <c r="J187" s="12"/>
      <c r="K187" s="307" t="str">
        <f t="shared" si="109"/>
        <v>SUBT 24</v>
      </c>
      <c r="L187" s="15" t="s">
        <v>377</v>
      </c>
      <c r="M187" s="23">
        <v>359099988.79963976</v>
      </c>
      <c r="N187" s="34">
        <v>0</v>
      </c>
      <c r="O187" s="34">
        <v>359099988.79963976</v>
      </c>
      <c r="P187" s="310">
        <v>0</v>
      </c>
      <c r="Q187" s="34">
        <v>0</v>
      </c>
      <c r="R187" s="308">
        <v>0</v>
      </c>
      <c r="S187" s="34">
        <f t="shared" si="110"/>
        <v>0</v>
      </c>
      <c r="T187" s="34">
        <v>0</v>
      </c>
      <c r="U187" s="34">
        <v>0</v>
      </c>
      <c r="V187" s="34">
        <f>P187+Q187+R187+T187+U187</f>
        <v>0</v>
      </c>
      <c r="W187" s="34">
        <f>O187-V187</f>
        <v>359099988.79963976</v>
      </c>
      <c r="X187" s="34">
        <f>M187-(N187+O187)</f>
        <v>0</v>
      </c>
      <c r="Y187" s="48" t="s">
        <v>419</v>
      </c>
      <c r="Z187" s="48" t="s">
        <v>256</v>
      </c>
      <c r="AA187" s="2" t="e">
        <v>#N/A</v>
      </c>
      <c r="AB187" s="2" t="e">
        <f>VLOOKUP(H187,#REF!,2,FALSE)</f>
        <v>#REF!</v>
      </c>
      <c r="AC187" s="2" t="e">
        <f>VLOOKUP(I187,#REF!,2,FALSE)</f>
        <v>#REF!</v>
      </c>
      <c r="AD187" s="2" t="e">
        <f>VLOOKUP(H187,#REF!,13,FALSE)</f>
        <v>#REF!</v>
      </c>
      <c r="AE187" s="2" t="e">
        <f>VLOOKUP(I187,#REF!,7,FALSE)</f>
        <v>#REF!</v>
      </c>
      <c r="AF187" s="2">
        <v>25</v>
      </c>
      <c r="AG187" s="2" t="e">
        <f>VLOOKUP(H187,#REF!,13,FALSE)</f>
        <v>#REF!</v>
      </c>
      <c r="AH187" s="2" t="e">
        <f>VLOOKUP(I187,#REF!,2,FALSE)</f>
        <v>#REF!</v>
      </c>
      <c r="AJ187" s="185" t="e">
        <f>VLOOKUP(H187,#REF!,3,FALSE)</f>
        <v>#REF!</v>
      </c>
      <c r="AK187" s="185"/>
      <c r="AL187" s="185"/>
      <c r="AM187" s="185" t="e">
        <f>VLOOKUP(CLEAN(H187),#REF!,7,FALSE)</f>
        <v>#REF!</v>
      </c>
      <c r="AN187" s="2" t="e">
        <f>VLOOKUP(H187,#REF!,8,FALSE)</f>
        <v>#REF!</v>
      </c>
      <c r="AO187" s="189" t="e">
        <f>VLOOKUP(H187,#REF!,2,FALSE)</f>
        <v>#REF!</v>
      </c>
      <c r="AP187" s="189" t="e">
        <f>VLOOKUP(H187,#REF!,2,FALSE)</f>
        <v>#REF!</v>
      </c>
      <c r="AQ187" s="189"/>
      <c r="AR187" s="2" t="e">
        <f>VLOOKUP(CLEAN(H187),#REF!,2,FALSE)</f>
        <v>#REF!</v>
      </c>
      <c r="AT187" s="2" t="e">
        <f>VLOOKUP(H187,#REF!,13,FALSE)</f>
        <v>#REF!</v>
      </c>
      <c r="AU187" s="2" t="e">
        <f>VLOOKUP(H187,#REF!,13,FALSE)</f>
        <v>#REF!</v>
      </c>
      <c r="AV187" s="2" t="e">
        <f>VLOOKUP(H187,#REF!,13,FALSE)</f>
        <v>#REF!</v>
      </c>
      <c r="AW187" s="2" t="e">
        <f>VLOOKUP(H187,#REF!,13,FALSE)</f>
        <v>#REF!</v>
      </c>
      <c r="AX187" s="2" t="e">
        <f>VLOOKUP(H187,#REF!,9,FALSE)</f>
        <v>#REF!</v>
      </c>
      <c r="AZ187" s="2" t="e">
        <f>VLOOKUP(H187,#REF!,2,FALSE)</f>
        <v>#REF!</v>
      </c>
      <c r="BF187" s="189" t="e">
        <f>VLOOKUP(CLEAN(H187),#REF!,2,FALSE)</f>
        <v>#REF!</v>
      </c>
      <c r="BG187" s="189" t="e">
        <f>T187-BF187</f>
        <v>#REF!</v>
      </c>
      <c r="BO187" s="2" t="e">
        <f>VLOOKUP(H187,#REF!,13,FALSE)</f>
        <v>#REF!</v>
      </c>
      <c r="BP187" s="2" t="e">
        <f>VLOOKUP(H187,#REF!,2,FALSE)</f>
        <v>#REF!</v>
      </c>
      <c r="BQ187" s="2" t="e">
        <f>VLOOKUP(H187,#REF!,13,FALSE)</f>
        <v>#REF!</v>
      </c>
      <c r="BR187" s="2" t="e">
        <f>VLOOKUP(H187,#REF!,3,FALSE)</f>
        <v>#REF!</v>
      </c>
    </row>
    <row r="188" spans="1:70" ht="15" customHeight="1" outlineLevel="2">
      <c r="A188" s="7"/>
      <c r="B188" s="7"/>
      <c r="C188" s="7"/>
      <c r="D188" s="7"/>
      <c r="E188" s="7"/>
      <c r="F188" s="7"/>
      <c r="G188" s="7"/>
      <c r="H188" s="11"/>
      <c r="I188" s="11"/>
      <c r="J188" s="11"/>
      <c r="K188" s="11"/>
      <c r="L188" s="17" t="s">
        <v>702</v>
      </c>
      <c r="M188" s="27">
        <f>SUBTOTAL(9,M181:M187)</f>
        <v>2566173166.3989191</v>
      </c>
      <c r="N188" s="27">
        <f t="shared" ref="N188:O188" si="111">SUBTOTAL(9,N181:N187)</f>
        <v>0</v>
      </c>
      <c r="O188" s="27">
        <f t="shared" si="111"/>
        <v>1701722166.3989191</v>
      </c>
      <c r="P188" s="27">
        <f t="shared" ref="P188:X188" si="112">SUBTOTAL(9,P181:P187)</f>
        <v>0</v>
      </c>
      <c r="Q188" s="27">
        <f t="shared" si="112"/>
        <v>1350000</v>
      </c>
      <c r="R188" s="27">
        <f t="shared" si="112"/>
        <v>0</v>
      </c>
      <c r="S188" s="27">
        <f t="shared" si="112"/>
        <v>1350000</v>
      </c>
      <c r="T188" s="27">
        <f t="shared" si="112"/>
        <v>904413</v>
      </c>
      <c r="U188" s="27">
        <f t="shared" si="112"/>
        <v>24847200</v>
      </c>
      <c r="V188" s="27">
        <f t="shared" si="112"/>
        <v>27101613</v>
      </c>
      <c r="W188" s="27">
        <f t="shared" si="112"/>
        <v>1674620553.3989191</v>
      </c>
      <c r="X188" s="27">
        <f t="shared" si="112"/>
        <v>864451000</v>
      </c>
      <c r="Y188" s="47"/>
      <c r="Z188" s="47"/>
      <c r="AM188" s="185" t="e">
        <f>VLOOKUP(CLEAN(H188),#REF!,7,FALSE)</f>
        <v>#REF!</v>
      </c>
      <c r="AO188"/>
      <c r="AP188"/>
      <c r="AQ188"/>
      <c r="AR188" s="2" t="e">
        <f>VLOOKUP(CLEAN(H188),#REF!,2,FALSE)</f>
        <v>#REF!</v>
      </c>
      <c r="AZ188" s="2" t="e">
        <f>VLOOKUP(H188,#REF!,2,FALSE)</f>
        <v>#REF!</v>
      </c>
      <c r="BO188" s="2" t="e">
        <f>VLOOKUP(H188,#REF!,13,FALSE)</f>
        <v>#REF!</v>
      </c>
      <c r="BQ188" s="2" t="e">
        <f>VLOOKUP(H188,#REF!,13,FALSE)</f>
        <v>#REF!</v>
      </c>
    </row>
    <row r="189" spans="1:70" ht="15" customHeight="1" outlineLevel="2">
      <c r="A189" s="7"/>
      <c r="B189" s="7"/>
      <c r="C189" s="7"/>
      <c r="D189" s="7"/>
      <c r="E189" s="7"/>
      <c r="F189" s="7"/>
      <c r="G189" s="7"/>
      <c r="H189" s="11"/>
      <c r="I189" s="11"/>
      <c r="J189" s="11"/>
      <c r="K189" s="11"/>
      <c r="L189" s="292"/>
      <c r="M189" s="22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47"/>
      <c r="Z189" s="47"/>
      <c r="AM189" s="185" t="e">
        <f>VLOOKUP(CLEAN(H189),#REF!,7,FALSE)</f>
        <v>#REF!</v>
      </c>
      <c r="AO189"/>
      <c r="AP189"/>
      <c r="AQ189"/>
      <c r="AR189" s="2" t="e">
        <f>VLOOKUP(CLEAN(H189),#REF!,2,FALSE)</f>
        <v>#REF!</v>
      </c>
      <c r="AZ189" s="2" t="e">
        <f>VLOOKUP(H189,#REF!,2,FALSE)</f>
        <v>#REF!</v>
      </c>
      <c r="BO189" s="2" t="e">
        <f>VLOOKUP(H189,#REF!,13,FALSE)</f>
        <v>#REF!</v>
      </c>
      <c r="BP189" s="293"/>
      <c r="BQ189" s="2" t="e">
        <f>VLOOKUP(H189,#REF!,13,FALSE)</f>
        <v>#REF!</v>
      </c>
    </row>
    <row r="190" spans="1:70" ht="15" customHeight="1" outlineLevel="2">
      <c r="A190" s="7"/>
      <c r="B190" s="7"/>
      <c r="C190" s="7"/>
      <c r="D190" s="7"/>
      <c r="E190" s="7"/>
      <c r="F190" s="7"/>
      <c r="H190" s="11"/>
      <c r="I190" s="11"/>
      <c r="J190" s="11"/>
      <c r="K190" s="11"/>
      <c r="L190" s="18" t="s">
        <v>696</v>
      </c>
      <c r="M190" s="22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47"/>
      <c r="Z190" s="47"/>
      <c r="AM190" s="185" t="e">
        <f>VLOOKUP(CLEAN(H190),#REF!,7,FALSE)</f>
        <v>#REF!</v>
      </c>
      <c r="AO190"/>
      <c r="AP190"/>
      <c r="AQ190"/>
      <c r="AR190" s="2" t="e">
        <f>VLOOKUP(CLEAN(H190),#REF!,2,FALSE)</f>
        <v>#REF!</v>
      </c>
      <c r="AZ190" s="2" t="e">
        <f>VLOOKUP(H190,#REF!,2,FALSE)</f>
        <v>#REF!</v>
      </c>
      <c r="BO190" s="2" t="e">
        <f>VLOOKUP(H190,#REF!,13,FALSE)</f>
        <v>#REF!</v>
      </c>
      <c r="BQ190" s="2" t="e">
        <f>VLOOKUP(H190,#REF!,13,FALSE)</f>
        <v>#REF!</v>
      </c>
    </row>
    <row r="191" spans="1:70" s="2" customFormat="1" ht="15" customHeight="1" outlineLevel="2">
      <c r="A191" s="5">
        <v>31</v>
      </c>
      <c r="B191" s="5" t="s">
        <v>11</v>
      </c>
      <c r="C191" s="5" t="s">
        <v>240</v>
      </c>
      <c r="D191" s="5" t="s">
        <v>7</v>
      </c>
      <c r="E191" s="5" t="s">
        <v>20</v>
      </c>
      <c r="F191" s="5" t="s">
        <v>457</v>
      </c>
      <c r="G191" s="5" t="s">
        <v>144</v>
      </c>
      <c r="H191" s="12">
        <v>30324573</v>
      </c>
      <c r="I191" s="42" t="str">
        <f t="shared" ref="I191:I192" si="113">CONCATENATE(H191,"-",G191)</f>
        <v>30324573-EJECUCION</v>
      </c>
      <c r="J191" s="12" t="s">
        <v>723</v>
      </c>
      <c r="K191" s="307" t="str">
        <f t="shared" ref="K191:K192" si="114">CLEAN(H191)</f>
        <v>30324573</v>
      </c>
      <c r="L191" s="15" t="s">
        <v>444</v>
      </c>
      <c r="M191" s="23">
        <v>1496798000</v>
      </c>
      <c r="N191" s="34">
        <v>0</v>
      </c>
      <c r="O191" s="34">
        <v>10000000</v>
      </c>
      <c r="P191" s="310">
        <v>0</v>
      </c>
      <c r="Q191" s="34">
        <v>0</v>
      </c>
      <c r="R191" s="308">
        <v>0</v>
      </c>
      <c r="S191" s="34">
        <f t="shared" ref="S191:S194" si="115">P191+Q191+R191</f>
        <v>0</v>
      </c>
      <c r="T191" s="34">
        <v>0</v>
      </c>
      <c r="U191" s="34">
        <v>0</v>
      </c>
      <c r="V191" s="34">
        <f>P191+Q191+R191+T191+U191</f>
        <v>0</v>
      </c>
      <c r="W191" s="34">
        <f>O191-V191</f>
        <v>10000000</v>
      </c>
      <c r="X191" s="34">
        <f>M191-(N191+O191)</f>
        <v>1486798000</v>
      </c>
      <c r="Y191" s="48" t="s">
        <v>382</v>
      </c>
      <c r="Z191" s="48" t="s">
        <v>8</v>
      </c>
      <c r="AA191" s="2" t="e">
        <v>#N/A</v>
      </c>
      <c r="AB191" s="2" t="e">
        <f>VLOOKUP(H191,#REF!,2,FALSE)</f>
        <v>#REF!</v>
      </c>
      <c r="AC191" s="2" t="e">
        <f>VLOOKUP(I191,#REF!,2,FALSE)</f>
        <v>#REF!</v>
      </c>
      <c r="AD191" s="2" t="e">
        <f>VLOOKUP(H191,#REF!,13,FALSE)</f>
        <v>#REF!</v>
      </c>
      <c r="AE191" s="2" t="e">
        <f>VLOOKUP(I191,#REF!,7,FALSE)</f>
        <v>#REF!</v>
      </c>
      <c r="AF191" s="2">
        <v>25</v>
      </c>
      <c r="AG191" s="2" t="e">
        <f>VLOOKUP(H191,#REF!,13,FALSE)</f>
        <v>#REF!</v>
      </c>
      <c r="AH191" s="2" t="e">
        <f>VLOOKUP(I191,#REF!,2,FALSE)</f>
        <v>#REF!</v>
      </c>
      <c r="AJ191" s="185" t="e">
        <f>VLOOKUP(H191,#REF!,3,FALSE)</f>
        <v>#REF!</v>
      </c>
      <c r="AK191" s="185"/>
      <c r="AL191" s="185" t="e">
        <f>VLOOKUP(H191,#REF!,13,FALSE)</f>
        <v>#REF!</v>
      </c>
      <c r="AM191" s="185" t="e">
        <f>VLOOKUP(CLEAN(H191),#REF!,7,FALSE)</f>
        <v>#REF!</v>
      </c>
      <c r="AN191" s="2" t="e">
        <f>VLOOKUP(H191,#REF!,8,FALSE)</f>
        <v>#REF!</v>
      </c>
      <c r="AO191" s="189" t="e">
        <f>VLOOKUP(H191,#REF!,2,FALSE)</f>
        <v>#REF!</v>
      </c>
      <c r="AP191" s="189" t="e">
        <f>VLOOKUP(H191,#REF!,2,FALSE)</f>
        <v>#REF!</v>
      </c>
      <c r="AQ191" s="189"/>
      <c r="AR191" s="2" t="e">
        <f>VLOOKUP(CLEAN(H191),#REF!,2,FALSE)</f>
        <v>#REF!</v>
      </c>
      <c r="AT191" s="2" t="e">
        <f>VLOOKUP(H191,#REF!,13,FALSE)</f>
        <v>#REF!</v>
      </c>
      <c r="AU191" s="2" t="e">
        <f>VLOOKUP(H191,#REF!,13,FALSE)</f>
        <v>#REF!</v>
      </c>
      <c r="AV191" s="2" t="e">
        <f>VLOOKUP(H191,#REF!,13,FALSE)</f>
        <v>#REF!</v>
      </c>
      <c r="AW191" s="2" t="e">
        <f>VLOOKUP(H191,#REF!,13,FALSE)</f>
        <v>#REF!</v>
      </c>
      <c r="AX191" s="2" t="e">
        <f>VLOOKUP(H191,#REF!,9,FALSE)</f>
        <v>#REF!</v>
      </c>
      <c r="AZ191" s="2" t="e">
        <f>VLOOKUP(H191,#REF!,2,FALSE)</f>
        <v>#REF!</v>
      </c>
      <c r="BF191" s="189" t="e">
        <f>VLOOKUP(CLEAN(H191),#REF!,2,FALSE)</f>
        <v>#REF!</v>
      </c>
      <c r="BG191" s="189" t="e">
        <f>T191-BF191</f>
        <v>#REF!</v>
      </c>
      <c r="BO191" s="2" t="e">
        <f>VLOOKUP(H191,#REF!,13,FALSE)</f>
        <v>#REF!</v>
      </c>
      <c r="BP191" s="2" t="e">
        <f>VLOOKUP(H191,#REF!,2,FALSE)</f>
        <v>#REF!</v>
      </c>
      <c r="BQ191" s="2" t="e">
        <f>VLOOKUP(H191,#REF!,13,FALSE)</f>
        <v>#REF!</v>
      </c>
      <c r="BR191" s="2" t="e">
        <f>VLOOKUP(H191,#REF!,3,FALSE)</f>
        <v>#REF!</v>
      </c>
    </row>
    <row r="192" spans="1:70" s="2" customFormat="1" ht="15" customHeight="1" outlineLevel="2">
      <c r="A192" s="5">
        <v>31</v>
      </c>
      <c r="B192" s="5" t="s">
        <v>54</v>
      </c>
      <c r="C192" s="5" t="s">
        <v>248</v>
      </c>
      <c r="D192" s="5" t="s">
        <v>7</v>
      </c>
      <c r="E192" s="5" t="s">
        <v>20</v>
      </c>
      <c r="F192" s="5" t="s">
        <v>457</v>
      </c>
      <c r="G192" s="5" t="s">
        <v>144</v>
      </c>
      <c r="H192" s="12">
        <v>30358072</v>
      </c>
      <c r="I192" s="42" t="str">
        <f t="shared" si="113"/>
        <v>30358072-EJECUCION</v>
      </c>
      <c r="J192" s="12"/>
      <c r="K192" s="307" t="str">
        <f t="shared" si="114"/>
        <v>30358072</v>
      </c>
      <c r="L192" s="15" t="s">
        <v>257</v>
      </c>
      <c r="M192" s="23">
        <v>100000000</v>
      </c>
      <c r="N192" s="34">
        <v>0</v>
      </c>
      <c r="O192" s="34">
        <v>10000000</v>
      </c>
      <c r="P192" s="310">
        <v>0</v>
      </c>
      <c r="Q192" s="34">
        <v>0</v>
      </c>
      <c r="R192" s="308">
        <v>0</v>
      </c>
      <c r="S192" s="34">
        <f t="shared" si="115"/>
        <v>0</v>
      </c>
      <c r="T192" s="34">
        <v>0</v>
      </c>
      <c r="U192" s="34">
        <v>0</v>
      </c>
      <c r="V192" s="34">
        <f>P192+Q192+R192+T192+U192</f>
        <v>0</v>
      </c>
      <c r="W192" s="34">
        <f>O192-V192</f>
        <v>10000000</v>
      </c>
      <c r="X192" s="34">
        <f>M192-(N192+O192)</f>
        <v>90000000</v>
      </c>
      <c r="Y192" s="48" t="s">
        <v>382</v>
      </c>
      <c r="Z192" s="48" t="s">
        <v>10</v>
      </c>
      <c r="AA192" s="2" t="e">
        <v>#N/A</v>
      </c>
      <c r="AB192" s="2" t="e">
        <f>VLOOKUP(H192,#REF!,2,FALSE)</f>
        <v>#REF!</v>
      </c>
      <c r="AC192" s="2" t="e">
        <f>VLOOKUP(I192,#REF!,2,FALSE)</f>
        <v>#REF!</v>
      </c>
      <c r="AD192" s="2" t="e">
        <f>VLOOKUP(H192,#REF!,13,FALSE)</f>
        <v>#REF!</v>
      </c>
      <c r="AE192" s="2" t="e">
        <f>VLOOKUP(I192,#REF!,7,FALSE)</f>
        <v>#REF!</v>
      </c>
      <c r="AF192" s="2">
        <v>25</v>
      </c>
      <c r="AG192" s="2" t="e">
        <f>VLOOKUP(H192,#REF!,13,FALSE)</f>
        <v>#REF!</v>
      </c>
      <c r="AH192" s="2" t="e">
        <f>VLOOKUP(I192,#REF!,2,FALSE)</f>
        <v>#REF!</v>
      </c>
      <c r="AJ192" s="185" t="e">
        <f>VLOOKUP(H192,#REF!,3,FALSE)</f>
        <v>#REF!</v>
      </c>
      <c r="AK192" s="185"/>
      <c r="AL192" s="185" t="e">
        <f>VLOOKUP(H192,#REF!,13,FALSE)</f>
        <v>#REF!</v>
      </c>
      <c r="AM192" s="185" t="e">
        <f>VLOOKUP(CLEAN(H192),#REF!,7,FALSE)</f>
        <v>#REF!</v>
      </c>
      <c r="AN192" s="2" t="e">
        <f>VLOOKUP(H192,#REF!,8,FALSE)</f>
        <v>#REF!</v>
      </c>
      <c r="AO192" s="189" t="e">
        <f>VLOOKUP(H192,#REF!,2,FALSE)</f>
        <v>#REF!</v>
      </c>
      <c r="AP192" s="189" t="e">
        <f>VLOOKUP(H192,#REF!,2,FALSE)</f>
        <v>#REF!</v>
      </c>
      <c r="AQ192" s="189"/>
      <c r="AR192" s="2" t="e">
        <f>VLOOKUP(CLEAN(H192),#REF!,2,FALSE)</f>
        <v>#REF!</v>
      </c>
      <c r="AT192" s="2" t="e">
        <f>VLOOKUP(H192,#REF!,13,FALSE)</f>
        <v>#REF!</v>
      </c>
      <c r="AU192" s="2" t="e">
        <f>VLOOKUP(H192,#REF!,13,FALSE)</f>
        <v>#REF!</v>
      </c>
      <c r="AV192" s="2" t="e">
        <f>VLOOKUP(H192,#REF!,13,FALSE)</f>
        <v>#REF!</v>
      </c>
      <c r="AW192" s="2" t="e">
        <f>VLOOKUP(H192,#REF!,13,FALSE)</f>
        <v>#REF!</v>
      </c>
      <c r="AX192" s="2" t="e">
        <f>VLOOKUP(H192,#REF!,9,FALSE)</f>
        <v>#REF!</v>
      </c>
      <c r="AZ192" s="2" t="e">
        <f>VLOOKUP(H192,#REF!,2,FALSE)</f>
        <v>#REF!</v>
      </c>
      <c r="BF192" s="189" t="e">
        <f>VLOOKUP(CLEAN(H192),#REF!,2,FALSE)</f>
        <v>#REF!</v>
      </c>
      <c r="BG192" s="189" t="e">
        <f>T192-BF192</f>
        <v>#REF!</v>
      </c>
      <c r="BO192" s="2" t="e">
        <f>VLOOKUP(H192,#REF!,13,FALSE)</f>
        <v>#REF!</v>
      </c>
      <c r="BP192" s="2" t="e">
        <f>VLOOKUP(H192,#REF!,2,FALSE)</f>
        <v>#REF!</v>
      </c>
      <c r="BQ192" s="2" t="e">
        <f>VLOOKUP(H192,#REF!,13,FALSE)</f>
        <v>#REF!</v>
      </c>
      <c r="BR192" s="2" t="e">
        <f>VLOOKUP(H192,#REF!,3,FALSE)</f>
        <v>#REF!</v>
      </c>
    </row>
    <row r="193" spans="1:70" s="2" customFormat="1" ht="15" customHeight="1" outlineLevel="2">
      <c r="A193" s="5">
        <v>31</v>
      </c>
      <c r="B193" s="5" t="s">
        <v>11</v>
      </c>
      <c r="C193" s="5" t="s">
        <v>241</v>
      </c>
      <c r="D193" s="5" t="s">
        <v>7</v>
      </c>
      <c r="E193" s="5" t="s">
        <v>20</v>
      </c>
      <c r="F193" s="5" t="s">
        <v>89</v>
      </c>
      <c r="G193" s="5" t="s">
        <v>144</v>
      </c>
      <c r="H193" s="12">
        <v>40001554</v>
      </c>
      <c r="I193" s="42" t="str">
        <f>CONCATENATE(H193,"-",G193)</f>
        <v>40001554-EJECUCION</v>
      </c>
      <c r="J193" s="12"/>
      <c r="K193" s="307" t="str">
        <f>CLEAN(H193)</f>
        <v>40001554</v>
      </c>
      <c r="L193" s="15" t="s">
        <v>1005</v>
      </c>
      <c r="M193" s="23">
        <v>300000000</v>
      </c>
      <c r="N193" s="34">
        <v>0</v>
      </c>
      <c r="O193" s="34">
        <v>50000000</v>
      </c>
      <c r="P193" s="310">
        <v>0</v>
      </c>
      <c r="Q193" s="34">
        <v>0</v>
      </c>
      <c r="R193" s="308">
        <v>0</v>
      </c>
      <c r="S193" s="34">
        <f t="shared" si="115"/>
        <v>0</v>
      </c>
      <c r="T193" s="34">
        <v>0</v>
      </c>
      <c r="U193" s="34">
        <v>0</v>
      </c>
      <c r="V193" s="34">
        <f>P193+Q193+R193+T193+U193</f>
        <v>0</v>
      </c>
      <c r="W193" s="34">
        <f>O193-V193</f>
        <v>50000000</v>
      </c>
      <c r="X193" s="34">
        <f>M193-(N193+O193)</f>
        <v>250000000</v>
      </c>
      <c r="Y193" s="48" t="s">
        <v>382</v>
      </c>
      <c r="Z193" s="48" t="s">
        <v>421</v>
      </c>
      <c r="AA193" s="2" t="e">
        <v>#N/A</v>
      </c>
      <c r="AB193" s="2" t="e">
        <f>VLOOKUP(H193,#REF!,2,FALSE)</f>
        <v>#REF!</v>
      </c>
      <c r="AC193" s="2" t="e">
        <f>VLOOKUP(I193,#REF!,2,FALSE)</f>
        <v>#REF!</v>
      </c>
      <c r="AD193" s="2" t="e">
        <f>VLOOKUP(H193,#REF!,13,FALSE)</f>
        <v>#REF!</v>
      </c>
      <c r="AE193" s="2" t="e">
        <f>VLOOKUP(I193,#REF!,7,FALSE)</f>
        <v>#REF!</v>
      </c>
      <c r="AF193" s="2">
        <v>25</v>
      </c>
      <c r="AG193" s="2" t="e">
        <f>VLOOKUP(H193,#REF!,13,FALSE)</f>
        <v>#REF!</v>
      </c>
      <c r="AH193" s="2" t="e">
        <f>VLOOKUP(I193,#REF!,2,FALSE)</f>
        <v>#REF!</v>
      </c>
      <c r="AJ193" s="185" t="e">
        <f>VLOOKUP(H193,#REF!,3,FALSE)</f>
        <v>#REF!</v>
      </c>
      <c r="AK193" s="185"/>
      <c r="AL193" s="185" t="e">
        <f>VLOOKUP(H193,#REF!,13,FALSE)</f>
        <v>#REF!</v>
      </c>
      <c r="AM193" s="185" t="e">
        <f>VLOOKUP(CLEAN(H193),#REF!,7,FALSE)</f>
        <v>#REF!</v>
      </c>
      <c r="AN193" s="2" t="e">
        <f>VLOOKUP(H193,#REF!,8,FALSE)</f>
        <v>#REF!</v>
      </c>
      <c r="AO193" s="189" t="e">
        <f>VLOOKUP(H193,#REF!,2,FALSE)</f>
        <v>#REF!</v>
      </c>
      <c r="AP193" s="189" t="e">
        <f>VLOOKUP(H193,#REF!,2,FALSE)</f>
        <v>#REF!</v>
      </c>
      <c r="AQ193" s="189"/>
      <c r="AR193" s="2" t="e">
        <f>VLOOKUP(CLEAN(H193),#REF!,2,FALSE)</f>
        <v>#REF!</v>
      </c>
      <c r="AT193" s="2" t="e">
        <f>VLOOKUP(H193,#REF!,13,FALSE)</f>
        <v>#REF!</v>
      </c>
      <c r="AU193" s="2" t="e">
        <f>VLOOKUP(H193,#REF!,13,FALSE)</f>
        <v>#REF!</v>
      </c>
      <c r="AV193" s="2" t="e">
        <f>VLOOKUP(H193,#REF!,13,FALSE)</f>
        <v>#REF!</v>
      </c>
      <c r="AW193" s="2" t="e">
        <f>VLOOKUP(H193,#REF!,13,FALSE)</f>
        <v>#REF!</v>
      </c>
      <c r="AX193" s="2" t="e">
        <f>VLOOKUP(H193,#REF!,9,FALSE)</f>
        <v>#REF!</v>
      </c>
      <c r="AZ193" s="2" t="e">
        <f>VLOOKUP(H193,#REF!,2,FALSE)</f>
        <v>#REF!</v>
      </c>
      <c r="BF193" s="189" t="e">
        <f>VLOOKUP(CLEAN(H193),#REF!,2,FALSE)</f>
        <v>#REF!</v>
      </c>
      <c r="BG193" s="189" t="e">
        <f>T193-BF193</f>
        <v>#REF!</v>
      </c>
      <c r="BO193" s="2" t="e">
        <f>VLOOKUP(H193,#REF!,13,FALSE)</f>
        <v>#REF!</v>
      </c>
      <c r="BP193" s="2" t="e">
        <f>VLOOKUP(H193,#REF!,2,FALSE)</f>
        <v>#REF!</v>
      </c>
      <c r="BQ193" s="2" t="e">
        <f>VLOOKUP(H193,#REF!,13,FALSE)</f>
        <v>#REF!</v>
      </c>
      <c r="BR193" s="2" t="e">
        <f>VLOOKUP(H193,#REF!,3,FALSE)</f>
        <v>#REF!</v>
      </c>
    </row>
    <row r="194" spans="1:70" s="2" customFormat="1" ht="15" customHeight="1" outlineLevel="2">
      <c r="A194" s="5">
        <v>31</v>
      </c>
      <c r="B194" s="5" t="s">
        <v>54</v>
      </c>
      <c r="C194" s="5" t="s">
        <v>240</v>
      </c>
      <c r="D194" s="5" t="s">
        <v>7</v>
      </c>
      <c r="E194" s="5" t="s">
        <v>20</v>
      </c>
      <c r="F194" s="5" t="s">
        <v>457</v>
      </c>
      <c r="G194" s="5" t="s">
        <v>144</v>
      </c>
      <c r="H194" s="12">
        <v>30136310</v>
      </c>
      <c r="I194" s="42" t="str">
        <f>CONCATENATE(H194,"-",G194)</f>
        <v>30136310-EJECUCION</v>
      </c>
      <c r="J194" s="12" t="s">
        <v>721</v>
      </c>
      <c r="K194" s="307" t="str">
        <f>CLEAN(H194)</f>
        <v>30136310</v>
      </c>
      <c r="L194" s="15" t="s">
        <v>609</v>
      </c>
      <c r="M194" s="23">
        <v>1811122000</v>
      </c>
      <c r="N194" s="34">
        <v>0</v>
      </c>
      <c r="O194" s="34">
        <f>100000000+89920068+1046000</f>
        <v>190966068</v>
      </c>
      <c r="P194" s="310">
        <v>0</v>
      </c>
      <c r="Q194" s="34">
        <v>0</v>
      </c>
      <c r="R194" s="308">
        <v>0</v>
      </c>
      <c r="S194" s="34">
        <f t="shared" si="115"/>
        <v>0</v>
      </c>
      <c r="T194" s="34">
        <v>0</v>
      </c>
      <c r="U194" s="34">
        <v>0</v>
      </c>
      <c r="V194" s="34">
        <f>P194+Q194+R194+T194+U194</f>
        <v>0</v>
      </c>
      <c r="W194" s="34">
        <f>O194-V194</f>
        <v>190966068</v>
      </c>
      <c r="X194" s="34">
        <f>M194-(N194+O194)</f>
        <v>1620155932</v>
      </c>
      <c r="Y194" s="48" t="s">
        <v>675</v>
      </c>
      <c r="Z194" s="48" t="s">
        <v>123</v>
      </c>
      <c r="AA194" s="2" t="e">
        <v>#N/A</v>
      </c>
      <c r="AB194" s="2" t="e">
        <f>VLOOKUP(H194,#REF!,2,FALSE)</f>
        <v>#REF!</v>
      </c>
      <c r="AC194" s="2" t="e">
        <f>VLOOKUP(I194,#REF!,2,FALSE)</f>
        <v>#REF!</v>
      </c>
      <c r="AD194" s="2" t="e">
        <f>VLOOKUP(H194,#REF!,13,FALSE)</f>
        <v>#REF!</v>
      </c>
      <c r="AE194" s="2" t="e">
        <f>VLOOKUP(I194,#REF!,7,FALSE)</f>
        <v>#REF!</v>
      </c>
      <c r="AF194" s="2">
        <v>25</v>
      </c>
      <c r="AG194" s="2" t="e">
        <f>VLOOKUP(H194,#REF!,13,FALSE)</f>
        <v>#REF!</v>
      </c>
      <c r="AH194" s="2" t="e">
        <f>VLOOKUP(I194,#REF!,2,FALSE)</f>
        <v>#REF!</v>
      </c>
      <c r="AJ194" s="185" t="e">
        <f>VLOOKUP(H194,#REF!,3,FALSE)</f>
        <v>#REF!</v>
      </c>
      <c r="AK194" s="185" t="s">
        <v>684</v>
      </c>
      <c r="AL194" s="185" t="e">
        <f>VLOOKUP(H194,#REF!,13,FALSE)</f>
        <v>#REF!</v>
      </c>
      <c r="AM194" s="185" t="e">
        <f>VLOOKUP(CLEAN(H194),#REF!,7,FALSE)</f>
        <v>#REF!</v>
      </c>
      <c r="AN194" s="2" t="e">
        <f>VLOOKUP(H194,#REF!,8,FALSE)</f>
        <v>#REF!</v>
      </c>
      <c r="AO194" s="189" t="e">
        <f>VLOOKUP(H194,#REF!,2,FALSE)</f>
        <v>#REF!</v>
      </c>
      <c r="AP194" s="189" t="e">
        <f>VLOOKUP(H194,#REF!,2,FALSE)</f>
        <v>#REF!</v>
      </c>
      <c r="AQ194" s="189"/>
      <c r="AR194" s="2" t="e">
        <f>VLOOKUP(CLEAN(H194),#REF!,2,FALSE)</f>
        <v>#REF!</v>
      </c>
      <c r="AT194" s="2" t="e">
        <f>VLOOKUP(H194,#REF!,13,FALSE)</f>
        <v>#REF!</v>
      </c>
      <c r="AU194" s="2" t="e">
        <f>VLOOKUP(H194,#REF!,13,FALSE)</f>
        <v>#REF!</v>
      </c>
      <c r="AV194" s="2" t="e">
        <f>VLOOKUP(H194,#REF!,13,FALSE)</f>
        <v>#REF!</v>
      </c>
      <c r="AW194" s="2" t="e">
        <f>VLOOKUP(H194,#REF!,13,FALSE)</f>
        <v>#REF!</v>
      </c>
      <c r="AX194" s="2" t="e">
        <f>VLOOKUP(H194,#REF!,9,FALSE)</f>
        <v>#REF!</v>
      </c>
      <c r="AY194" s="2" t="s">
        <v>649</v>
      </c>
      <c r="AZ194" s="2" t="e">
        <f>VLOOKUP(H194,#REF!,2,FALSE)</f>
        <v>#REF!</v>
      </c>
      <c r="BF194" s="189" t="e">
        <f>VLOOKUP(CLEAN(H194),#REF!,2,FALSE)</f>
        <v>#REF!</v>
      </c>
      <c r="BG194" s="189" t="e">
        <f>T194-BF194</f>
        <v>#REF!</v>
      </c>
      <c r="BO194" s="2" t="e">
        <f>VLOOKUP(H194,#REF!,13,FALSE)</f>
        <v>#REF!</v>
      </c>
      <c r="BP194" s="2" t="e">
        <f>VLOOKUP(H194,#REF!,2,FALSE)</f>
        <v>#REF!</v>
      </c>
      <c r="BQ194" s="2" t="e">
        <f>VLOOKUP(H194,#REF!,13,FALSE)</f>
        <v>#REF!</v>
      </c>
      <c r="BR194" s="2" t="e">
        <f>VLOOKUP(H194,#REF!,3,FALSE)</f>
        <v>#REF!</v>
      </c>
    </row>
    <row r="195" spans="1:70" ht="15" customHeight="1" outlineLevel="2">
      <c r="A195" s="7"/>
      <c r="B195" s="7"/>
      <c r="C195" s="7"/>
      <c r="D195" s="7"/>
      <c r="E195" s="7"/>
      <c r="F195" s="7"/>
      <c r="G195" s="7"/>
      <c r="H195" s="11"/>
      <c r="I195" s="11"/>
      <c r="J195" s="11"/>
      <c r="K195" s="11"/>
      <c r="L195" s="17" t="s">
        <v>693</v>
      </c>
      <c r="M195" s="27">
        <f t="shared" ref="M195:X195" si="116">SUBTOTAL(9,M191:M194)</f>
        <v>3707920000</v>
      </c>
      <c r="N195" s="27">
        <f t="shared" si="116"/>
        <v>0</v>
      </c>
      <c r="O195" s="27">
        <f t="shared" si="116"/>
        <v>260966068</v>
      </c>
      <c r="P195" s="27">
        <f t="shared" si="116"/>
        <v>0</v>
      </c>
      <c r="Q195" s="27">
        <f t="shared" si="116"/>
        <v>0</v>
      </c>
      <c r="R195" s="27">
        <f t="shared" si="116"/>
        <v>0</v>
      </c>
      <c r="S195" s="27">
        <f t="shared" si="116"/>
        <v>0</v>
      </c>
      <c r="T195" s="27">
        <f t="shared" si="116"/>
        <v>0</v>
      </c>
      <c r="U195" s="27">
        <f t="shared" si="116"/>
        <v>0</v>
      </c>
      <c r="V195" s="27">
        <f t="shared" si="116"/>
        <v>0</v>
      </c>
      <c r="W195" s="27">
        <f t="shared" si="116"/>
        <v>260966068</v>
      </c>
      <c r="X195" s="27">
        <f t="shared" si="116"/>
        <v>3446953932</v>
      </c>
      <c r="Y195" s="47"/>
      <c r="Z195" s="47"/>
      <c r="AM195" s="185" t="e">
        <f>VLOOKUP(CLEAN(H195),#REF!,7,FALSE)</f>
        <v>#REF!</v>
      </c>
      <c r="AO195"/>
      <c r="AP195"/>
      <c r="AQ195"/>
      <c r="AR195" s="2" t="e">
        <f>VLOOKUP(CLEAN(H195),#REF!,2,FALSE)</f>
        <v>#REF!</v>
      </c>
      <c r="AZ195" s="2" t="e">
        <f>VLOOKUP(H195,#REF!,2,FALSE)</f>
        <v>#REF!</v>
      </c>
      <c r="BO195" s="2" t="e">
        <f>VLOOKUP(H195,#REF!,13,FALSE)</f>
        <v>#REF!</v>
      </c>
      <c r="BQ195" s="2" t="e">
        <f>VLOOKUP(H195,#REF!,13,FALSE)</f>
        <v>#REF!</v>
      </c>
    </row>
    <row r="196" spans="1:70" ht="15" customHeight="1" outlineLevel="2">
      <c r="A196" s="7"/>
      <c r="B196" s="7"/>
      <c r="C196" s="7"/>
      <c r="D196" s="7"/>
      <c r="E196" s="7"/>
      <c r="F196" s="7"/>
      <c r="G196" s="7"/>
      <c r="H196" s="11"/>
      <c r="I196" s="11"/>
      <c r="J196" s="11"/>
      <c r="K196" s="11"/>
      <c r="L196" s="292"/>
      <c r="M196" s="22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47"/>
      <c r="Z196" s="47"/>
      <c r="AM196" s="185" t="e">
        <f>VLOOKUP(CLEAN(H196),#REF!,7,FALSE)</f>
        <v>#REF!</v>
      </c>
      <c r="AO196"/>
      <c r="AP196"/>
      <c r="AQ196"/>
      <c r="AR196" s="2" t="e">
        <f>VLOOKUP(CLEAN(H196),#REF!,2,FALSE)</f>
        <v>#REF!</v>
      </c>
      <c r="AZ196" s="2" t="e">
        <f>VLOOKUP(H196,#REF!,2,FALSE)</f>
        <v>#REF!</v>
      </c>
      <c r="BO196" s="2" t="e">
        <f>VLOOKUP(H196,#REF!,13,FALSE)</f>
        <v>#REF!</v>
      </c>
      <c r="BP196" s="293"/>
      <c r="BQ196" s="2" t="e">
        <f>VLOOKUP(H196,#REF!,13,FALSE)</f>
        <v>#REF!</v>
      </c>
    </row>
    <row r="197" spans="1:70" ht="15" customHeight="1" outlineLevel="1">
      <c r="A197" s="7"/>
      <c r="B197" s="7"/>
      <c r="C197" s="7"/>
      <c r="D197" s="7"/>
      <c r="E197" s="8"/>
      <c r="F197" s="7"/>
      <c r="G197" s="7"/>
      <c r="H197" s="11"/>
      <c r="I197" s="11"/>
      <c r="J197" s="11"/>
      <c r="K197" s="11"/>
      <c r="L197" s="16" t="s">
        <v>185</v>
      </c>
      <c r="M197" s="25">
        <f t="shared" ref="M197:X197" si="117">M188+M171+M195+M178</f>
        <v>35464132515.398918</v>
      </c>
      <c r="N197" s="25">
        <f t="shared" si="117"/>
        <v>4672731927</v>
      </c>
      <c r="O197" s="25">
        <f t="shared" si="117"/>
        <v>13984109635.398918</v>
      </c>
      <c r="P197" s="25">
        <f t="shared" si="117"/>
        <v>31077847</v>
      </c>
      <c r="Q197" s="25">
        <f t="shared" si="117"/>
        <v>253942897</v>
      </c>
      <c r="R197" s="25">
        <f t="shared" si="117"/>
        <v>386662130</v>
      </c>
      <c r="S197" s="25">
        <f t="shared" si="117"/>
        <v>671682874</v>
      </c>
      <c r="T197" s="25">
        <f t="shared" si="117"/>
        <v>323059560</v>
      </c>
      <c r="U197" s="25">
        <f t="shared" si="117"/>
        <v>561651761</v>
      </c>
      <c r="V197" s="25">
        <f t="shared" si="117"/>
        <v>1556394195</v>
      </c>
      <c r="W197" s="25">
        <f t="shared" si="117"/>
        <v>12427715440.398918</v>
      </c>
      <c r="X197" s="25">
        <f t="shared" si="117"/>
        <v>16807290953</v>
      </c>
      <c r="Y197" s="47"/>
      <c r="Z197" s="47"/>
      <c r="AM197" s="185" t="e">
        <f>VLOOKUP(CLEAN(H197),#REF!,7,FALSE)</f>
        <v>#REF!</v>
      </c>
      <c r="AO197"/>
      <c r="AP197"/>
      <c r="AQ197"/>
      <c r="AR197" s="2" t="e">
        <f>VLOOKUP(CLEAN(H197),#REF!,2,FALSE)</f>
        <v>#REF!</v>
      </c>
      <c r="AZ197" s="2" t="e">
        <f>VLOOKUP(H197,#REF!,2,FALSE)</f>
        <v>#REF!</v>
      </c>
      <c r="BO197" s="2" t="e">
        <f>VLOOKUP(H197,#REF!,13,FALSE)</f>
        <v>#REF!</v>
      </c>
      <c r="BQ197" s="2" t="e">
        <f>VLOOKUP(H197,#REF!,13,FALSE)</f>
        <v>#REF!</v>
      </c>
    </row>
    <row r="198" spans="1:70" s="3" customFormat="1" ht="15" customHeight="1" outlineLevel="1">
      <c r="A198" s="7"/>
      <c r="B198" s="7"/>
      <c r="C198" s="7"/>
      <c r="D198" s="7"/>
      <c r="E198" s="8"/>
      <c r="F198" s="7"/>
      <c r="G198" s="7"/>
      <c r="H198" s="11"/>
      <c r="I198" s="11"/>
      <c r="J198" s="11"/>
      <c r="K198" s="11"/>
      <c r="L198" s="294"/>
      <c r="M198" s="26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47"/>
      <c r="Z198" s="47"/>
      <c r="AJ198" s="186"/>
      <c r="AK198" s="186"/>
      <c r="AL198" s="186"/>
      <c r="AM198" s="185" t="e">
        <f>VLOOKUP(CLEAN(H198),#REF!,7,FALSE)</f>
        <v>#REF!</v>
      </c>
      <c r="AR198" s="2" t="e">
        <f>VLOOKUP(CLEAN(H198),#REF!,2,FALSE)</f>
        <v>#REF!</v>
      </c>
      <c r="AZ198" s="2" t="e">
        <f>VLOOKUP(H198,#REF!,2,FALSE)</f>
        <v>#REF!</v>
      </c>
      <c r="BF198" s="193"/>
      <c r="BO198" s="2" t="e">
        <f>VLOOKUP(H198,#REF!,13,FALSE)</f>
        <v>#REF!</v>
      </c>
      <c r="BP198" s="7"/>
      <c r="BQ198" s="2" t="e">
        <f>VLOOKUP(H198,#REF!,13,FALSE)</f>
        <v>#REF!</v>
      </c>
    </row>
    <row r="199" spans="1:70" ht="18.75" customHeight="1" outlineLevel="1">
      <c r="A199" s="7"/>
      <c r="B199" s="7"/>
      <c r="C199" s="7"/>
      <c r="D199" s="7"/>
      <c r="E199" s="8"/>
      <c r="F199" s="7"/>
      <c r="G199" s="7"/>
      <c r="H199" s="11"/>
      <c r="I199" s="11"/>
      <c r="J199" s="11"/>
      <c r="K199" s="11"/>
      <c r="L199" s="45" t="s">
        <v>186</v>
      </c>
      <c r="M199" s="46">
        <f t="shared" ref="M199:X199" si="118">M197+M164+M142+M112+M98+M84+M52+M33</f>
        <v>99806268411.398926</v>
      </c>
      <c r="N199" s="46">
        <f t="shared" si="118"/>
        <v>17299582711</v>
      </c>
      <c r="O199" s="46">
        <f t="shared" si="118"/>
        <v>24948286023.398918</v>
      </c>
      <c r="P199" s="46">
        <f t="shared" si="118"/>
        <v>615372306</v>
      </c>
      <c r="Q199" s="46">
        <f t="shared" si="118"/>
        <v>635145662</v>
      </c>
      <c r="R199" s="46">
        <f t="shared" si="118"/>
        <v>1154460475</v>
      </c>
      <c r="S199" s="46">
        <f t="shared" si="118"/>
        <v>2404978443</v>
      </c>
      <c r="T199" s="46">
        <f t="shared" si="118"/>
        <v>954414942</v>
      </c>
      <c r="U199" s="46">
        <f t="shared" si="118"/>
        <v>1468583933</v>
      </c>
      <c r="V199" s="46">
        <f t="shared" si="118"/>
        <v>4827977318</v>
      </c>
      <c r="W199" s="46">
        <f t="shared" si="118"/>
        <v>20120308705.398918</v>
      </c>
      <c r="X199" s="46">
        <f t="shared" si="118"/>
        <v>57558399677</v>
      </c>
      <c r="Y199" s="47"/>
      <c r="Z199" s="47"/>
      <c r="AM199" s="185" t="e">
        <f>VLOOKUP(CLEAN(H199),#REF!,7,FALSE)</f>
        <v>#REF!</v>
      </c>
      <c r="AO199"/>
      <c r="AP199"/>
      <c r="AQ199"/>
      <c r="AR199" s="2" t="e">
        <f>VLOOKUP(CLEAN(H199),#REF!,2,FALSE)</f>
        <v>#REF!</v>
      </c>
      <c r="AZ199" s="2" t="e">
        <f>VLOOKUP(H199,#REF!,2,FALSE)</f>
        <v>#REF!</v>
      </c>
      <c r="BO199" s="2" t="e">
        <f>VLOOKUP(H199,#REF!,13,FALSE)</f>
        <v>#REF!</v>
      </c>
      <c r="BP199" s="1"/>
      <c r="BQ199" s="2" t="e">
        <f>VLOOKUP(H199,#REF!,13,FALSE)</f>
        <v>#REF!</v>
      </c>
    </row>
    <row r="200" spans="1:70" s="3" customFormat="1" ht="15" customHeight="1" outlineLevel="1">
      <c r="A200" s="7"/>
      <c r="B200" s="7"/>
      <c r="C200" s="7"/>
      <c r="D200" s="7"/>
      <c r="E200" s="8"/>
      <c r="F200" s="7"/>
      <c r="G200" s="7"/>
      <c r="H200" s="11"/>
      <c r="I200" s="11"/>
      <c r="J200" s="11"/>
      <c r="K200" s="11"/>
      <c r="L200" s="294"/>
      <c r="M200" s="26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47"/>
      <c r="Z200" s="47"/>
      <c r="AJ200" s="186"/>
      <c r="AK200" s="186"/>
      <c r="AL200" s="186"/>
      <c r="AM200" s="185" t="e">
        <f>VLOOKUP(CLEAN(H200),#REF!,7,FALSE)</f>
        <v>#REF!</v>
      </c>
      <c r="AR200" s="2" t="e">
        <f>VLOOKUP(CLEAN(H200),#REF!,2,FALSE)</f>
        <v>#REF!</v>
      </c>
      <c r="AZ200" s="2" t="e">
        <f>VLOOKUP(H200,#REF!,2,FALSE)</f>
        <v>#REF!</v>
      </c>
      <c r="BF200" s="193"/>
      <c r="BO200" s="2" t="e">
        <f>VLOOKUP(H200,#REF!,13,FALSE)</f>
        <v>#REF!</v>
      </c>
      <c r="BP200" s="7"/>
      <c r="BQ200" s="2" t="e">
        <f>VLOOKUP(H200,#REF!,13,FALSE)</f>
        <v>#REF!</v>
      </c>
    </row>
    <row r="201" spans="1:70" s="3" customFormat="1" ht="26.25" customHeight="1" outlineLevel="1">
      <c r="A201" s="7"/>
      <c r="B201" s="7"/>
      <c r="C201" s="7"/>
      <c r="D201" s="7"/>
      <c r="E201" s="8"/>
      <c r="F201" s="7"/>
      <c r="G201" s="7"/>
      <c r="H201" s="11"/>
      <c r="I201" s="11"/>
      <c r="J201" s="11"/>
      <c r="K201" s="11"/>
      <c r="L201" s="57" t="s">
        <v>187</v>
      </c>
      <c r="M201" s="26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47"/>
      <c r="Z201" s="47"/>
      <c r="AJ201" s="186"/>
      <c r="AK201" s="186"/>
      <c r="AL201" s="186"/>
      <c r="AM201" s="185" t="e">
        <f>VLOOKUP(CLEAN(H201),#REF!,7,FALSE)</f>
        <v>#REF!</v>
      </c>
      <c r="AR201" s="2" t="e">
        <f>VLOOKUP(CLEAN(H201),#REF!,2,FALSE)</f>
        <v>#REF!</v>
      </c>
      <c r="AZ201" s="2" t="e">
        <f>VLOOKUP(H201,#REF!,2,FALSE)</f>
        <v>#REF!</v>
      </c>
      <c r="BF201" s="193"/>
      <c r="BO201" s="2" t="e">
        <f>VLOOKUP(H201,#REF!,13,FALSE)</f>
        <v>#REF!</v>
      </c>
      <c r="BQ201" s="2" t="e">
        <f>VLOOKUP(H201,#REF!,13,FALSE)</f>
        <v>#REF!</v>
      </c>
    </row>
    <row r="202" spans="1:70" s="3" customFormat="1" ht="15" customHeight="1" outlineLevel="1">
      <c r="A202" s="7"/>
      <c r="B202" s="7"/>
      <c r="C202" s="7"/>
      <c r="D202" s="7"/>
      <c r="E202" s="8"/>
      <c r="F202" s="7"/>
      <c r="G202" s="7"/>
      <c r="H202" s="11"/>
      <c r="I202" s="11"/>
      <c r="J202" s="11"/>
      <c r="K202" s="11"/>
      <c r="L202" s="18" t="s">
        <v>695</v>
      </c>
      <c r="M202" s="26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47"/>
      <c r="Z202" s="47"/>
      <c r="AJ202" s="186"/>
      <c r="AK202" s="186"/>
      <c r="AL202" s="186"/>
      <c r="AM202" s="185" t="e">
        <f>VLOOKUP(CLEAN(H202),#REF!,7,FALSE)</f>
        <v>#REF!</v>
      </c>
      <c r="AR202" s="2" t="e">
        <f>VLOOKUP(CLEAN(H202),#REF!,2,FALSE)</f>
        <v>#REF!</v>
      </c>
      <c r="AZ202" s="2" t="e">
        <f>VLOOKUP(H202,#REF!,2,FALSE)</f>
        <v>#REF!</v>
      </c>
      <c r="BF202" s="193"/>
      <c r="BO202" s="2" t="e">
        <f>VLOOKUP(H202,#REF!,13,FALSE)</f>
        <v>#REF!</v>
      </c>
      <c r="BQ202" s="2" t="e">
        <f>VLOOKUP(H202,#REF!,13,FALSE)</f>
        <v>#REF!</v>
      </c>
    </row>
    <row r="203" spans="1:70" s="2" customFormat="1" ht="15" customHeight="1" outlineLevel="2">
      <c r="A203" s="5">
        <v>31</v>
      </c>
      <c r="B203" s="5" t="s">
        <v>5</v>
      </c>
      <c r="C203" s="5" t="s">
        <v>241</v>
      </c>
      <c r="D203" s="5" t="s">
        <v>22</v>
      </c>
      <c r="E203" s="5" t="s">
        <v>71</v>
      </c>
      <c r="F203" s="5" t="s">
        <v>89</v>
      </c>
      <c r="G203" s="5" t="s">
        <v>144</v>
      </c>
      <c r="H203" s="12">
        <v>30356933</v>
      </c>
      <c r="I203" s="42" t="str">
        <f t="shared" ref="I203:I219" si="119">CONCATENATE(H203,"-",G203)</f>
        <v>30356933-EJECUCION</v>
      </c>
      <c r="J203" s="12"/>
      <c r="K203" s="307" t="str">
        <f t="shared" ref="K203:K219" si="120">CLEAN(H203)</f>
        <v>30356933</v>
      </c>
      <c r="L203" s="15" t="s">
        <v>260</v>
      </c>
      <c r="M203" s="23">
        <v>892628000</v>
      </c>
      <c r="N203" s="34">
        <v>1147000</v>
      </c>
      <c r="O203" s="34">
        <f>678122000-2015116-9</f>
        <v>676106875</v>
      </c>
      <c r="P203" s="310">
        <v>1560000</v>
      </c>
      <c r="Q203" s="34">
        <v>1560000</v>
      </c>
      <c r="R203" s="308">
        <v>38682638</v>
      </c>
      <c r="S203" s="34">
        <f t="shared" ref="S203:S219" si="121">P203+Q203+R203</f>
        <v>41802638</v>
      </c>
      <c r="T203" s="34">
        <v>51616006</v>
      </c>
      <c r="U203" s="34">
        <v>58607291</v>
      </c>
      <c r="V203" s="34">
        <f>P203+Q203+R203+T203+U203</f>
        <v>152025935</v>
      </c>
      <c r="W203" s="34">
        <f>O203-V203</f>
        <v>524080940</v>
      </c>
      <c r="X203" s="34">
        <f>M203-(N203+O203)</f>
        <v>215374125</v>
      </c>
      <c r="Y203" s="48" t="s">
        <v>239</v>
      </c>
      <c r="Z203" s="48" t="s">
        <v>8</v>
      </c>
      <c r="AA203" s="2" t="s">
        <v>847</v>
      </c>
      <c r="AB203" s="2" t="e">
        <f>VLOOKUP(H203,#REF!,2,FALSE)</f>
        <v>#REF!</v>
      </c>
      <c r="AC203" s="2" t="e">
        <f>VLOOKUP(I203,#REF!,2,FALSE)</f>
        <v>#REF!</v>
      </c>
      <c r="AD203" s="2" t="e">
        <f>VLOOKUP(H203,#REF!,13,FALSE)</f>
        <v>#REF!</v>
      </c>
      <c r="AE203" s="2" t="e">
        <f>VLOOKUP(I203,#REF!,7,FALSE)</f>
        <v>#REF!</v>
      </c>
      <c r="AG203" s="2" t="e">
        <f>VLOOKUP(H203,#REF!,13,FALSE)</f>
        <v>#REF!</v>
      </c>
      <c r="AH203" s="2" t="e">
        <f>VLOOKUP(I203,#REF!,2,FALSE)</f>
        <v>#REF!</v>
      </c>
      <c r="AJ203" s="185" t="e">
        <f>VLOOKUP(H203,#REF!,3,FALSE)</f>
        <v>#REF!</v>
      </c>
      <c r="AK203" s="185"/>
      <c r="AL203" s="185" t="e">
        <f>VLOOKUP(H203,#REF!,13,FALSE)</f>
        <v>#REF!</v>
      </c>
      <c r="AM203" s="185" t="e">
        <f>VLOOKUP(CLEAN(H203),#REF!,7,FALSE)</f>
        <v>#REF!</v>
      </c>
      <c r="AN203" s="2" t="e">
        <f>VLOOKUP(H203,#REF!,8,FALSE)</f>
        <v>#REF!</v>
      </c>
      <c r="AO203" s="189" t="e">
        <f>VLOOKUP(H203,#REF!,2,FALSE)</f>
        <v>#REF!</v>
      </c>
      <c r="AP203" s="189" t="e">
        <f>VLOOKUP(H203,#REF!,2,FALSE)</f>
        <v>#REF!</v>
      </c>
      <c r="AQ203" s="189" t="e">
        <f t="shared" ref="AQ203:AQ205" si="122">AO203-AP203</f>
        <v>#REF!</v>
      </c>
      <c r="AR203" s="189" t="e">
        <f>VLOOKUP(CLEAN(H203),#REF!,2,FALSE)</f>
        <v>#REF!</v>
      </c>
      <c r="AS203" s="189" t="e">
        <f>T203-AR203</f>
        <v>#REF!</v>
      </c>
      <c r="AT203" s="2" t="e">
        <f>VLOOKUP(H203,#REF!,13,FALSE)</f>
        <v>#REF!</v>
      </c>
      <c r="AU203" s="2" t="e">
        <f>VLOOKUP(H203,#REF!,13,FALSE)</f>
        <v>#REF!</v>
      </c>
      <c r="AV203" s="2" t="e">
        <f>VLOOKUP(H203,#REF!,13,FALSE)</f>
        <v>#REF!</v>
      </c>
      <c r="AW203" s="2" t="e">
        <f>VLOOKUP(H203,#REF!,13,FALSE)</f>
        <v>#REF!</v>
      </c>
      <c r="AX203" s="2" t="e">
        <f>VLOOKUP(H203,#REF!,9,FALSE)</f>
        <v>#REF!</v>
      </c>
      <c r="AZ203" s="189" t="e">
        <f>VLOOKUP(H203,#REF!,2,FALSE)</f>
        <v>#REF!</v>
      </c>
      <c r="BF203" s="189" t="e">
        <f>VLOOKUP(CLEAN(H203),#REF!,2,FALSE)</f>
        <v>#REF!</v>
      </c>
      <c r="BG203" s="189" t="e">
        <f>T203-BF203</f>
        <v>#REF!</v>
      </c>
      <c r="BO203" s="2" t="e">
        <f>VLOOKUP(H203,#REF!,13,FALSE)</f>
        <v>#REF!</v>
      </c>
      <c r="BP203" s="2" t="e">
        <f>VLOOKUP(H203,#REF!,2,FALSE)</f>
        <v>#REF!</v>
      </c>
      <c r="BQ203" s="2" t="e">
        <f>VLOOKUP(H203,#REF!,13,FALSE)</f>
        <v>#REF!</v>
      </c>
      <c r="BR203" s="2" t="e">
        <f>VLOOKUP(H203,#REF!,3,FALSE)</f>
        <v>#REF!</v>
      </c>
    </row>
    <row r="204" spans="1:70" s="2" customFormat="1" ht="15" customHeight="1" outlineLevel="2">
      <c r="A204" s="5">
        <v>31</v>
      </c>
      <c r="B204" s="5" t="s">
        <v>5</v>
      </c>
      <c r="C204" s="5" t="s">
        <v>251</v>
      </c>
      <c r="D204" s="5" t="s">
        <v>22</v>
      </c>
      <c r="E204" s="5" t="s">
        <v>71</v>
      </c>
      <c r="F204" s="5" t="s">
        <v>89</v>
      </c>
      <c r="G204" s="5" t="s">
        <v>144</v>
      </c>
      <c r="H204" s="12">
        <v>30129273</v>
      </c>
      <c r="I204" s="42" t="str">
        <f t="shared" si="119"/>
        <v>30129273-EJECUCION</v>
      </c>
      <c r="J204" s="12"/>
      <c r="K204" s="307" t="str">
        <f t="shared" si="120"/>
        <v>30129273</v>
      </c>
      <c r="L204" s="15" t="s">
        <v>535</v>
      </c>
      <c r="M204" s="23">
        <v>2021937012</v>
      </c>
      <c r="N204" s="34">
        <v>2014383699</v>
      </c>
      <c r="O204" s="34">
        <v>7553313</v>
      </c>
      <c r="P204" s="310">
        <v>0</v>
      </c>
      <c r="Q204" s="34">
        <v>0</v>
      </c>
      <c r="R204" s="308">
        <v>1198372</v>
      </c>
      <c r="S204" s="34">
        <f t="shared" si="121"/>
        <v>1198372</v>
      </c>
      <c r="T204" s="34">
        <v>381705</v>
      </c>
      <c r="U204" s="34">
        <v>0</v>
      </c>
      <c r="V204" s="34">
        <f>P204+Q204+R204+T204+U204</f>
        <v>1580077</v>
      </c>
      <c r="W204" s="34">
        <f>O204-V204</f>
        <v>5973236</v>
      </c>
      <c r="X204" s="34">
        <f>M204-(N204+O204)</f>
        <v>0</v>
      </c>
      <c r="Y204" s="48" t="s">
        <v>239</v>
      </c>
      <c r="Z204" s="48" t="s">
        <v>8</v>
      </c>
      <c r="AA204" s="2" t="s">
        <v>847</v>
      </c>
      <c r="AB204" s="2" t="e">
        <f>VLOOKUP(H204,#REF!,2,FALSE)</f>
        <v>#REF!</v>
      </c>
      <c r="AC204" s="2" t="e">
        <f>VLOOKUP(I204,#REF!,2,FALSE)</f>
        <v>#REF!</v>
      </c>
      <c r="AD204" s="2" t="e">
        <f>VLOOKUP(H204,#REF!,13,FALSE)</f>
        <v>#REF!</v>
      </c>
      <c r="AE204" s="2" t="e">
        <f>VLOOKUP(I204,#REF!,7,FALSE)</f>
        <v>#REF!</v>
      </c>
      <c r="AG204" s="2" t="e">
        <f>VLOOKUP(H204,#REF!,13,FALSE)</f>
        <v>#REF!</v>
      </c>
      <c r="AH204" s="2" t="e">
        <f>VLOOKUP(I204,#REF!,2,FALSE)</f>
        <v>#REF!</v>
      </c>
      <c r="AJ204" s="185" t="e">
        <f>VLOOKUP(H204,#REF!,3,FALSE)</f>
        <v>#REF!</v>
      </c>
      <c r="AK204" s="185"/>
      <c r="AL204" s="185" t="e">
        <f>VLOOKUP(H204,#REF!,13,FALSE)</f>
        <v>#REF!</v>
      </c>
      <c r="AM204" s="185" t="e">
        <f>VLOOKUP(CLEAN(H204),#REF!,7,FALSE)</f>
        <v>#REF!</v>
      </c>
      <c r="AN204" s="2" t="e">
        <f>VLOOKUP(H204,#REF!,8,FALSE)</f>
        <v>#REF!</v>
      </c>
      <c r="AO204" s="189" t="e">
        <f>VLOOKUP(H204,#REF!,2,FALSE)</f>
        <v>#REF!</v>
      </c>
      <c r="AP204" s="189" t="e">
        <f>VLOOKUP(H204,#REF!,2,FALSE)</f>
        <v>#REF!</v>
      </c>
      <c r="AQ204" s="189" t="e">
        <f t="shared" si="122"/>
        <v>#REF!</v>
      </c>
      <c r="AR204" s="189" t="e">
        <f>VLOOKUP(CLEAN(H204),#REF!,2,FALSE)</f>
        <v>#REF!</v>
      </c>
      <c r="AS204" s="189" t="e">
        <f>T204-AR204</f>
        <v>#REF!</v>
      </c>
      <c r="AT204" s="2" t="e">
        <f>VLOOKUP(H204,#REF!,13,FALSE)</f>
        <v>#REF!</v>
      </c>
      <c r="AU204" s="2" t="e">
        <f>VLOOKUP(H204,#REF!,13,FALSE)</f>
        <v>#REF!</v>
      </c>
      <c r="AV204" s="2" t="e">
        <f>VLOOKUP(H204,#REF!,13,FALSE)</f>
        <v>#REF!</v>
      </c>
      <c r="AW204" s="2" t="e">
        <f>VLOOKUP(H204,#REF!,13,FALSE)</f>
        <v>#REF!</v>
      </c>
      <c r="AX204" s="2" t="e">
        <f>VLOOKUP(H204,#REF!,9,FALSE)</f>
        <v>#REF!</v>
      </c>
      <c r="AZ204" s="189" t="e">
        <f>VLOOKUP(H204,#REF!,2,FALSE)</f>
        <v>#REF!</v>
      </c>
      <c r="BF204" s="189" t="e">
        <f>VLOOKUP(CLEAN(H204),#REF!,2,FALSE)</f>
        <v>#REF!</v>
      </c>
      <c r="BG204" s="189" t="e">
        <f>T204-BF204</f>
        <v>#REF!</v>
      </c>
      <c r="BO204" s="2" t="e">
        <f>VLOOKUP(H204,#REF!,13,FALSE)</f>
        <v>#REF!</v>
      </c>
      <c r="BP204" s="2" t="e">
        <f>VLOOKUP(H204,#REF!,2,FALSE)</f>
        <v>#REF!</v>
      </c>
      <c r="BQ204" s="2" t="e">
        <f>VLOOKUP(H204,#REF!,13,FALSE)</f>
        <v>#REF!</v>
      </c>
      <c r="BR204" s="2" t="e">
        <f>VLOOKUP(H204,#REF!,3,FALSE)</f>
        <v>#REF!</v>
      </c>
    </row>
    <row r="205" spans="1:70" s="2" customFormat="1" ht="15" customHeight="1" outlineLevel="2">
      <c r="A205" s="5">
        <v>31</v>
      </c>
      <c r="B205" s="5" t="s">
        <v>5</v>
      </c>
      <c r="C205" s="5" t="s">
        <v>253</v>
      </c>
      <c r="D205" s="5" t="s">
        <v>22</v>
      </c>
      <c r="E205" s="5" t="s">
        <v>71</v>
      </c>
      <c r="F205" s="5" t="s">
        <v>457</v>
      </c>
      <c r="G205" s="5" t="s">
        <v>144</v>
      </c>
      <c r="H205" s="12">
        <v>30199074</v>
      </c>
      <c r="I205" s="42" t="str">
        <f t="shared" si="119"/>
        <v>30199074-EJECUCION</v>
      </c>
      <c r="J205" s="12"/>
      <c r="K205" s="307" t="str">
        <f t="shared" si="120"/>
        <v>30199074</v>
      </c>
      <c r="L205" s="15" t="s">
        <v>534</v>
      </c>
      <c r="M205" s="23">
        <v>1816198434</v>
      </c>
      <c r="N205" s="34">
        <v>1751057725</v>
      </c>
      <c r="O205" s="34">
        <v>7335507</v>
      </c>
      <c r="P205" s="310">
        <v>0</v>
      </c>
      <c r="Q205" s="34">
        <v>2015116</v>
      </c>
      <c r="R205" s="308">
        <v>0</v>
      </c>
      <c r="S205" s="34">
        <f t="shared" si="121"/>
        <v>2015116</v>
      </c>
      <c r="T205" s="34">
        <v>3580359</v>
      </c>
      <c r="U205" s="34">
        <v>512844</v>
      </c>
      <c r="V205" s="34">
        <f>P205+Q205+R205+T205+U205</f>
        <v>6108319</v>
      </c>
      <c r="W205" s="34">
        <f>O205-V205</f>
        <v>1227188</v>
      </c>
      <c r="X205" s="34">
        <f>M205-(N205+O205)</f>
        <v>57805202</v>
      </c>
      <c r="Y205" s="48" t="s">
        <v>239</v>
      </c>
      <c r="Z205" s="48" t="s">
        <v>8</v>
      </c>
      <c r="AA205" s="2" t="s">
        <v>846</v>
      </c>
      <c r="AB205" s="2" t="e">
        <f>VLOOKUP(H205,#REF!,2,FALSE)</f>
        <v>#REF!</v>
      </c>
      <c r="AC205" s="2" t="e">
        <f>VLOOKUP(I205,#REF!,2,FALSE)</f>
        <v>#REF!</v>
      </c>
      <c r="AD205" s="2" t="e">
        <f>VLOOKUP(H205,#REF!,13,FALSE)</f>
        <v>#REF!</v>
      </c>
      <c r="AE205" s="2" t="e">
        <f>VLOOKUP(I205,#REF!,7,FALSE)</f>
        <v>#REF!</v>
      </c>
      <c r="AG205" s="2" t="e">
        <f>VLOOKUP(H205,#REF!,13,FALSE)</f>
        <v>#REF!</v>
      </c>
      <c r="AH205" s="2" t="e">
        <f>VLOOKUP(I205,#REF!,2,FALSE)</f>
        <v>#REF!</v>
      </c>
      <c r="AJ205" s="2" t="e">
        <f>VLOOKUP(H205,#REF!,3,FALSE)</f>
        <v>#REF!</v>
      </c>
      <c r="AL205" s="2" t="e">
        <f>VLOOKUP(H205,#REF!,13,FALSE)</f>
        <v>#REF!</v>
      </c>
      <c r="AM205" s="2" t="e">
        <f>VLOOKUP(CLEAN(H205),#REF!,7,FALSE)</f>
        <v>#REF!</v>
      </c>
      <c r="AN205" s="2" t="e">
        <f>VLOOKUP(H205,#REF!,8,FALSE)</f>
        <v>#REF!</v>
      </c>
      <c r="AO205" s="189" t="e">
        <f>VLOOKUP(H205,#REF!,2,FALSE)</f>
        <v>#REF!</v>
      </c>
      <c r="AP205" s="189" t="e">
        <f>VLOOKUP(H205,#REF!,2,FALSE)</f>
        <v>#REF!</v>
      </c>
      <c r="AQ205" s="189" t="e">
        <f t="shared" si="122"/>
        <v>#REF!</v>
      </c>
      <c r="AR205" s="189" t="e">
        <f>VLOOKUP(CLEAN(H205),#REF!,2,FALSE)</f>
        <v>#REF!</v>
      </c>
      <c r="AS205" s="189" t="e">
        <f>T205-AR205</f>
        <v>#REF!</v>
      </c>
      <c r="AT205" s="2" t="e">
        <f>VLOOKUP(H205,#REF!,13,FALSE)</f>
        <v>#REF!</v>
      </c>
      <c r="AU205" s="2" t="e">
        <f>VLOOKUP(H205,#REF!,13,FALSE)</f>
        <v>#REF!</v>
      </c>
      <c r="AV205" s="2" t="e">
        <f>VLOOKUP(H205,#REF!,13,FALSE)</f>
        <v>#REF!</v>
      </c>
      <c r="AW205" s="2" t="e">
        <f>VLOOKUP(H205,#REF!,13,FALSE)</f>
        <v>#REF!</v>
      </c>
      <c r="AX205" s="2" t="e">
        <f>VLOOKUP(H205,#REF!,9,FALSE)</f>
        <v>#REF!</v>
      </c>
      <c r="AZ205" s="189" t="e">
        <f>VLOOKUP(H205,#REF!,2,FALSE)</f>
        <v>#REF!</v>
      </c>
      <c r="BF205" s="189" t="e">
        <f>VLOOKUP(CLEAN(H205),#REF!,2,FALSE)</f>
        <v>#REF!</v>
      </c>
      <c r="BG205" s="189" t="e">
        <f>T205-BF205</f>
        <v>#REF!</v>
      </c>
      <c r="BO205" s="2" t="e">
        <f>VLOOKUP(H205,#REF!,13,FALSE)</f>
        <v>#REF!</v>
      </c>
      <c r="BP205" s="2" t="e">
        <f>VLOOKUP(H205,#REF!,2,FALSE)</f>
        <v>#REF!</v>
      </c>
      <c r="BQ205" s="2" t="e">
        <f>VLOOKUP(H205,#REF!,13,FALSE)</f>
        <v>#REF!</v>
      </c>
      <c r="BR205" s="2" t="e">
        <f>VLOOKUP(H205,#REF!,3,FALSE)</f>
        <v>#REF!</v>
      </c>
    </row>
    <row r="206" spans="1:70" s="2" customFormat="1" ht="15" customHeight="1" outlineLevel="2">
      <c r="A206" s="5">
        <v>31</v>
      </c>
      <c r="B206" s="5" t="s">
        <v>5</v>
      </c>
      <c r="C206" s="5" t="s">
        <v>238</v>
      </c>
      <c r="D206" s="5" t="s">
        <v>22</v>
      </c>
      <c r="E206" s="5" t="s">
        <v>71</v>
      </c>
      <c r="F206" s="5" t="s">
        <v>6</v>
      </c>
      <c r="G206" s="5" t="s">
        <v>144</v>
      </c>
      <c r="H206" s="12">
        <v>30063478</v>
      </c>
      <c r="I206" s="42" t="str">
        <f t="shared" si="119"/>
        <v>30063478-EJECUCION</v>
      </c>
      <c r="J206" s="12"/>
      <c r="K206" s="307" t="str">
        <f t="shared" si="120"/>
        <v>30063478</v>
      </c>
      <c r="L206" s="15" t="s">
        <v>436</v>
      </c>
      <c r="M206" s="23">
        <v>2265125957</v>
      </c>
      <c r="N206" s="34">
        <v>2214659319</v>
      </c>
      <c r="O206" s="34">
        <v>17793967</v>
      </c>
      <c r="P206" s="310">
        <v>0</v>
      </c>
      <c r="Q206" s="34">
        <v>0</v>
      </c>
      <c r="R206" s="308">
        <v>0</v>
      </c>
      <c r="S206" s="34">
        <f t="shared" si="121"/>
        <v>0</v>
      </c>
      <c r="T206" s="34">
        <v>0</v>
      </c>
      <c r="U206" s="34">
        <v>0</v>
      </c>
      <c r="V206" s="34">
        <f>P206+Q206+R206+T206+U206</f>
        <v>0</v>
      </c>
      <c r="W206" s="34">
        <f>O206-V206</f>
        <v>17793967</v>
      </c>
      <c r="X206" s="34">
        <f>M206-(N206+O206)</f>
        <v>32672671</v>
      </c>
      <c r="Y206" s="48" t="s">
        <v>239</v>
      </c>
      <c r="Z206" s="48" t="s">
        <v>8</v>
      </c>
      <c r="AA206" s="2" t="s">
        <v>843</v>
      </c>
      <c r="AB206" s="2" t="e">
        <f>VLOOKUP(H206,#REF!,2,FALSE)</f>
        <v>#REF!</v>
      </c>
      <c r="AC206" s="2" t="e">
        <f>VLOOKUP(I206,#REF!,2,FALSE)</f>
        <v>#REF!</v>
      </c>
      <c r="AD206" s="2" t="e">
        <f>VLOOKUP(H206,#REF!,13,FALSE)</f>
        <v>#REF!</v>
      </c>
      <c r="AE206" s="2" t="e">
        <f>VLOOKUP(I206,#REF!,7,FALSE)</f>
        <v>#REF!</v>
      </c>
      <c r="AG206" s="2" t="e">
        <f>VLOOKUP(H206,#REF!,13,FALSE)</f>
        <v>#REF!</v>
      </c>
      <c r="AH206" s="2" t="e">
        <f>VLOOKUP(I206,#REF!,2,FALSE)</f>
        <v>#REF!</v>
      </c>
      <c r="AJ206" s="185" t="e">
        <f>VLOOKUP(H206,#REF!,3,FALSE)</f>
        <v>#REF!</v>
      </c>
      <c r="AK206" s="185"/>
      <c r="AL206" s="185" t="e">
        <f>VLOOKUP(H206,#REF!,13,FALSE)</f>
        <v>#REF!</v>
      </c>
      <c r="AM206" s="185" t="e">
        <f>VLOOKUP(CLEAN(H206),#REF!,7,FALSE)</f>
        <v>#REF!</v>
      </c>
      <c r="AN206" s="2" t="e">
        <f>VLOOKUP(H206,#REF!,8,FALSE)</f>
        <v>#REF!</v>
      </c>
      <c r="AO206" s="189" t="e">
        <f>VLOOKUP(H206,#REF!,2,FALSE)</f>
        <v>#REF!</v>
      </c>
      <c r="AP206" s="189" t="e">
        <f>VLOOKUP(H206,#REF!,2,FALSE)</f>
        <v>#REF!</v>
      </c>
      <c r="AQ206" s="189"/>
      <c r="AR206" s="2" t="e">
        <f>VLOOKUP(CLEAN(H206),#REF!,2,FALSE)</f>
        <v>#REF!</v>
      </c>
      <c r="AT206" s="2" t="e">
        <f>VLOOKUP(H206,#REF!,13,FALSE)</f>
        <v>#REF!</v>
      </c>
      <c r="AU206" s="2" t="e">
        <f>VLOOKUP(H206,#REF!,13,FALSE)</f>
        <v>#REF!</v>
      </c>
      <c r="AV206" s="2" t="e">
        <f>VLOOKUP(H206,#REF!,13,FALSE)</f>
        <v>#REF!</v>
      </c>
      <c r="AW206" s="2" t="e">
        <f>VLOOKUP(H206,#REF!,13,FALSE)</f>
        <v>#REF!</v>
      </c>
      <c r="AX206" s="2" t="e">
        <f>VLOOKUP(H206,#REF!,9,FALSE)</f>
        <v>#REF!</v>
      </c>
      <c r="AZ206" s="189" t="e">
        <f>VLOOKUP(H206,#REF!,2,FALSE)</f>
        <v>#REF!</v>
      </c>
      <c r="BF206" s="189" t="e">
        <f>VLOOKUP(CLEAN(H206),#REF!,2,FALSE)</f>
        <v>#REF!</v>
      </c>
      <c r="BG206" s="189" t="e">
        <f>T206-BF206</f>
        <v>#REF!</v>
      </c>
      <c r="BO206" s="2" t="e">
        <f>VLOOKUP(H206,#REF!,13,FALSE)</f>
        <v>#REF!</v>
      </c>
      <c r="BP206" s="2" t="e">
        <f>VLOOKUP(H206,#REF!,2,FALSE)</f>
        <v>#REF!</v>
      </c>
      <c r="BQ206" s="2" t="e">
        <f>VLOOKUP(H206,#REF!,13,FALSE)</f>
        <v>#REF!</v>
      </c>
      <c r="BR206" s="2" t="e">
        <f>VLOOKUP(H206,#REF!,3,FALSE)</f>
        <v>#REF!</v>
      </c>
    </row>
    <row r="207" spans="1:70" s="2" customFormat="1" ht="15" customHeight="1" outlineLevel="2">
      <c r="A207" s="5">
        <v>31</v>
      </c>
      <c r="B207" s="5" t="s">
        <v>5</v>
      </c>
      <c r="C207" s="5" t="s">
        <v>240</v>
      </c>
      <c r="D207" s="5" t="s">
        <v>22</v>
      </c>
      <c r="E207" s="5" t="s">
        <v>71</v>
      </c>
      <c r="F207" s="5" t="s">
        <v>457</v>
      </c>
      <c r="G207" s="5" t="s">
        <v>144</v>
      </c>
      <c r="H207" s="12">
        <v>30034666</v>
      </c>
      <c r="I207" s="42" t="str">
        <f t="shared" si="119"/>
        <v>30034666-EJECUCION</v>
      </c>
      <c r="J207" s="12"/>
      <c r="K207" s="307" t="str">
        <f t="shared" si="120"/>
        <v>30034666</v>
      </c>
      <c r="L207" s="15" t="s">
        <v>437</v>
      </c>
      <c r="M207" s="23">
        <v>262243848</v>
      </c>
      <c r="N207" s="34">
        <v>242272569</v>
      </c>
      <c r="O207" s="34">
        <v>19971279</v>
      </c>
      <c r="P207" s="310">
        <v>0</v>
      </c>
      <c r="Q207" s="34">
        <v>0</v>
      </c>
      <c r="R207" s="308">
        <v>0</v>
      </c>
      <c r="S207" s="34">
        <f t="shared" si="121"/>
        <v>0</v>
      </c>
      <c r="T207" s="34">
        <v>0</v>
      </c>
      <c r="U207" s="34">
        <v>17404953</v>
      </c>
      <c r="V207" s="34">
        <f>P207+Q207+R207+T207+U207</f>
        <v>17404953</v>
      </c>
      <c r="W207" s="34">
        <f>O207-V207</f>
        <v>2566326</v>
      </c>
      <c r="X207" s="34">
        <f>M207-(N207+O207)</f>
        <v>0</v>
      </c>
      <c r="Y207" s="48" t="s">
        <v>239</v>
      </c>
      <c r="Z207" s="48" t="s">
        <v>8</v>
      </c>
      <c r="AA207" s="2" t="s">
        <v>843</v>
      </c>
      <c r="AB207" s="2" t="e">
        <f>VLOOKUP(H207,#REF!,2,FALSE)</f>
        <v>#REF!</v>
      </c>
      <c r="AC207" s="2" t="e">
        <f>VLOOKUP(I207,#REF!,2,FALSE)</f>
        <v>#REF!</v>
      </c>
      <c r="AD207" s="2" t="e">
        <f>VLOOKUP(H207,#REF!,13,FALSE)</f>
        <v>#REF!</v>
      </c>
      <c r="AE207" s="2" t="e">
        <f>VLOOKUP(I207,#REF!,7,FALSE)</f>
        <v>#REF!</v>
      </c>
      <c r="AG207" s="2" t="e">
        <f>VLOOKUP(H207,#REF!,13,FALSE)</f>
        <v>#REF!</v>
      </c>
      <c r="AH207" s="2" t="e">
        <f>VLOOKUP(I207,#REF!,2,FALSE)</f>
        <v>#REF!</v>
      </c>
      <c r="AJ207" s="185" t="e">
        <f>VLOOKUP(H207,#REF!,3,FALSE)</f>
        <v>#REF!</v>
      </c>
      <c r="AK207" s="185"/>
      <c r="AL207" s="185" t="e">
        <f>VLOOKUP(H207,#REF!,13,FALSE)</f>
        <v>#REF!</v>
      </c>
      <c r="AM207" s="185" t="e">
        <f>VLOOKUP(CLEAN(H207),#REF!,7,FALSE)</f>
        <v>#REF!</v>
      </c>
      <c r="AN207" s="2" t="e">
        <f>VLOOKUP(H207,#REF!,8,FALSE)</f>
        <v>#REF!</v>
      </c>
      <c r="AO207" s="189" t="e">
        <f>VLOOKUP(H207,#REF!,2,FALSE)</f>
        <v>#REF!</v>
      </c>
      <c r="AP207" s="189" t="e">
        <f>VLOOKUP(H207,#REF!,2,FALSE)</f>
        <v>#REF!</v>
      </c>
      <c r="AQ207" s="189"/>
      <c r="AR207" s="2" t="e">
        <f>VLOOKUP(CLEAN(H207),#REF!,2,FALSE)</f>
        <v>#REF!</v>
      </c>
      <c r="AT207" s="2" t="e">
        <f>VLOOKUP(H207,#REF!,13,FALSE)</f>
        <v>#REF!</v>
      </c>
      <c r="AU207" s="2" t="e">
        <f>VLOOKUP(H207,#REF!,13,FALSE)</f>
        <v>#REF!</v>
      </c>
      <c r="AV207" s="2" t="e">
        <f>VLOOKUP(H207,#REF!,13,FALSE)</f>
        <v>#REF!</v>
      </c>
      <c r="AW207" s="2" t="e">
        <f>VLOOKUP(H207,#REF!,13,FALSE)</f>
        <v>#REF!</v>
      </c>
      <c r="AX207" s="2" t="e">
        <f>VLOOKUP(H207,#REF!,9,FALSE)</f>
        <v>#REF!</v>
      </c>
      <c r="AZ207" s="189" t="e">
        <f>VLOOKUP(H207,#REF!,2,FALSE)</f>
        <v>#REF!</v>
      </c>
      <c r="BF207" s="189" t="e">
        <f>VLOOKUP(CLEAN(H207),#REF!,2,FALSE)</f>
        <v>#REF!</v>
      </c>
      <c r="BG207" s="189" t="e">
        <f>T207-BF207</f>
        <v>#REF!</v>
      </c>
      <c r="BO207" s="2" t="e">
        <f>VLOOKUP(H207,#REF!,13,FALSE)</f>
        <v>#REF!</v>
      </c>
      <c r="BP207" s="2" t="e">
        <f>VLOOKUP(H207,#REF!,2,FALSE)</f>
        <v>#REF!</v>
      </c>
      <c r="BQ207" s="2" t="e">
        <f>VLOOKUP(H207,#REF!,13,FALSE)</f>
        <v>#REF!</v>
      </c>
      <c r="BR207" s="2" t="e">
        <f>VLOOKUP(H207,#REF!,3,FALSE)</f>
        <v>#REF!</v>
      </c>
    </row>
    <row r="208" spans="1:70" s="2" customFormat="1" ht="15" customHeight="1" outlineLevel="2">
      <c r="A208" s="5">
        <v>31</v>
      </c>
      <c r="B208" s="5" t="s">
        <v>5</v>
      </c>
      <c r="C208" s="5" t="s">
        <v>238</v>
      </c>
      <c r="D208" s="5" t="s">
        <v>22</v>
      </c>
      <c r="E208" s="5" t="s">
        <v>71</v>
      </c>
      <c r="F208" s="5" t="s">
        <v>6</v>
      </c>
      <c r="G208" s="5" t="s">
        <v>144</v>
      </c>
      <c r="H208" s="12">
        <v>30103446</v>
      </c>
      <c r="I208" s="42" t="str">
        <f t="shared" si="119"/>
        <v>30103446-EJECUCION</v>
      </c>
      <c r="J208" s="12"/>
      <c r="K208" s="307" t="str">
        <f t="shared" si="120"/>
        <v>30103446</v>
      </c>
      <c r="L208" s="15" t="s">
        <v>438</v>
      </c>
      <c r="M208" s="23">
        <v>4575910582</v>
      </c>
      <c r="N208" s="34">
        <v>4513636083</v>
      </c>
      <c r="O208" s="34">
        <v>62274499</v>
      </c>
      <c r="P208" s="310">
        <v>0</v>
      </c>
      <c r="Q208" s="34">
        <v>0</v>
      </c>
      <c r="R208" s="308">
        <v>0</v>
      </c>
      <c r="S208" s="34">
        <f t="shared" si="121"/>
        <v>0</v>
      </c>
      <c r="T208" s="34">
        <v>5477422</v>
      </c>
      <c r="U208" s="34">
        <v>0</v>
      </c>
      <c r="V208" s="34">
        <f>P208+Q208+R208+T208+U208</f>
        <v>5477422</v>
      </c>
      <c r="W208" s="34">
        <f>O208-V208</f>
        <v>56797077</v>
      </c>
      <c r="X208" s="34">
        <f>M208-(N208+O208)</f>
        <v>0</v>
      </c>
      <c r="Y208" s="48" t="s">
        <v>239</v>
      </c>
      <c r="Z208" s="48" t="s">
        <v>8</v>
      </c>
      <c r="AA208" s="2" t="s">
        <v>843</v>
      </c>
      <c r="AB208" s="2" t="e">
        <f>VLOOKUP(H208,#REF!,2,FALSE)</f>
        <v>#REF!</v>
      </c>
      <c r="AC208" s="2" t="e">
        <f>VLOOKUP(I208,#REF!,2,FALSE)</f>
        <v>#REF!</v>
      </c>
      <c r="AD208" s="2" t="e">
        <f>VLOOKUP(H208,#REF!,13,FALSE)</f>
        <v>#REF!</v>
      </c>
      <c r="AE208" s="2" t="e">
        <f>VLOOKUP(I208,#REF!,7,FALSE)</f>
        <v>#REF!</v>
      </c>
      <c r="AG208" s="2" t="e">
        <f>VLOOKUP(H208,#REF!,13,FALSE)</f>
        <v>#REF!</v>
      </c>
      <c r="AH208" s="2" t="e">
        <f>VLOOKUP(I208,#REF!,2,FALSE)</f>
        <v>#REF!</v>
      </c>
      <c r="AJ208" s="185" t="e">
        <f>VLOOKUP(H208,#REF!,3,FALSE)</f>
        <v>#REF!</v>
      </c>
      <c r="AK208" s="185"/>
      <c r="AL208" s="185" t="e">
        <f>VLOOKUP(H208,#REF!,13,FALSE)</f>
        <v>#REF!</v>
      </c>
      <c r="AM208" s="185" t="e">
        <f>VLOOKUP(CLEAN(H208),#REF!,7,FALSE)</f>
        <v>#REF!</v>
      </c>
      <c r="AN208" s="2" t="e">
        <f>VLOOKUP(H208,#REF!,8,FALSE)</f>
        <v>#REF!</v>
      </c>
      <c r="AO208" s="189" t="e">
        <f>VLOOKUP(H208,#REF!,2,FALSE)</f>
        <v>#REF!</v>
      </c>
      <c r="AP208" s="189" t="e">
        <f>VLOOKUP(H208,#REF!,2,FALSE)</f>
        <v>#REF!</v>
      </c>
      <c r="AQ208" s="189" t="e">
        <f t="shared" ref="AQ208:AQ209" si="123">AO208-AP208</f>
        <v>#REF!</v>
      </c>
      <c r="AR208" s="189" t="e">
        <f>VLOOKUP(CLEAN(H208),#REF!,2,FALSE)</f>
        <v>#REF!</v>
      </c>
      <c r="AS208" s="189" t="e">
        <f>T208-AR208</f>
        <v>#REF!</v>
      </c>
      <c r="AT208" s="2" t="e">
        <f>VLOOKUP(H208,#REF!,13,FALSE)</f>
        <v>#REF!</v>
      </c>
      <c r="AU208" s="2" t="e">
        <f>VLOOKUP(H208,#REF!,13,FALSE)</f>
        <v>#REF!</v>
      </c>
      <c r="AV208" s="2" t="e">
        <f>VLOOKUP(H208,#REF!,13,FALSE)</f>
        <v>#REF!</v>
      </c>
      <c r="AW208" s="2" t="e">
        <f>VLOOKUP(H208,#REF!,13,FALSE)</f>
        <v>#REF!</v>
      </c>
      <c r="AX208" s="2" t="e">
        <f>VLOOKUP(H208,#REF!,9,FALSE)</f>
        <v>#REF!</v>
      </c>
      <c r="AZ208" s="189" t="e">
        <f>VLOOKUP(H208,#REF!,2,FALSE)</f>
        <v>#REF!</v>
      </c>
      <c r="BF208" s="189" t="e">
        <f>VLOOKUP(CLEAN(H208),#REF!,2,FALSE)</f>
        <v>#REF!</v>
      </c>
      <c r="BG208" s="189" t="e">
        <f>T208-BF208</f>
        <v>#REF!</v>
      </c>
      <c r="BO208" s="2" t="e">
        <f>VLOOKUP(H208,#REF!,13,FALSE)</f>
        <v>#REF!</v>
      </c>
      <c r="BP208" s="2" t="e">
        <f>VLOOKUP(H208,#REF!,2,FALSE)</f>
        <v>#REF!</v>
      </c>
      <c r="BQ208" s="2" t="e">
        <f>VLOOKUP(H208,#REF!,13,FALSE)</f>
        <v>#REF!</v>
      </c>
      <c r="BR208" s="2" t="e">
        <f>VLOOKUP(H208,#REF!,3,FALSE)</f>
        <v>#REF!</v>
      </c>
    </row>
    <row r="209" spans="1:70" s="2" customFormat="1" ht="15" customHeight="1" outlineLevel="2">
      <c r="A209" s="5">
        <v>31</v>
      </c>
      <c r="B209" s="5" t="s">
        <v>5</v>
      </c>
      <c r="C209" s="5" t="s">
        <v>253</v>
      </c>
      <c r="D209" s="5" t="s">
        <v>22</v>
      </c>
      <c r="E209" s="5" t="s">
        <v>71</v>
      </c>
      <c r="F209" s="5" t="s">
        <v>457</v>
      </c>
      <c r="G209" s="5" t="s">
        <v>144</v>
      </c>
      <c r="H209" s="12">
        <v>30199272</v>
      </c>
      <c r="I209" s="42" t="str">
        <f t="shared" si="119"/>
        <v>30199272-EJECUCION</v>
      </c>
      <c r="J209" s="12"/>
      <c r="K209" s="307" t="str">
        <f t="shared" si="120"/>
        <v>30199272</v>
      </c>
      <c r="L209" s="15" t="s">
        <v>439</v>
      </c>
      <c r="M209" s="23">
        <v>1683911357</v>
      </c>
      <c r="N209" s="34">
        <v>1673202656</v>
      </c>
      <c r="O209" s="34">
        <v>10708701</v>
      </c>
      <c r="P209" s="310">
        <v>2015116</v>
      </c>
      <c r="Q209" s="34">
        <v>0</v>
      </c>
      <c r="R209" s="308">
        <v>0</v>
      </c>
      <c r="S209" s="34">
        <f t="shared" si="121"/>
        <v>2015116</v>
      </c>
      <c r="T209" s="34">
        <v>4400465</v>
      </c>
      <c r="U209" s="34">
        <v>0</v>
      </c>
      <c r="V209" s="34">
        <f>P209+Q209+R209+T209+U209</f>
        <v>6415581</v>
      </c>
      <c r="W209" s="34">
        <f>O209-V209</f>
        <v>4293120</v>
      </c>
      <c r="X209" s="34">
        <f>M209-(N209+O209)</f>
        <v>0</v>
      </c>
      <c r="Y209" s="48" t="s">
        <v>239</v>
      </c>
      <c r="Z209" s="48" t="s">
        <v>8</v>
      </c>
      <c r="AA209" s="2" t="s">
        <v>843</v>
      </c>
      <c r="AB209" s="2" t="e">
        <f>VLOOKUP(H209,#REF!,2,FALSE)</f>
        <v>#REF!</v>
      </c>
      <c r="AC209" s="2" t="e">
        <f>VLOOKUP(I209,#REF!,2,FALSE)</f>
        <v>#REF!</v>
      </c>
      <c r="AD209" s="2" t="e">
        <f>VLOOKUP(H209,#REF!,13,FALSE)</f>
        <v>#REF!</v>
      </c>
      <c r="AE209" s="2" t="e">
        <f>VLOOKUP(I209,#REF!,7,FALSE)</f>
        <v>#REF!</v>
      </c>
      <c r="AG209" s="2" t="e">
        <f>VLOOKUP(H209,#REF!,13,FALSE)</f>
        <v>#REF!</v>
      </c>
      <c r="AH209" s="2" t="e">
        <f>VLOOKUP(I209,#REF!,2,FALSE)</f>
        <v>#REF!</v>
      </c>
      <c r="AJ209" s="185" t="e">
        <f>VLOOKUP(H209,#REF!,3,FALSE)</f>
        <v>#REF!</v>
      </c>
      <c r="AK209" s="185"/>
      <c r="AL209" s="185" t="e">
        <f>VLOOKUP(H209,#REF!,13,FALSE)</f>
        <v>#REF!</v>
      </c>
      <c r="AM209" s="185" t="e">
        <f>VLOOKUP(CLEAN(H209),#REF!,7,FALSE)</f>
        <v>#REF!</v>
      </c>
      <c r="AN209" s="2" t="e">
        <f>VLOOKUP(H209,#REF!,8,FALSE)</f>
        <v>#REF!</v>
      </c>
      <c r="AO209" s="189" t="e">
        <f>VLOOKUP(H209,#REF!,2,FALSE)</f>
        <v>#REF!</v>
      </c>
      <c r="AP209" s="189" t="e">
        <f>VLOOKUP(H209,#REF!,2,FALSE)</f>
        <v>#REF!</v>
      </c>
      <c r="AQ209" s="189" t="e">
        <f t="shared" si="123"/>
        <v>#REF!</v>
      </c>
      <c r="AR209" s="189" t="e">
        <f>VLOOKUP(CLEAN(H209),#REF!,2,FALSE)</f>
        <v>#REF!</v>
      </c>
      <c r="AS209" s="189" t="e">
        <f>T209-AR209</f>
        <v>#REF!</v>
      </c>
      <c r="AT209" s="2" t="e">
        <f>VLOOKUP(H209,#REF!,13,FALSE)</f>
        <v>#REF!</v>
      </c>
      <c r="AU209" s="2" t="e">
        <f>VLOOKUP(H209,#REF!,13,FALSE)</f>
        <v>#REF!</v>
      </c>
      <c r="AV209" s="2" t="e">
        <f>VLOOKUP(H209,#REF!,13,FALSE)</f>
        <v>#REF!</v>
      </c>
      <c r="AW209" s="2" t="e">
        <f>VLOOKUP(H209,#REF!,13,FALSE)</f>
        <v>#REF!</v>
      </c>
      <c r="AX209" s="2" t="e">
        <f>VLOOKUP(H209,#REF!,9,FALSE)</f>
        <v>#REF!</v>
      </c>
      <c r="AZ209" s="189" t="e">
        <f>VLOOKUP(H209,#REF!,2,FALSE)</f>
        <v>#REF!</v>
      </c>
      <c r="BF209" s="189" t="e">
        <f>VLOOKUP(CLEAN(H209),#REF!,2,FALSE)</f>
        <v>#REF!</v>
      </c>
      <c r="BG209" s="189" t="e">
        <f>T209-BF209</f>
        <v>#REF!</v>
      </c>
      <c r="BO209" s="2" t="e">
        <f>VLOOKUP(H209,#REF!,13,FALSE)</f>
        <v>#REF!</v>
      </c>
      <c r="BP209" s="2" t="e">
        <f>VLOOKUP(H209,#REF!,2,FALSE)</f>
        <v>#REF!</v>
      </c>
      <c r="BQ209" s="2" t="e">
        <f>VLOOKUP(H209,#REF!,13,FALSE)</f>
        <v>#REF!</v>
      </c>
      <c r="BR209" s="2" t="e">
        <f>VLOOKUP(H209,#REF!,3,FALSE)</f>
        <v>#REF!</v>
      </c>
    </row>
    <row r="210" spans="1:70" s="2" customFormat="1" ht="15" customHeight="1" outlineLevel="2">
      <c r="A210" s="5">
        <v>31</v>
      </c>
      <c r="B210" s="5" t="s">
        <v>5</v>
      </c>
      <c r="C210" s="5" t="s">
        <v>241</v>
      </c>
      <c r="D210" s="5" t="s">
        <v>22</v>
      </c>
      <c r="E210" s="5" t="s">
        <v>71</v>
      </c>
      <c r="F210" s="5" t="s">
        <v>89</v>
      </c>
      <c r="G210" s="5" t="s">
        <v>144</v>
      </c>
      <c r="H210" s="12">
        <v>30084978</v>
      </c>
      <c r="I210" s="42" t="str">
        <f t="shared" si="119"/>
        <v>30084978-EJECUCION</v>
      </c>
      <c r="J210" s="12"/>
      <c r="K210" s="307" t="str">
        <f t="shared" si="120"/>
        <v>30084978</v>
      </c>
      <c r="L210" s="15" t="s">
        <v>452</v>
      </c>
      <c r="M210" s="23">
        <v>233740051</v>
      </c>
      <c r="N210" s="34">
        <v>217661768</v>
      </c>
      <c r="O210" s="34">
        <v>16078283</v>
      </c>
      <c r="P210" s="310">
        <v>0</v>
      </c>
      <c r="Q210" s="34">
        <v>0</v>
      </c>
      <c r="R210" s="308">
        <v>0</v>
      </c>
      <c r="S210" s="34">
        <f t="shared" si="121"/>
        <v>0</v>
      </c>
      <c r="T210" s="34">
        <v>0</v>
      </c>
      <c r="U210" s="34">
        <v>0</v>
      </c>
      <c r="V210" s="34">
        <f>P210+Q210+R210+T210+U210</f>
        <v>0</v>
      </c>
      <c r="W210" s="34">
        <f>O210-V210</f>
        <v>16078283</v>
      </c>
      <c r="X210" s="34">
        <f>M210-(N210+O210)</f>
        <v>0</v>
      </c>
      <c r="Y210" s="48" t="s">
        <v>239</v>
      </c>
      <c r="Z210" s="48" t="s">
        <v>8</v>
      </c>
      <c r="AA210" s="2" t="e">
        <v>#N/A</v>
      </c>
      <c r="AB210" s="2" t="e">
        <f>VLOOKUP(H210,#REF!,2,FALSE)</f>
        <v>#REF!</v>
      </c>
      <c r="AC210" s="2" t="e">
        <f>VLOOKUP(I210,#REF!,2,FALSE)</f>
        <v>#REF!</v>
      </c>
      <c r="AD210" s="2" t="e">
        <f>VLOOKUP(H210,#REF!,13,FALSE)</f>
        <v>#REF!</v>
      </c>
      <c r="AE210" s="2" t="e">
        <f>VLOOKUP(I210,#REF!,7,FALSE)</f>
        <v>#REF!</v>
      </c>
      <c r="AG210" s="2" t="e">
        <f>VLOOKUP(H210,#REF!,13,FALSE)</f>
        <v>#REF!</v>
      </c>
      <c r="AH210" s="2" t="e">
        <f>VLOOKUP(I210,#REF!,2,FALSE)</f>
        <v>#REF!</v>
      </c>
      <c r="AJ210" s="185" t="e">
        <f>VLOOKUP(H210,#REF!,3,FALSE)</f>
        <v>#REF!</v>
      </c>
      <c r="AK210" s="185"/>
      <c r="AL210" s="185" t="e">
        <f>VLOOKUP(H210,#REF!,13,FALSE)</f>
        <v>#REF!</v>
      </c>
      <c r="AM210" s="185" t="e">
        <f>VLOOKUP(CLEAN(H210),#REF!,7,FALSE)</f>
        <v>#REF!</v>
      </c>
      <c r="AN210" s="2" t="e">
        <f>VLOOKUP(H210,#REF!,8,FALSE)</f>
        <v>#REF!</v>
      </c>
      <c r="AO210" s="189" t="e">
        <f>VLOOKUP(H210,#REF!,2,FALSE)</f>
        <v>#REF!</v>
      </c>
      <c r="AP210" s="189" t="e">
        <f>VLOOKUP(H210,#REF!,2,FALSE)</f>
        <v>#REF!</v>
      </c>
      <c r="AQ210" s="189"/>
      <c r="AR210" s="2" t="e">
        <f>VLOOKUP(CLEAN(H210),#REF!,2,FALSE)</f>
        <v>#REF!</v>
      </c>
      <c r="AT210" s="2" t="e">
        <f>VLOOKUP(H210,#REF!,13,FALSE)</f>
        <v>#REF!</v>
      </c>
      <c r="AU210" s="2" t="e">
        <f>VLOOKUP(H210,#REF!,13,FALSE)</f>
        <v>#REF!</v>
      </c>
      <c r="AV210" s="2" t="e">
        <f>VLOOKUP(H210,#REF!,13,FALSE)</f>
        <v>#REF!</v>
      </c>
      <c r="AW210" s="2" t="e">
        <f>VLOOKUP(H210,#REF!,13,FALSE)</f>
        <v>#REF!</v>
      </c>
      <c r="AX210" s="2" t="e">
        <f>VLOOKUP(H210,#REF!,9,FALSE)</f>
        <v>#REF!</v>
      </c>
      <c r="AZ210" s="189" t="e">
        <f>VLOOKUP(H210,#REF!,2,FALSE)</f>
        <v>#REF!</v>
      </c>
      <c r="BF210" s="189" t="e">
        <f>VLOOKUP(CLEAN(H210),#REF!,2,FALSE)</f>
        <v>#REF!</v>
      </c>
      <c r="BG210" s="189" t="e">
        <f>T210-BF210</f>
        <v>#REF!</v>
      </c>
      <c r="BO210" s="2" t="e">
        <f>VLOOKUP(H210,#REF!,13,FALSE)</f>
        <v>#REF!</v>
      </c>
      <c r="BP210" s="2" t="e">
        <f>VLOOKUP(H210,#REF!,2,FALSE)</f>
        <v>#REF!</v>
      </c>
      <c r="BQ210" s="2" t="e">
        <f>VLOOKUP(H210,#REF!,13,FALSE)</f>
        <v>#REF!</v>
      </c>
      <c r="BR210" s="2" t="e">
        <f>VLOOKUP(H210,#REF!,3,FALSE)</f>
        <v>#REF!</v>
      </c>
    </row>
    <row r="211" spans="1:70" s="2" customFormat="1" ht="15" customHeight="1" outlineLevel="2">
      <c r="A211" s="5">
        <v>31</v>
      </c>
      <c r="B211" s="5" t="s">
        <v>5</v>
      </c>
      <c r="C211" s="5" t="s">
        <v>251</v>
      </c>
      <c r="D211" s="5" t="s">
        <v>22</v>
      </c>
      <c r="E211" s="5" t="s">
        <v>71</v>
      </c>
      <c r="F211" s="5" t="s">
        <v>457</v>
      </c>
      <c r="G211" s="5" t="s">
        <v>144</v>
      </c>
      <c r="H211" s="12">
        <v>30073367</v>
      </c>
      <c r="I211" s="42" t="str">
        <f t="shared" si="119"/>
        <v>30073367-EJECUCION</v>
      </c>
      <c r="J211" s="12"/>
      <c r="K211" s="307" t="str">
        <f t="shared" si="120"/>
        <v>30073367</v>
      </c>
      <c r="L211" s="15" t="s">
        <v>513</v>
      </c>
      <c r="M211" s="23">
        <v>428305415</v>
      </c>
      <c r="N211" s="34">
        <v>343624242</v>
      </c>
      <c r="O211" s="34">
        <v>63950650</v>
      </c>
      <c r="P211" s="310">
        <v>0</v>
      </c>
      <c r="Q211" s="34">
        <v>5597159</v>
      </c>
      <c r="R211" s="308">
        <v>4639291</v>
      </c>
      <c r="S211" s="34">
        <f t="shared" si="121"/>
        <v>10236450</v>
      </c>
      <c r="T211" s="34">
        <v>0</v>
      </c>
      <c r="U211" s="34">
        <v>0</v>
      </c>
      <c r="V211" s="34">
        <f>P211+Q211+R211+T211+U211</f>
        <v>10236450</v>
      </c>
      <c r="W211" s="34">
        <f>O211-V211</f>
        <v>53714200</v>
      </c>
      <c r="X211" s="34">
        <f>M211-(N211+O211)</f>
        <v>20730523</v>
      </c>
      <c r="Y211" s="48" t="s">
        <v>239</v>
      </c>
      <c r="Z211" s="48" t="s">
        <v>8</v>
      </c>
      <c r="AA211" s="2" t="s">
        <v>846</v>
      </c>
      <c r="AB211" s="2" t="e">
        <f>VLOOKUP(H211,#REF!,2,FALSE)</f>
        <v>#REF!</v>
      </c>
      <c r="AC211" s="2" t="e">
        <f>VLOOKUP(I211,#REF!,2,FALSE)</f>
        <v>#REF!</v>
      </c>
      <c r="AD211" s="2" t="e">
        <f>VLOOKUP(H211,#REF!,13,FALSE)</f>
        <v>#REF!</v>
      </c>
      <c r="AE211" s="2" t="e">
        <f>VLOOKUP(I211,#REF!,7,FALSE)</f>
        <v>#REF!</v>
      </c>
      <c r="AG211" s="2" t="e">
        <f>VLOOKUP(H211,#REF!,13,FALSE)</f>
        <v>#REF!</v>
      </c>
      <c r="AH211" s="2" t="e">
        <f>VLOOKUP(I211,#REF!,2,FALSE)</f>
        <v>#REF!</v>
      </c>
      <c r="AJ211" s="185" t="e">
        <f>VLOOKUP(H211,#REF!,3,FALSE)</f>
        <v>#REF!</v>
      </c>
      <c r="AK211" s="185"/>
      <c r="AL211" s="185" t="e">
        <f>VLOOKUP(H211,#REF!,13,FALSE)</f>
        <v>#REF!</v>
      </c>
      <c r="AM211" s="185" t="e">
        <f>VLOOKUP(CLEAN(H211),#REF!,7,FALSE)</f>
        <v>#REF!</v>
      </c>
      <c r="AN211" s="2" t="e">
        <f>VLOOKUP(H211,#REF!,8,FALSE)</f>
        <v>#REF!</v>
      </c>
      <c r="AO211" s="189" t="e">
        <f>VLOOKUP(H211,#REF!,2,FALSE)</f>
        <v>#REF!</v>
      </c>
      <c r="AP211" s="189" t="e">
        <f>VLOOKUP(H211,#REF!,2,FALSE)</f>
        <v>#REF!</v>
      </c>
      <c r="AQ211" s="189"/>
      <c r="AR211" s="2" t="e">
        <f>VLOOKUP(CLEAN(H211),#REF!,2,FALSE)</f>
        <v>#REF!</v>
      </c>
      <c r="AT211" s="2" t="e">
        <f>VLOOKUP(H211,#REF!,13,FALSE)</f>
        <v>#REF!</v>
      </c>
      <c r="AU211" s="2" t="e">
        <f>VLOOKUP(H211,#REF!,13,FALSE)</f>
        <v>#REF!</v>
      </c>
      <c r="AV211" s="2" t="e">
        <f>VLOOKUP(H211,#REF!,13,FALSE)</f>
        <v>#REF!</v>
      </c>
      <c r="AW211" s="2" t="e">
        <f>VLOOKUP(H211,#REF!,13,FALSE)</f>
        <v>#REF!</v>
      </c>
      <c r="AX211" s="2" t="e">
        <f>VLOOKUP(H211,#REF!,9,FALSE)</f>
        <v>#REF!</v>
      </c>
      <c r="AZ211" s="189" t="e">
        <f>VLOOKUP(H211,#REF!,2,FALSE)</f>
        <v>#REF!</v>
      </c>
      <c r="BF211" s="189" t="e">
        <f>VLOOKUP(CLEAN(H211),#REF!,2,FALSE)</f>
        <v>#REF!</v>
      </c>
      <c r="BG211" s="189" t="e">
        <f>T211-BF211</f>
        <v>#REF!</v>
      </c>
      <c r="BO211" s="2" t="e">
        <f>VLOOKUP(H211,#REF!,13,FALSE)</f>
        <v>#REF!</v>
      </c>
      <c r="BP211" s="2" t="e">
        <f>VLOOKUP(H211,#REF!,2,FALSE)</f>
        <v>#REF!</v>
      </c>
      <c r="BQ211" s="2" t="e">
        <f>VLOOKUP(H211,#REF!,13,FALSE)</f>
        <v>#REF!</v>
      </c>
      <c r="BR211" s="2" t="e">
        <f>VLOOKUP(H211,#REF!,3,FALSE)</f>
        <v>#REF!</v>
      </c>
    </row>
    <row r="212" spans="1:70" s="2" customFormat="1" ht="15" customHeight="1" outlineLevel="2">
      <c r="A212" s="5">
        <v>31</v>
      </c>
      <c r="B212" s="5" t="s">
        <v>5</v>
      </c>
      <c r="C212" s="5" t="s">
        <v>240</v>
      </c>
      <c r="D212" s="5" t="s">
        <v>22</v>
      </c>
      <c r="E212" s="5" t="s">
        <v>71</v>
      </c>
      <c r="F212" s="5" t="s">
        <v>457</v>
      </c>
      <c r="G212" s="5" t="s">
        <v>144</v>
      </c>
      <c r="H212" s="12">
        <v>20190549</v>
      </c>
      <c r="I212" s="42" t="str">
        <f t="shared" si="119"/>
        <v>20190549-EJECUCION</v>
      </c>
      <c r="J212" s="12"/>
      <c r="K212" s="307" t="str">
        <f t="shared" si="120"/>
        <v>20190549</v>
      </c>
      <c r="L212" s="15" t="s">
        <v>23</v>
      </c>
      <c r="M212" s="23">
        <v>3985138607</v>
      </c>
      <c r="N212" s="34">
        <v>3955473444</v>
      </c>
      <c r="O212" s="34">
        <v>29665163</v>
      </c>
      <c r="P212" s="310">
        <v>0</v>
      </c>
      <c r="Q212" s="34">
        <v>0</v>
      </c>
      <c r="R212" s="308">
        <v>0</v>
      </c>
      <c r="S212" s="34">
        <f t="shared" si="121"/>
        <v>0</v>
      </c>
      <c r="T212" s="34">
        <v>0</v>
      </c>
      <c r="U212" s="34">
        <v>0</v>
      </c>
      <c r="V212" s="34">
        <f>P212+Q212+R212+T212+U212</f>
        <v>0</v>
      </c>
      <c r="W212" s="34">
        <f>O212-V212</f>
        <v>29665163</v>
      </c>
      <c r="X212" s="34">
        <f>M212-(N212+O212)</f>
        <v>0</v>
      </c>
      <c r="Y212" s="48" t="s">
        <v>239</v>
      </c>
      <c r="Z212" s="48" t="s">
        <v>8</v>
      </c>
      <c r="AA212" s="2" t="s">
        <v>847</v>
      </c>
      <c r="AB212" s="2" t="e">
        <f>VLOOKUP(H212,#REF!,2,FALSE)</f>
        <v>#REF!</v>
      </c>
      <c r="AC212" s="2" t="e">
        <f>VLOOKUP(I212,#REF!,2,FALSE)</f>
        <v>#REF!</v>
      </c>
      <c r="AD212" s="2" t="e">
        <f>VLOOKUP(H212,#REF!,13,FALSE)</f>
        <v>#REF!</v>
      </c>
      <c r="AE212" s="2" t="e">
        <f>VLOOKUP(I212,#REF!,7,FALSE)</f>
        <v>#REF!</v>
      </c>
      <c r="AG212" s="2" t="e">
        <f>VLOOKUP(H212,#REF!,13,FALSE)</f>
        <v>#REF!</v>
      </c>
      <c r="AH212" s="2" t="e">
        <f>VLOOKUP(I212,#REF!,2,FALSE)</f>
        <v>#REF!</v>
      </c>
      <c r="AJ212" s="185" t="e">
        <f>VLOOKUP(H212,#REF!,3,FALSE)</f>
        <v>#REF!</v>
      </c>
      <c r="AK212" s="185"/>
      <c r="AL212" s="185" t="e">
        <f>VLOOKUP(H212,#REF!,13,FALSE)</f>
        <v>#REF!</v>
      </c>
      <c r="AM212" s="185" t="e">
        <f>VLOOKUP(CLEAN(H212),#REF!,7,FALSE)</f>
        <v>#REF!</v>
      </c>
      <c r="AN212" s="2" t="e">
        <f>VLOOKUP(H212,#REF!,8,FALSE)</f>
        <v>#REF!</v>
      </c>
      <c r="AO212" s="189" t="e">
        <f>VLOOKUP(H212,#REF!,2,FALSE)</f>
        <v>#REF!</v>
      </c>
      <c r="AP212" s="189" t="e">
        <f>VLOOKUP(H212,#REF!,2,FALSE)</f>
        <v>#REF!</v>
      </c>
      <c r="AQ212" s="189"/>
      <c r="AR212" s="2" t="e">
        <f>VLOOKUP(CLEAN(H212),#REF!,2,FALSE)</f>
        <v>#REF!</v>
      </c>
      <c r="AT212" s="2" t="e">
        <f>VLOOKUP(H212,#REF!,13,FALSE)</f>
        <v>#REF!</v>
      </c>
      <c r="AU212" s="2" t="e">
        <f>VLOOKUP(H212,#REF!,13,FALSE)</f>
        <v>#REF!</v>
      </c>
      <c r="AV212" s="2" t="e">
        <f>VLOOKUP(H212,#REF!,13,FALSE)</f>
        <v>#REF!</v>
      </c>
      <c r="AW212" s="2" t="e">
        <f>VLOOKUP(H212,#REF!,13,FALSE)</f>
        <v>#REF!</v>
      </c>
      <c r="AX212" s="2" t="e">
        <f>VLOOKUP(H212,#REF!,9,FALSE)</f>
        <v>#REF!</v>
      </c>
      <c r="AZ212" s="189" t="e">
        <f>VLOOKUP(H212,#REF!,2,FALSE)</f>
        <v>#REF!</v>
      </c>
      <c r="BF212" s="189" t="e">
        <f>VLOOKUP(CLEAN(H212),#REF!,2,FALSE)</f>
        <v>#REF!</v>
      </c>
      <c r="BG212" s="189" t="e">
        <f>T212-BF212</f>
        <v>#REF!</v>
      </c>
      <c r="BO212" s="2" t="e">
        <f>VLOOKUP(H212,#REF!,13,FALSE)</f>
        <v>#REF!</v>
      </c>
      <c r="BP212" s="2" t="e">
        <f>VLOOKUP(H212,#REF!,2,FALSE)</f>
        <v>#REF!</v>
      </c>
      <c r="BQ212" s="2" t="e">
        <f>VLOOKUP(H212,#REF!,13,FALSE)</f>
        <v>#REF!</v>
      </c>
      <c r="BR212" s="2" t="e">
        <f>VLOOKUP(H212,#REF!,3,FALSE)</f>
        <v>#REF!</v>
      </c>
    </row>
    <row r="213" spans="1:70" s="2" customFormat="1" ht="15" customHeight="1" outlineLevel="2">
      <c r="A213" s="5">
        <v>31</v>
      </c>
      <c r="B213" s="5" t="s">
        <v>5</v>
      </c>
      <c r="C213" s="5" t="s">
        <v>242</v>
      </c>
      <c r="D213" s="5" t="s">
        <v>22</v>
      </c>
      <c r="E213" s="5" t="s">
        <v>71</v>
      </c>
      <c r="F213" s="5" t="s">
        <v>89</v>
      </c>
      <c r="G213" s="5" t="s">
        <v>144</v>
      </c>
      <c r="H213" s="12">
        <v>30076941</v>
      </c>
      <c r="I213" s="42" t="str">
        <f t="shared" si="119"/>
        <v>30076941-EJECUCION</v>
      </c>
      <c r="J213" s="12"/>
      <c r="K213" s="307" t="str">
        <f t="shared" si="120"/>
        <v>30076941</v>
      </c>
      <c r="L213" s="15" t="s">
        <v>626</v>
      </c>
      <c r="M213" s="23">
        <v>1774352506</v>
      </c>
      <c r="N213" s="34">
        <v>1710357726</v>
      </c>
      <c r="O213" s="34">
        <f>M213-N213</f>
        <v>63994780</v>
      </c>
      <c r="P213" s="310">
        <v>0</v>
      </c>
      <c r="Q213" s="34">
        <v>0</v>
      </c>
      <c r="R213" s="308">
        <v>0</v>
      </c>
      <c r="S213" s="34">
        <f t="shared" si="121"/>
        <v>0</v>
      </c>
      <c r="T213" s="34">
        <v>0</v>
      </c>
      <c r="U213" s="34">
        <v>0</v>
      </c>
      <c r="V213" s="34">
        <f>P213+Q213+R213+T213+U213</f>
        <v>0</v>
      </c>
      <c r="W213" s="34">
        <f>O213-V213</f>
        <v>63994780</v>
      </c>
      <c r="X213" s="34">
        <f>M213-(N213+O213)</f>
        <v>0</v>
      </c>
      <c r="Y213" s="48" t="s">
        <v>239</v>
      </c>
      <c r="Z213" s="48" t="s">
        <v>8</v>
      </c>
      <c r="AA213" s="2" t="e">
        <v>#N/A</v>
      </c>
      <c r="AB213" s="2" t="e">
        <f>VLOOKUP(H213,#REF!,2,FALSE)</f>
        <v>#REF!</v>
      </c>
      <c r="AD213" s="2" t="e">
        <f>VLOOKUP(H213,#REF!,13,FALSE)</f>
        <v>#REF!</v>
      </c>
      <c r="AE213" s="177" t="e">
        <f>VLOOKUP(I213,#REF!,7,FALSE)</f>
        <v>#REF!</v>
      </c>
      <c r="AG213" s="2" t="e">
        <f>VLOOKUP(H213,#REF!,13,FALSE)</f>
        <v>#REF!</v>
      </c>
      <c r="AH213" s="2" t="e">
        <f>VLOOKUP(I213,#REF!,2,FALSE)</f>
        <v>#REF!</v>
      </c>
      <c r="AJ213" s="185" t="e">
        <f>VLOOKUP(H213,#REF!,3,FALSE)</f>
        <v>#REF!</v>
      </c>
      <c r="AK213" s="185"/>
      <c r="AL213" s="185" t="e">
        <f>VLOOKUP(H213,#REF!,13,FALSE)</f>
        <v>#REF!</v>
      </c>
      <c r="AM213" s="185" t="e">
        <f>VLOOKUP(CLEAN(H213),#REF!,7,FALSE)</f>
        <v>#REF!</v>
      </c>
      <c r="AN213" s="2" t="e">
        <f>VLOOKUP(H213,#REF!,8,FALSE)</f>
        <v>#REF!</v>
      </c>
      <c r="AO213" s="189" t="e">
        <f>VLOOKUP(H213,#REF!,2,FALSE)</f>
        <v>#REF!</v>
      </c>
      <c r="AP213" s="189" t="e">
        <f>VLOOKUP(H213,#REF!,2,FALSE)</f>
        <v>#REF!</v>
      </c>
      <c r="AQ213" s="189"/>
      <c r="AR213" s="2" t="e">
        <f>VLOOKUP(CLEAN(H213),#REF!,2,FALSE)</f>
        <v>#REF!</v>
      </c>
      <c r="AT213" s="2" t="e">
        <f>VLOOKUP(H213,#REF!,13,FALSE)</f>
        <v>#REF!</v>
      </c>
      <c r="AU213" s="2" t="e">
        <f>VLOOKUP(H213,#REF!,13,FALSE)</f>
        <v>#REF!</v>
      </c>
      <c r="AV213" s="2" t="e">
        <f>VLOOKUP(H213,#REF!,13,FALSE)</f>
        <v>#REF!</v>
      </c>
      <c r="AW213" s="2" t="e">
        <f>VLOOKUP(H213,#REF!,13,FALSE)</f>
        <v>#REF!</v>
      </c>
      <c r="AX213" s="2" t="e">
        <f>VLOOKUP(H213,#REF!,9,FALSE)</f>
        <v>#REF!</v>
      </c>
      <c r="AZ213" s="2" t="e">
        <f>VLOOKUP(H213,#REF!,2,FALSE)</f>
        <v>#REF!</v>
      </c>
      <c r="BF213" s="189" t="e">
        <f>VLOOKUP(CLEAN(H213),#REF!,2,FALSE)</f>
        <v>#REF!</v>
      </c>
      <c r="BG213" s="189" t="e">
        <f>T213-BF213</f>
        <v>#REF!</v>
      </c>
      <c r="BO213" s="2" t="e">
        <f>VLOOKUP(H213,#REF!,13,FALSE)</f>
        <v>#REF!</v>
      </c>
      <c r="BP213" s="2" t="e">
        <f>VLOOKUP(H213,#REF!,2,FALSE)</f>
        <v>#REF!</v>
      </c>
      <c r="BQ213" s="2" t="e">
        <f>VLOOKUP(H213,#REF!,13,FALSE)</f>
        <v>#REF!</v>
      </c>
      <c r="BR213" s="2" t="e">
        <f>VLOOKUP(H213,#REF!,3,FALSE)</f>
        <v>#REF!</v>
      </c>
    </row>
    <row r="214" spans="1:70" s="2" customFormat="1" ht="15" customHeight="1" outlineLevel="2">
      <c r="A214" s="5">
        <v>31</v>
      </c>
      <c r="B214" s="5" t="s">
        <v>54</v>
      </c>
      <c r="C214" s="5" t="s">
        <v>251</v>
      </c>
      <c r="D214" s="5" t="s">
        <v>22</v>
      </c>
      <c r="E214" s="5" t="s">
        <v>71</v>
      </c>
      <c r="F214" s="5" t="s">
        <v>13</v>
      </c>
      <c r="G214" s="5" t="s">
        <v>144</v>
      </c>
      <c r="H214" s="12">
        <v>30104476</v>
      </c>
      <c r="I214" s="42" t="str">
        <f t="shared" si="119"/>
        <v>30104476-EJECUCION</v>
      </c>
      <c r="J214" s="12"/>
      <c r="K214" s="307" t="str">
        <f t="shared" si="120"/>
        <v>30104476</v>
      </c>
      <c r="L214" s="15" t="s">
        <v>453</v>
      </c>
      <c r="M214" s="23">
        <v>1085187000</v>
      </c>
      <c r="N214" s="34">
        <v>2101000</v>
      </c>
      <c r="O214" s="34">
        <v>50000000</v>
      </c>
      <c r="P214" s="310">
        <v>0</v>
      </c>
      <c r="Q214" s="34">
        <v>0</v>
      </c>
      <c r="R214" s="308">
        <v>0</v>
      </c>
      <c r="S214" s="34">
        <f t="shared" si="121"/>
        <v>0</v>
      </c>
      <c r="T214" s="34">
        <v>0</v>
      </c>
      <c r="U214" s="34">
        <v>0</v>
      </c>
      <c r="V214" s="34">
        <f>P214+Q214+R214+T214+U214</f>
        <v>0</v>
      </c>
      <c r="W214" s="34">
        <f>O214-V214</f>
        <v>50000000</v>
      </c>
      <c r="X214" s="34">
        <f>M214-(N214+O214)</f>
        <v>1033086000</v>
      </c>
      <c r="Y214" s="48" t="s">
        <v>239</v>
      </c>
      <c r="Z214" s="48" t="s">
        <v>8</v>
      </c>
      <c r="AA214" s="2" t="s">
        <v>846</v>
      </c>
      <c r="AB214" s="2" t="e">
        <f>VLOOKUP(H214,#REF!,2,FALSE)</f>
        <v>#REF!</v>
      </c>
      <c r="AC214" s="2" t="e">
        <f>VLOOKUP(I214,#REF!,2,FALSE)</f>
        <v>#REF!</v>
      </c>
      <c r="AD214" s="2" t="e">
        <f>VLOOKUP(H214,#REF!,13,FALSE)</f>
        <v>#REF!</v>
      </c>
      <c r="AE214" s="2" t="e">
        <f>VLOOKUP(I214,#REF!,7,FALSE)</f>
        <v>#REF!</v>
      </c>
      <c r="AG214" s="2" t="e">
        <f>VLOOKUP(H214,#REF!,13,FALSE)</f>
        <v>#REF!</v>
      </c>
      <c r="AH214" s="2" t="e">
        <f>VLOOKUP(I214,#REF!,2,FALSE)</f>
        <v>#REF!</v>
      </c>
      <c r="AJ214" s="185" t="e">
        <f>VLOOKUP(H214,#REF!,3,FALSE)</f>
        <v>#REF!</v>
      </c>
      <c r="AK214" s="185"/>
      <c r="AL214" s="185" t="e">
        <f>VLOOKUP(H214,#REF!,13,FALSE)</f>
        <v>#REF!</v>
      </c>
      <c r="AM214" s="185" t="e">
        <f>VLOOKUP(CLEAN(H214),#REF!,7,FALSE)</f>
        <v>#REF!</v>
      </c>
      <c r="AN214" s="2" t="e">
        <f>VLOOKUP(H214,#REF!,8,FALSE)</f>
        <v>#REF!</v>
      </c>
      <c r="AO214" s="189" t="e">
        <f>VLOOKUP(H214,#REF!,2,FALSE)</f>
        <v>#REF!</v>
      </c>
      <c r="AP214" s="189" t="e">
        <f>VLOOKUP(H214,#REF!,2,FALSE)</f>
        <v>#REF!</v>
      </c>
      <c r="AQ214" s="189"/>
      <c r="AR214" s="2" t="e">
        <f>VLOOKUP(CLEAN(H214),#REF!,2,FALSE)</f>
        <v>#REF!</v>
      </c>
      <c r="AT214" s="2" t="e">
        <f>VLOOKUP(H214,#REF!,13,FALSE)</f>
        <v>#REF!</v>
      </c>
      <c r="AU214" s="2" t="e">
        <f>VLOOKUP(H214,#REF!,13,FALSE)</f>
        <v>#REF!</v>
      </c>
      <c r="AV214" s="2" t="e">
        <f>VLOOKUP(H214,#REF!,13,FALSE)</f>
        <v>#REF!</v>
      </c>
      <c r="AW214" s="2" t="e">
        <f>VLOOKUP(H214,#REF!,13,FALSE)</f>
        <v>#REF!</v>
      </c>
      <c r="AX214" s="2" t="e">
        <f>VLOOKUP(H214,#REF!,9,FALSE)</f>
        <v>#REF!</v>
      </c>
      <c r="AZ214" s="189" t="e">
        <f>VLOOKUP(H214,#REF!,2,FALSE)</f>
        <v>#REF!</v>
      </c>
      <c r="BF214" s="189" t="e">
        <f>VLOOKUP(CLEAN(H214),#REF!,2,FALSE)</f>
        <v>#REF!</v>
      </c>
      <c r="BG214" s="189" t="e">
        <f>T214-BF214</f>
        <v>#REF!</v>
      </c>
      <c r="BO214" s="2" t="e">
        <f>VLOOKUP(H214,#REF!,13,FALSE)</f>
        <v>#REF!</v>
      </c>
      <c r="BP214" s="2" t="e">
        <f>VLOOKUP(H214,#REF!,2,FALSE)</f>
        <v>#REF!</v>
      </c>
      <c r="BQ214" s="2" t="e">
        <f>VLOOKUP(H214,#REF!,13,FALSE)</f>
        <v>#REF!</v>
      </c>
      <c r="BR214" s="2" t="e">
        <f>VLOOKUP(H214,#REF!,3,FALSE)</f>
        <v>#REF!</v>
      </c>
    </row>
    <row r="215" spans="1:70" s="2" customFormat="1" ht="15" customHeight="1" outlineLevel="2">
      <c r="A215" s="5">
        <v>31</v>
      </c>
      <c r="B215" s="5" t="s">
        <v>5</v>
      </c>
      <c r="C215" s="5" t="s">
        <v>238</v>
      </c>
      <c r="D215" s="5" t="s">
        <v>22</v>
      </c>
      <c r="E215" s="5" t="s">
        <v>71</v>
      </c>
      <c r="F215" s="5" t="s">
        <v>6</v>
      </c>
      <c r="G215" s="5" t="s">
        <v>144</v>
      </c>
      <c r="H215" s="12">
        <v>30440174</v>
      </c>
      <c r="I215" s="42" t="str">
        <f t="shared" si="119"/>
        <v>30440174-EJECUCION</v>
      </c>
      <c r="J215" s="12"/>
      <c r="K215" s="307" t="str">
        <f t="shared" si="120"/>
        <v>30440174</v>
      </c>
      <c r="L215" s="15" t="s">
        <v>264</v>
      </c>
      <c r="M215" s="23">
        <v>425709000</v>
      </c>
      <c r="N215" s="34">
        <v>0</v>
      </c>
      <c r="O215" s="34">
        <v>396024193</v>
      </c>
      <c r="P215" s="310">
        <v>0</v>
      </c>
      <c r="Q215" s="34">
        <v>148195484</v>
      </c>
      <c r="R215" s="308">
        <v>102354097</v>
      </c>
      <c r="S215" s="34">
        <f t="shared" si="121"/>
        <v>250549581</v>
      </c>
      <c r="T215" s="34">
        <v>45639828</v>
      </c>
      <c r="U215" s="34">
        <v>36216879</v>
      </c>
      <c r="V215" s="34">
        <f>P215+Q215+R215+T215+U215</f>
        <v>332406288</v>
      </c>
      <c r="W215" s="34">
        <f>O215-V215</f>
        <v>63617905</v>
      </c>
      <c r="X215" s="34">
        <f>M215-(N215+O215)</f>
        <v>29684807</v>
      </c>
      <c r="Y215" s="48" t="s">
        <v>239</v>
      </c>
      <c r="Z215" s="48" t="s">
        <v>10</v>
      </c>
      <c r="AA215" s="2" t="s">
        <v>847</v>
      </c>
      <c r="AB215" s="2" t="e">
        <f>VLOOKUP(H215,#REF!,2,FALSE)</f>
        <v>#REF!</v>
      </c>
      <c r="AC215" s="2" t="e">
        <f>VLOOKUP(I215,#REF!,2,FALSE)</f>
        <v>#REF!</v>
      </c>
      <c r="AD215" s="2" t="e">
        <f>VLOOKUP(H215,#REF!,13,FALSE)</f>
        <v>#REF!</v>
      </c>
      <c r="AE215" s="2" t="e">
        <f>VLOOKUP(I215,#REF!,7,FALSE)</f>
        <v>#REF!</v>
      </c>
      <c r="AG215" s="2" t="e">
        <f>VLOOKUP(H215,#REF!,13,FALSE)</f>
        <v>#REF!</v>
      </c>
      <c r="AH215" s="2" t="e">
        <f>VLOOKUP(I215,#REF!,2,FALSE)</f>
        <v>#REF!</v>
      </c>
      <c r="AJ215" s="2" t="e">
        <f>VLOOKUP(H215,#REF!,3,FALSE)</f>
        <v>#REF!</v>
      </c>
      <c r="AL215" s="2" t="e">
        <f>VLOOKUP(H215,#REF!,13,FALSE)</f>
        <v>#REF!</v>
      </c>
      <c r="AM215" s="2" t="e">
        <f>VLOOKUP(CLEAN(H215),#REF!,7,FALSE)</f>
        <v>#REF!</v>
      </c>
      <c r="AN215" s="2" t="e">
        <f>VLOOKUP(H215,#REF!,8,FALSE)</f>
        <v>#REF!</v>
      </c>
      <c r="AO215" s="189" t="e">
        <f>VLOOKUP(H215,#REF!,2,FALSE)</f>
        <v>#REF!</v>
      </c>
      <c r="AP215" s="189" t="e">
        <f>VLOOKUP(H215,#REF!,2,FALSE)</f>
        <v>#REF!</v>
      </c>
      <c r="AQ215" s="189" t="e">
        <f>AO215-AP215</f>
        <v>#REF!</v>
      </c>
      <c r="AR215" s="2" t="e">
        <f>VLOOKUP(CLEAN(H215),#REF!,2,FALSE)</f>
        <v>#REF!</v>
      </c>
      <c r="AT215" s="2" t="e">
        <f>VLOOKUP(H215,#REF!,13,FALSE)</f>
        <v>#REF!</v>
      </c>
      <c r="AU215" s="2" t="e">
        <f>VLOOKUP(H215,#REF!,13,FALSE)</f>
        <v>#REF!</v>
      </c>
      <c r="AV215" s="2" t="e">
        <f>VLOOKUP(H215,#REF!,13,FALSE)</f>
        <v>#REF!</v>
      </c>
      <c r="AW215" s="2" t="e">
        <f>VLOOKUP(H215,#REF!,13,FALSE)</f>
        <v>#REF!</v>
      </c>
      <c r="AX215" s="2" t="e">
        <f>VLOOKUP(H215,#REF!,9,FALSE)</f>
        <v>#REF!</v>
      </c>
      <c r="AZ215" s="189" t="e">
        <f>VLOOKUP(H215,#REF!,2,FALSE)</f>
        <v>#REF!</v>
      </c>
      <c r="BF215" s="189" t="e">
        <f>VLOOKUP(CLEAN(H215),#REF!,2,FALSE)</f>
        <v>#REF!</v>
      </c>
      <c r="BG215" s="189" t="e">
        <f>T215-BF215</f>
        <v>#REF!</v>
      </c>
      <c r="BO215" s="2" t="e">
        <f>VLOOKUP(H215,#REF!,13,FALSE)</f>
        <v>#REF!</v>
      </c>
      <c r="BP215" s="2" t="e">
        <f>VLOOKUP(H215,#REF!,2,FALSE)</f>
        <v>#REF!</v>
      </c>
      <c r="BQ215" s="2" t="e">
        <f>VLOOKUP(H215,#REF!,13,FALSE)</f>
        <v>#REF!</v>
      </c>
      <c r="BR215" s="2" t="e">
        <f>VLOOKUP(H215,#REF!,3,FALSE)</f>
        <v>#REF!</v>
      </c>
    </row>
    <row r="216" spans="1:70" s="2" customFormat="1" ht="15" customHeight="1" outlineLevel="2">
      <c r="A216" s="5">
        <v>31</v>
      </c>
      <c r="B216" s="5" t="s">
        <v>5</v>
      </c>
      <c r="C216" s="5" t="s">
        <v>238</v>
      </c>
      <c r="D216" s="5" t="s">
        <v>22</v>
      </c>
      <c r="E216" s="5" t="s">
        <v>71</v>
      </c>
      <c r="F216" s="5" t="s">
        <v>457</v>
      </c>
      <c r="G216" s="5" t="s">
        <v>9</v>
      </c>
      <c r="H216" s="12">
        <v>30106468</v>
      </c>
      <c r="I216" s="42" t="str">
        <f t="shared" si="119"/>
        <v>30106468-DISEÑO</v>
      </c>
      <c r="J216" s="12"/>
      <c r="K216" s="307" t="str">
        <f t="shared" si="120"/>
        <v>30106468</v>
      </c>
      <c r="L216" s="15" t="s">
        <v>129</v>
      </c>
      <c r="M216" s="23">
        <v>117000000</v>
      </c>
      <c r="N216" s="34">
        <v>4200000</v>
      </c>
      <c r="O216" s="34">
        <f>112800000-250</f>
        <v>112799750</v>
      </c>
      <c r="P216" s="310">
        <v>9588000</v>
      </c>
      <c r="Q216" s="34">
        <v>0</v>
      </c>
      <c r="R216" s="308">
        <v>19176000</v>
      </c>
      <c r="S216" s="34">
        <f t="shared" si="121"/>
        <v>28764000</v>
      </c>
      <c r="T216" s="34">
        <v>0</v>
      </c>
      <c r="U216" s="34">
        <v>28764000</v>
      </c>
      <c r="V216" s="34">
        <f>P216+Q216+R216+T216+U216</f>
        <v>57528000</v>
      </c>
      <c r="W216" s="34">
        <f>O216-V216</f>
        <v>55271750</v>
      </c>
      <c r="X216" s="34">
        <f>M216-(N216+O216)</f>
        <v>250</v>
      </c>
      <c r="Y216" s="48" t="s">
        <v>239</v>
      </c>
      <c r="Z216" s="48" t="s">
        <v>8</v>
      </c>
      <c r="AA216" s="2" t="e">
        <v>#N/A</v>
      </c>
      <c r="AB216" s="2" t="e">
        <f>VLOOKUP(H216,#REF!,2,FALSE)</f>
        <v>#REF!</v>
      </c>
      <c r="AC216" s="2" t="e">
        <f>VLOOKUP(I216,#REF!,2,FALSE)</f>
        <v>#REF!</v>
      </c>
      <c r="AD216" s="2" t="e">
        <f>VLOOKUP(H216,#REF!,13,FALSE)</f>
        <v>#REF!</v>
      </c>
      <c r="AE216" s="2" t="e">
        <f>VLOOKUP(I216,#REF!,7,FALSE)</f>
        <v>#REF!</v>
      </c>
      <c r="AG216" s="2" t="e">
        <f>VLOOKUP(H216,#REF!,13,FALSE)</f>
        <v>#REF!</v>
      </c>
      <c r="AH216" s="2" t="e">
        <f>VLOOKUP(I216,#REF!,2,FALSE)</f>
        <v>#REF!</v>
      </c>
      <c r="AJ216" s="2" t="e">
        <f>VLOOKUP(H216,#REF!,3,FALSE)</f>
        <v>#REF!</v>
      </c>
      <c r="AL216" s="2" t="e">
        <f>VLOOKUP(H216,#REF!,13,FALSE)</f>
        <v>#REF!</v>
      </c>
      <c r="AM216" s="2" t="e">
        <f>VLOOKUP(CLEAN(H216),#REF!,7,FALSE)</f>
        <v>#REF!</v>
      </c>
      <c r="AN216" s="2" t="e">
        <f>VLOOKUP(H216,#REF!,8,FALSE)</f>
        <v>#REF!</v>
      </c>
      <c r="AO216" s="189" t="e">
        <f>VLOOKUP(H216,#REF!,2,FALSE)</f>
        <v>#REF!</v>
      </c>
      <c r="AP216" s="189" t="e">
        <f>VLOOKUP(H216,#REF!,2,FALSE)</f>
        <v>#REF!</v>
      </c>
      <c r="AQ216" s="189"/>
      <c r="AR216" s="2" t="e">
        <f>VLOOKUP(CLEAN(H216),#REF!,2,FALSE)</f>
        <v>#REF!</v>
      </c>
      <c r="AT216" s="2" t="e">
        <f>VLOOKUP(H216,#REF!,13,FALSE)</f>
        <v>#REF!</v>
      </c>
      <c r="AU216" s="2" t="e">
        <f>VLOOKUP(H216,#REF!,13,FALSE)</f>
        <v>#REF!</v>
      </c>
      <c r="AV216" s="2" t="e">
        <f>VLOOKUP(H216,#REF!,13,FALSE)</f>
        <v>#REF!</v>
      </c>
      <c r="AW216" s="2" t="e">
        <f>VLOOKUP(H216,#REF!,13,FALSE)</f>
        <v>#REF!</v>
      </c>
      <c r="AX216" s="2" t="e">
        <f>VLOOKUP(H216,#REF!,9,FALSE)</f>
        <v>#REF!</v>
      </c>
      <c r="AZ216" s="189" t="e">
        <f>VLOOKUP(H216,#REF!,2,FALSE)</f>
        <v>#REF!</v>
      </c>
      <c r="BF216" s="189" t="e">
        <f>VLOOKUP(CLEAN(H216),#REF!,2,FALSE)</f>
        <v>#REF!</v>
      </c>
      <c r="BG216" s="189" t="e">
        <f>T216-BF216</f>
        <v>#REF!</v>
      </c>
      <c r="BO216" s="2" t="e">
        <f>VLOOKUP(H216,#REF!,13,FALSE)</f>
        <v>#REF!</v>
      </c>
      <c r="BP216" s="2" t="e">
        <f>VLOOKUP(H216,#REF!,2,FALSE)</f>
        <v>#REF!</v>
      </c>
      <c r="BQ216" s="2" t="e">
        <f>VLOOKUP(H216,#REF!,13,FALSE)</f>
        <v>#REF!</v>
      </c>
      <c r="BR216" s="2" t="e">
        <f>VLOOKUP(H216,#REF!,3,FALSE)</f>
        <v>#REF!</v>
      </c>
    </row>
    <row r="217" spans="1:70" s="2" customFormat="1" ht="15" customHeight="1" outlineLevel="2">
      <c r="A217" s="5">
        <v>31</v>
      </c>
      <c r="B217" s="5" t="s">
        <v>11</v>
      </c>
      <c r="C217" s="5" t="s">
        <v>240</v>
      </c>
      <c r="D217" s="5" t="s">
        <v>22</v>
      </c>
      <c r="E217" s="5" t="s">
        <v>71</v>
      </c>
      <c r="F217" s="5" t="s">
        <v>457</v>
      </c>
      <c r="G217" s="5" t="s">
        <v>9</v>
      </c>
      <c r="H217" s="12">
        <v>30080729</v>
      </c>
      <c r="I217" s="42" t="str">
        <f t="shared" si="119"/>
        <v>30080729-DISEÑO</v>
      </c>
      <c r="J217" s="12" t="s">
        <v>724</v>
      </c>
      <c r="K217" s="307" t="str">
        <f t="shared" si="120"/>
        <v>30080729</v>
      </c>
      <c r="L217" s="15" t="s">
        <v>690</v>
      </c>
      <c r="M217" s="23">
        <v>1438056000</v>
      </c>
      <c r="N217" s="34">
        <v>0</v>
      </c>
      <c r="O217" s="34">
        <v>65117250</v>
      </c>
      <c r="P217" s="310">
        <v>0</v>
      </c>
      <c r="Q217" s="34">
        <v>0</v>
      </c>
      <c r="R217" s="308">
        <v>0</v>
      </c>
      <c r="S217" s="34">
        <f t="shared" si="121"/>
        <v>0</v>
      </c>
      <c r="T217" s="34">
        <v>28576250</v>
      </c>
      <c r="U217" s="34">
        <v>0</v>
      </c>
      <c r="V217" s="34">
        <f>P217+Q217+R217+T217+U217</f>
        <v>28576250</v>
      </c>
      <c r="W217" s="34">
        <f>O217-V217</f>
        <v>36541000</v>
      </c>
      <c r="X217" s="34">
        <f>M217-(N217+O217)</f>
        <v>1372938750</v>
      </c>
      <c r="Y217" s="48" t="s">
        <v>239</v>
      </c>
      <c r="Z217" s="48" t="s">
        <v>8</v>
      </c>
      <c r="AA217" s="2" t="s">
        <v>847</v>
      </c>
      <c r="AB217" s="2" t="e">
        <f>VLOOKUP(H217,#REF!,2,FALSE)</f>
        <v>#REF!</v>
      </c>
      <c r="AN217" s="2" t="e">
        <f>VLOOKUP(H217,#REF!,8,FALSE)</f>
        <v>#REF!</v>
      </c>
      <c r="AO217" s="189" t="e">
        <f>VLOOKUP(H217,#REF!,2,FALSE)</f>
        <v>#REF!</v>
      </c>
      <c r="AP217" s="189" t="e">
        <f>VLOOKUP(H217,#REF!,2,FALSE)</f>
        <v>#REF!</v>
      </c>
      <c r="AQ217" s="189" t="e">
        <f t="shared" ref="AQ217" si="124">AO217-AP217</f>
        <v>#REF!</v>
      </c>
      <c r="AR217" s="189" t="e">
        <f>VLOOKUP(CLEAN(H217),#REF!,2,FALSE)</f>
        <v>#REF!</v>
      </c>
      <c r="AS217" s="189" t="e">
        <f>T217-AR217</f>
        <v>#REF!</v>
      </c>
      <c r="AT217" s="2" t="e">
        <f>VLOOKUP(H217,#REF!,13,FALSE)</f>
        <v>#REF!</v>
      </c>
      <c r="AU217" s="2" t="e">
        <f>VLOOKUP(H217,#REF!,13,FALSE)</f>
        <v>#REF!</v>
      </c>
      <c r="AV217" s="2" t="e">
        <f>VLOOKUP(H217,#REF!,13,FALSE)</f>
        <v>#REF!</v>
      </c>
      <c r="AW217" s="2" t="e">
        <f>VLOOKUP(H217,#REF!,13,FALSE)</f>
        <v>#REF!</v>
      </c>
      <c r="AX217" s="2" t="e">
        <f>VLOOKUP(H217,#REF!,9,FALSE)</f>
        <v>#REF!</v>
      </c>
      <c r="AZ217" s="189" t="e">
        <f>VLOOKUP(H217,#REF!,2,FALSE)</f>
        <v>#REF!</v>
      </c>
      <c r="BF217" s="189" t="e">
        <f>VLOOKUP(CLEAN(H217),#REF!,2,FALSE)</f>
        <v>#REF!</v>
      </c>
      <c r="BG217" s="189" t="e">
        <f>T217-BF217</f>
        <v>#REF!</v>
      </c>
      <c r="BO217" s="2" t="e">
        <f>VLOOKUP(H217,#REF!,13,FALSE)</f>
        <v>#REF!</v>
      </c>
      <c r="BP217" s="2" t="e">
        <f>VLOOKUP(H217,#REF!,2,FALSE)</f>
        <v>#REF!</v>
      </c>
      <c r="BQ217" s="2" t="e">
        <f>VLOOKUP(H217,#REF!,13,FALSE)</f>
        <v>#REF!</v>
      </c>
      <c r="BR217" s="2" t="e">
        <f>VLOOKUP(H217,#REF!,3,FALSE)</f>
        <v>#REF!</v>
      </c>
    </row>
    <row r="218" spans="1:70" s="2" customFormat="1" ht="15" customHeight="1" outlineLevel="2">
      <c r="A218" s="5">
        <v>29</v>
      </c>
      <c r="B218" s="5" t="s">
        <v>54</v>
      </c>
      <c r="C218" s="5" t="s">
        <v>240</v>
      </c>
      <c r="D218" s="5" t="s">
        <v>22</v>
      </c>
      <c r="E218" s="5" t="s">
        <v>71</v>
      </c>
      <c r="F218" s="5" t="s">
        <v>457</v>
      </c>
      <c r="G218" s="5" t="s">
        <v>144</v>
      </c>
      <c r="H218" s="12">
        <v>40000194</v>
      </c>
      <c r="I218" s="42" t="str">
        <f t="shared" si="119"/>
        <v>40000194-EJECUCION</v>
      </c>
      <c r="J218" s="12"/>
      <c r="K218" s="307" t="str">
        <f t="shared" si="120"/>
        <v>40000194</v>
      </c>
      <c r="L218" s="15" t="s">
        <v>493</v>
      </c>
      <c r="M218" s="23">
        <v>1039322000</v>
      </c>
      <c r="N218" s="34">
        <v>28247017</v>
      </c>
      <c r="O218" s="34">
        <f>1011074983-63994780</f>
        <v>947080203</v>
      </c>
      <c r="P218" s="310">
        <v>0</v>
      </c>
      <c r="Q218" s="34">
        <v>0</v>
      </c>
      <c r="R218" s="308">
        <v>9936055</v>
      </c>
      <c r="S218" s="34">
        <f t="shared" si="121"/>
        <v>9936055</v>
      </c>
      <c r="T218" s="34">
        <v>41618281</v>
      </c>
      <c r="U218" s="34">
        <v>9773327</v>
      </c>
      <c r="V218" s="34">
        <f>P218+Q218+R218+T218+U218</f>
        <v>61327663</v>
      </c>
      <c r="W218" s="34">
        <f>O218-V218</f>
        <v>885752540</v>
      </c>
      <c r="X218" s="34">
        <f>M218-(N218+O218)</f>
        <v>63994780</v>
      </c>
      <c r="Y218" s="48" t="s">
        <v>239</v>
      </c>
      <c r="Z218" s="48" t="s">
        <v>10</v>
      </c>
      <c r="AA218" s="2" t="s">
        <v>846</v>
      </c>
      <c r="AB218" s="2" t="e">
        <f>VLOOKUP(H218,#REF!,2,FALSE)</f>
        <v>#REF!</v>
      </c>
      <c r="AC218" s="2" t="e">
        <f>VLOOKUP(I218,#REF!,2,FALSE)</f>
        <v>#REF!</v>
      </c>
      <c r="AD218" s="2" t="e">
        <f>VLOOKUP(H218,#REF!,13,FALSE)</f>
        <v>#REF!</v>
      </c>
      <c r="AE218" s="2" t="e">
        <f>VLOOKUP(I218,#REF!,7,FALSE)</f>
        <v>#REF!</v>
      </c>
      <c r="AG218" s="2" t="e">
        <f>VLOOKUP(H218,#REF!,13,FALSE)</f>
        <v>#REF!</v>
      </c>
      <c r="AH218" s="2" t="e">
        <f>VLOOKUP(I218,#REF!,2,FALSE)</f>
        <v>#REF!</v>
      </c>
      <c r="AJ218" s="2" t="e">
        <f>VLOOKUP(H218,#REF!,3,FALSE)</f>
        <v>#REF!</v>
      </c>
      <c r="AL218" s="2" t="e">
        <f>VLOOKUP(H218,#REF!,13,FALSE)</f>
        <v>#REF!</v>
      </c>
      <c r="AM218" s="2" t="e">
        <f>VLOOKUP(CLEAN(H218),#REF!,7,FALSE)</f>
        <v>#REF!</v>
      </c>
      <c r="AN218" s="2" t="e">
        <f>VLOOKUP(H218,#REF!,8,FALSE)</f>
        <v>#REF!</v>
      </c>
      <c r="AO218" s="189" t="e">
        <f>VLOOKUP(H218,#REF!,2,FALSE)</f>
        <v>#REF!</v>
      </c>
      <c r="AP218" s="189" t="e">
        <f>VLOOKUP(H218,#REF!,2,FALSE)</f>
        <v>#REF!</v>
      </c>
      <c r="AQ218" s="189" t="e">
        <f>AO218-AP218</f>
        <v>#REF!</v>
      </c>
      <c r="AR218" s="189" t="e">
        <f>VLOOKUP(CLEAN(H218),#REF!,2,FALSE)</f>
        <v>#REF!</v>
      </c>
      <c r="AS218" s="189" t="e">
        <f>T218-AR218</f>
        <v>#REF!</v>
      </c>
      <c r="AT218" s="2" t="e">
        <f>VLOOKUP(H218,#REF!,13,FALSE)</f>
        <v>#REF!</v>
      </c>
      <c r="AU218" s="2" t="e">
        <f>VLOOKUP(H218,#REF!,13,FALSE)</f>
        <v>#REF!</v>
      </c>
      <c r="AV218" s="2" t="e">
        <f>VLOOKUP(H218,#REF!,13,FALSE)</f>
        <v>#REF!</v>
      </c>
      <c r="AW218" s="2" t="e">
        <f>VLOOKUP(H218,#REF!,13,FALSE)</f>
        <v>#REF!</v>
      </c>
      <c r="AX218" s="2" t="e">
        <f>VLOOKUP(H218,#REF!,9,FALSE)</f>
        <v>#REF!</v>
      </c>
      <c r="AZ218" s="189" t="e">
        <f>VLOOKUP(H218,#REF!,2,FALSE)</f>
        <v>#REF!</v>
      </c>
      <c r="BF218" s="189" t="e">
        <f>VLOOKUP(CLEAN(H218),#REF!,2,FALSE)</f>
        <v>#REF!</v>
      </c>
      <c r="BG218" s="189" t="e">
        <f>T218-BF218</f>
        <v>#REF!</v>
      </c>
      <c r="BO218" s="2" t="e">
        <f>VLOOKUP(H218,#REF!,13,FALSE)</f>
        <v>#REF!</v>
      </c>
      <c r="BP218" s="2" t="e">
        <f>VLOOKUP(H218,#REF!,2,FALSE)</f>
        <v>#REF!</v>
      </c>
      <c r="BQ218" s="2" t="e">
        <f>VLOOKUP(H218,#REF!,13,FALSE)</f>
        <v>#REF!</v>
      </c>
      <c r="BR218" s="2" t="e">
        <f>VLOOKUP(H218,#REF!,3,FALSE)</f>
        <v>#REF!</v>
      </c>
    </row>
    <row r="219" spans="1:70" s="2" customFormat="1" ht="15" customHeight="1" outlineLevel="2">
      <c r="A219" s="5">
        <v>29</v>
      </c>
      <c r="B219" s="5" t="s">
        <v>54</v>
      </c>
      <c r="C219" s="5" t="s">
        <v>251</v>
      </c>
      <c r="D219" s="5" t="s">
        <v>22</v>
      </c>
      <c r="E219" s="5" t="s">
        <v>71</v>
      </c>
      <c r="F219" s="5" t="s">
        <v>13</v>
      </c>
      <c r="G219" s="5" t="s">
        <v>144</v>
      </c>
      <c r="H219" s="12">
        <v>30481457</v>
      </c>
      <c r="I219" s="42" t="str">
        <f t="shared" si="119"/>
        <v>30481457-EJECUCION</v>
      </c>
      <c r="J219" s="12"/>
      <c r="K219" s="307" t="str">
        <f t="shared" si="120"/>
        <v>30481457</v>
      </c>
      <c r="L219" s="15" t="s">
        <v>265</v>
      </c>
      <c r="M219" s="23">
        <v>471072000</v>
      </c>
      <c r="N219" s="34">
        <v>0</v>
      </c>
      <c r="O219" s="34">
        <v>471072000</v>
      </c>
      <c r="P219" s="310">
        <v>0</v>
      </c>
      <c r="Q219" s="34">
        <v>0</v>
      </c>
      <c r="R219" s="308">
        <v>0</v>
      </c>
      <c r="S219" s="34">
        <f t="shared" si="121"/>
        <v>0</v>
      </c>
      <c r="T219" s="34">
        <v>0</v>
      </c>
      <c r="U219" s="34">
        <v>470645000</v>
      </c>
      <c r="V219" s="34">
        <f>P219+Q219+R219+T219+U219</f>
        <v>470645000</v>
      </c>
      <c r="W219" s="34">
        <f>O219-V219</f>
        <v>427000</v>
      </c>
      <c r="X219" s="34">
        <f>M219-(N219+O219)</f>
        <v>0</v>
      </c>
      <c r="Y219" s="48" t="s">
        <v>239</v>
      </c>
      <c r="Z219" s="48" t="s">
        <v>10</v>
      </c>
      <c r="AA219" s="2" t="e">
        <v>#N/A</v>
      </c>
      <c r="AB219" s="2" t="e">
        <f>VLOOKUP(H219,#REF!,2,FALSE)</f>
        <v>#REF!</v>
      </c>
      <c r="AC219" s="2" t="e">
        <f>VLOOKUP(I219,#REF!,2,FALSE)</f>
        <v>#REF!</v>
      </c>
      <c r="AD219" s="2" t="e">
        <f>VLOOKUP(H219,#REF!,13,FALSE)</f>
        <v>#REF!</v>
      </c>
      <c r="AE219" s="2" t="e">
        <f>VLOOKUP(I219,#REF!,7,FALSE)</f>
        <v>#REF!</v>
      </c>
      <c r="AG219" s="2" t="e">
        <f>VLOOKUP(H219,#REF!,13,FALSE)</f>
        <v>#REF!</v>
      </c>
      <c r="AH219" s="2" t="e">
        <f>VLOOKUP(I219,#REF!,2,FALSE)</f>
        <v>#REF!</v>
      </c>
      <c r="AJ219" s="2" t="e">
        <f>VLOOKUP(H219,#REF!,3,FALSE)</f>
        <v>#REF!</v>
      </c>
      <c r="AL219" s="2" t="e">
        <f>VLOOKUP(H219,#REF!,13,FALSE)</f>
        <v>#REF!</v>
      </c>
      <c r="AM219" s="2" t="e">
        <f>VLOOKUP(CLEAN(H219),#REF!,7,FALSE)</f>
        <v>#REF!</v>
      </c>
      <c r="AN219" s="2" t="e">
        <f>VLOOKUP(H219,#REF!,8,FALSE)</f>
        <v>#REF!</v>
      </c>
      <c r="AO219" s="189" t="e">
        <f>VLOOKUP(H219,#REF!,2,FALSE)</f>
        <v>#REF!</v>
      </c>
      <c r="AP219" s="189" t="e">
        <f>VLOOKUP(H219,#REF!,2,FALSE)</f>
        <v>#REF!</v>
      </c>
      <c r="AQ219" s="189"/>
      <c r="AR219" s="2" t="e">
        <f>VLOOKUP(CLEAN(H219),#REF!,2,FALSE)</f>
        <v>#REF!</v>
      </c>
      <c r="AT219" s="2" t="e">
        <f>VLOOKUP(H219,#REF!,13,FALSE)</f>
        <v>#REF!</v>
      </c>
      <c r="AU219" s="2" t="e">
        <f>VLOOKUP(H219,#REF!,13,FALSE)</f>
        <v>#REF!</v>
      </c>
      <c r="AV219" s="2" t="e">
        <f>VLOOKUP(H219,#REF!,13,FALSE)</f>
        <v>#REF!</v>
      </c>
      <c r="AW219" s="2" t="e">
        <f>VLOOKUP(H219,#REF!,13,FALSE)</f>
        <v>#REF!</v>
      </c>
      <c r="AX219" s="2" t="e">
        <f>VLOOKUP(H219,#REF!,9,FALSE)</f>
        <v>#REF!</v>
      </c>
      <c r="AZ219" s="189" t="e">
        <f>VLOOKUP(H219,#REF!,2,FALSE)</f>
        <v>#REF!</v>
      </c>
      <c r="BF219" s="189" t="e">
        <f>VLOOKUP(CLEAN(H219),#REF!,2,FALSE)</f>
        <v>#REF!</v>
      </c>
      <c r="BG219" s="189" t="e">
        <f>T219-BF219</f>
        <v>#REF!</v>
      </c>
      <c r="BO219" s="2" t="e">
        <f>VLOOKUP(H219,#REF!,13,FALSE)</f>
        <v>#REF!</v>
      </c>
      <c r="BP219" s="2" t="e">
        <f>VLOOKUP(H219,#REF!,2,FALSE)</f>
        <v>#REF!</v>
      </c>
      <c r="BQ219" s="2" t="e">
        <f>VLOOKUP(H219,#REF!,13,FALSE)</f>
        <v>#REF!</v>
      </c>
      <c r="BR219" s="2" t="e">
        <f>VLOOKUP(H219,#REF!,3,FALSE)</f>
        <v>#REF!</v>
      </c>
    </row>
    <row r="220" spans="1:70" ht="15" customHeight="1" outlineLevel="2">
      <c r="A220" s="7"/>
      <c r="B220" s="7"/>
      <c r="C220" s="7"/>
      <c r="D220" s="7"/>
      <c r="E220" s="7"/>
      <c r="F220" s="7"/>
      <c r="G220" s="7"/>
      <c r="H220" s="11"/>
      <c r="I220" s="11"/>
      <c r="J220" s="11"/>
      <c r="K220" s="11"/>
      <c r="L220" s="17" t="s">
        <v>691</v>
      </c>
      <c r="M220" s="27">
        <f t="shared" ref="M220:X220" si="125">SUBTOTAL(9,M203:M219)</f>
        <v>24515837769</v>
      </c>
      <c r="N220" s="27">
        <f t="shared" si="125"/>
        <v>18672024248</v>
      </c>
      <c r="O220" s="27">
        <f t="shared" si="125"/>
        <v>3017526413</v>
      </c>
      <c r="P220" s="24">
        <f t="shared" si="125"/>
        <v>13163116</v>
      </c>
      <c r="Q220" s="24">
        <f t="shared" si="125"/>
        <v>157367759</v>
      </c>
      <c r="R220" s="24">
        <f t="shared" si="125"/>
        <v>175986453</v>
      </c>
      <c r="S220" s="27">
        <f t="shared" si="125"/>
        <v>346517328</v>
      </c>
      <c r="T220" s="27">
        <f t="shared" si="125"/>
        <v>181290316</v>
      </c>
      <c r="U220" s="27">
        <f t="shared" si="125"/>
        <v>621924294</v>
      </c>
      <c r="V220" s="27">
        <f t="shared" si="125"/>
        <v>1149731938</v>
      </c>
      <c r="W220" s="27">
        <f t="shared" si="125"/>
        <v>1867794475</v>
      </c>
      <c r="X220" s="27">
        <f t="shared" si="125"/>
        <v>2826287108</v>
      </c>
      <c r="Y220" s="47"/>
      <c r="Z220" s="47"/>
      <c r="AM220" s="185" t="e">
        <f>VLOOKUP(CLEAN(H220),#REF!,7,FALSE)</f>
        <v>#REF!</v>
      </c>
      <c r="AO220"/>
      <c r="AP220"/>
      <c r="AQ220"/>
      <c r="AR220" s="2" t="e">
        <f>VLOOKUP(CLEAN(H220),#REF!,2,FALSE)</f>
        <v>#REF!</v>
      </c>
      <c r="AZ220" s="2" t="e">
        <f>VLOOKUP(H220,#REF!,2,FALSE)</f>
        <v>#REF!</v>
      </c>
      <c r="BO220" s="2" t="e">
        <f>VLOOKUP(H220,#REF!,13,FALSE)</f>
        <v>#REF!</v>
      </c>
      <c r="BQ220" s="2" t="e">
        <f>VLOOKUP(H220,#REF!,13,FALSE)</f>
        <v>#REF!</v>
      </c>
    </row>
    <row r="221" spans="1:70" ht="15" customHeight="1" outlineLevel="2">
      <c r="A221" s="7"/>
      <c r="B221" s="7"/>
      <c r="C221" s="7"/>
      <c r="D221" s="7"/>
      <c r="E221" s="7"/>
      <c r="F221" s="7"/>
      <c r="G221" s="7"/>
      <c r="H221" s="11"/>
      <c r="I221" s="11"/>
      <c r="J221" s="11"/>
      <c r="K221" s="11"/>
      <c r="L221" s="292"/>
      <c r="M221" s="22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47"/>
      <c r="Z221" s="47"/>
      <c r="AM221" s="185" t="e">
        <f>VLOOKUP(CLEAN(H221),#REF!,7,FALSE)</f>
        <v>#REF!</v>
      </c>
      <c r="AO221"/>
      <c r="AP221"/>
      <c r="AQ221"/>
      <c r="AR221" s="2" t="e">
        <f>VLOOKUP(CLEAN(H221),#REF!,2,FALSE)</f>
        <v>#REF!</v>
      </c>
      <c r="AZ221" s="2" t="e">
        <f>VLOOKUP(H221,#REF!,2,FALSE)</f>
        <v>#REF!</v>
      </c>
      <c r="BO221" s="2" t="e">
        <f>VLOOKUP(H221,#REF!,13,FALSE)</f>
        <v>#REF!</v>
      </c>
      <c r="BP221" s="293"/>
      <c r="BQ221" s="2" t="e">
        <f>VLOOKUP(H221,#REF!,13,FALSE)</f>
        <v>#REF!</v>
      </c>
    </row>
    <row r="222" spans="1:70" ht="15" customHeight="1" outlineLevel="2">
      <c r="A222" s="7"/>
      <c r="B222" s="7"/>
      <c r="C222" s="7"/>
      <c r="D222" s="7"/>
      <c r="E222" s="7"/>
      <c r="F222" s="7"/>
      <c r="G222" s="7"/>
      <c r="H222" s="11"/>
      <c r="I222" s="11"/>
      <c r="J222" s="11"/>
      <c r="K222" s="11"/>
      <c r="L222" s="18" t="s">
        <v>697</v>
      </c>
      <c r="M222" s="22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47"/>
      <c r="Z222" s="47"/>
      <c r="AO222"/>
      <c r="AP222"/>
      <c r="AQ222"/>
      <c r="AR222" s="2" t="e">
        <f>VLOOKUP(CLEAN(H222),#REF!,2,FALSE)</f>
        <v>#REF!</v>
      </c>
      <c r="AZ222" s="2" t="e">
        <f>VLOOKUP(H222,#REF!,2,FALSE)</f>
        <v>#REF!</v>
      </c>
      <c r="BO222" s="2" t="e">
        <f>VLOOKUP(H222,#REF!,13,FALSE)</f>
        <v>#REF!</v>
      </c>
      <c r="BQ222" s="2" t="e">
        <f>VLOOKUP(H222,#REF!,13,FALSE)</f>
        <v>#REF!</v>
      </c>
    </row>
    <row r="223" spans="1:70" s="2" customFormat="1" ht="15" customHeight="1" outlineLevel="2">
      <c r="A223" s="5">
        <v>31</v>
      </c>
      <c r="B223" s="5" t="s">
        <v>5</v>
      </c>
      <c r="C223" s="5" t="s">
        <v>248</v>
      </c>
      <c r="D223" s="5" t="s">
        <v>22</v>
      </c>
      <c r="E223" s="5" t="s">
        <v>71</v>
      </c>
      <c r="F223" s="5" t="s">
        <v>457</v>
      </c>
      <c r="G223" s="5" t="s">
        <v>144</v>
      </c>
      <c r="H223" s="12">
        <v>30388872</v>
      </c>
      <c r="I223" s="42" t="str">
        <f t="shared" ref="I223:I224" si="126">CONCATENATE(H223,"-",G223)</f>
        <v>30388872-EJECUCION</v>
      </c>
      <c r="J223" s="12"/>
      <c r="K223" s="307" t="str">
        <f t="shared" ref="K223:K224" si="127">CLEAN(H223)</f>
        <v>30388872</v>
      </c>
      <c r="L223" s="15" t="s">
        <v>126</v>
      </c>
      <c r="M223" s="23">
        <f>244155478+9</f>
        <v>244155487</v>
      </c>
      <c r="N223" s="34">
        <v>220680329</v>
      </c>
      <c r="O223" s="34">
        <f>23475149+9</f>
        <v>23475158</v>
      </c>
      <c r="P223" s="310">
        <v>0</v>
      </c>
      <c r="Q223" s="34">
        <v>23475158</v>
      </c>
      <c r="R223" s="308">
        <v>0</v>
      </c>
      <c r="S223" s="34">
        <f t="shared" ref="S223:S224" si="128">P223+Q223+R223</f>
        <v>23475158</v>
      </c>
      <c r="T223" s="34">
        <v>0</v>
      </c>
      <c r="U223" s="34">
        <v>0</v>
      </c>
      <c r="V223" s="34">
        <f>P223+Q223+R223+T223+U223</f>
        <v>23475158</v>
      </c>
      <c r="W223" s="34">
        <f>O223-V223</f>
        <v>0</v>
      </c>
      <c r="X223" s="34">
        <f>M223-(N223+O223)</f>
        <v>0</v>
      </c>
      <c r="Y223" s="48" t="s">
        <v>460</v>
      </c>
      <c r="Z223" s="48" t="s">
        <v>8</v>
      </c>
      <c r="AA223" s="2" t="s">
        <v>847</v>
      </c>
      <c r="AB223" s="2" t="e">
        <f>VLOOKUP(H223,#REF!,2,FALSE)</f>
        <v>#REF!</v>
      </c>
      <c r="AC223" s="2" t="e">
        <f>VLOOKUP(I223,#REF!,2,FALSE)</f>
        <v>#REF!</v>
      </c>
      <c r="AD223" s="2" t="e">
        <f>VLOOKUP(H223,#REF!,13,FALSE)</f>
        <v>#REF!</v>
      </c>
      <c r="AE223" s="2" t="e">
        <f>VLOOKUP(I223,#REF!,7,FALSE)</f>
        <v>#REF!</v>
      </c>
      <c r="AG223" s="2" t="e">
        <f>VLOOKUP(H223,#REF!,13,FALSE)</f>
        <v>#REF!</v>
      </c>
      <c r="AH223" s="2" t="e">
        <f>VLOOKUP(I223,#REF!,2,FALSE)</f>
        <v>#REF!</v>
      </c>
      <c r="AJ223" s="185" t="e">
        <f>VLOOKUP(H223,#REF!,3,FALSE)</f>
        <v>#REF!</v>
      </c>
      <c r="AK223" s="185"/>
      <c r="AL223" s="185" t="e">
        <f>VLOOKUP(H223,#REF!,13,FALSE)</f>
        <v>#REF!</v>
      </c>
      <c r="AM223" s="185" t="e">
        <f>VLOOKUP(CLEAN(H223),#REF!,7,FALSE)</f>
        <v>#REF!</v>
      </c>
      <c r="AN223" s="2" t="e">
        <f>VLOOKUP(H223,#REF!,8,FALSE)</f>
        <v>#REF!</v>
      </c>
      <c r="AO223" s="189" t="e">
        <f>VLOOKUP(H223,#REF!,2,FALSE)</f>
        <v>#REF!</v>
      </c>
      <c r="AP223" s="189" t="e">
        <f>VLOOKUP(H223,#REF!,2,FALSE)</f>
        <v>#REF!</v>
      </c>
      <c r="AQ223" s="189"/>
      <c r="AR223" s="2" t="e">
        <f>VLOOKUP(CLEAN(H223),#REF!,2,FALSE)</f>
        <v>#REF!</v>
      </c>
      <c r="AT223" s="2" t="e">
        <f>VLOOKUP(H223,#REF!,13,FALSE)</f>
        <v>#REF!</v>
      </c>
      <c r="AU223" s="2" t="e">
        <f>VLOOKUP(H223,#REF!,13,FALSE)</f>
        <v>#REF!</v>
      </c>
      <c r="AV223" s="2" t="e">
        <f>VLOOKUP(H223,#REF!,13,FALSE)</f>
        <v>#REF!</v>
      </c>
      <c r="AW223" s="2" t="e">
        <f>VLOOKUP(H223,#REF!,13,FALSE)</f>
        <v>#REF!</v>
      </c>
      <c r="AX223" s="2" t="e">
        <f>VLOOKUP(H223,#REF!,9,FALSE)</f>
        <v>#REF!</v>
      </c>
      <c r="AZ223" s="189" t="e">
        <f>VLOOKUP(H223,#REF!,2,FALSE)</f>
        <v>#REF!</v>
      </c>
      <c r="BF223" s="189" t="e">
        <f>VLOOKUP(CLEAN(H223),#REF!,2,FALSE)</f>
        <v>#REF!</v>
      </c>
      <c r="BG223" s="189" t="e">
        <f>T223-BF223</f>
        <v>#REF!</v>
      </c>
      <c r="BO223" s="2" t="e">
        <f>VLOOKUP(H223,#REF!,13,FALSE)</f>
        <v>#REF!</v>
      </c>
      <c r="BP223" s="2" t="e">
        <f>VLOOKUP(H223,#REF!,2,FALSE)</f>
        <v>#REF!</v>
      </c>
      <c r="BQ223" s="2" t="e">
        <f>VLOOKUP(H223,#REF!,13,FALSE)</f>
        <v>#REF!</v>
      </c>
      <c r="BR223" s="2" t="e">
        <f>VLOOKUP(H223,#REF!,3,FALSE)</f>
        <v>#REF!</v>
      </c>
    </row>
    <row r="224" spans="1:70" s="2" customFormat="1" ht="15" customHeight="1" outlineLevel="2">
      <c r="A224" s="5">
        <v>31</v>
      </c>
      <c r="B224" s="5" t="s">
        <v>5</v>
      </c>
      <c r="C224" s="5" t="s">
        <v>253</v>
      </c>
      <c r="D224" s="5" t="s">
        <v>22</v>
      </c>
      <c r="E224" s="5" t="s">
        <v>71</v>
      </c>
      <c r="F224" s="5" t="s">
        <v>457</v>
      </c>
      <c r="G224" s="5" t="s">
        <v>144</v>
      </c>
      <c r="H224" s="12">
        <v>30097978</v>
      </c>
      <c r="I224" s="42" t="str">
        <f t="shared" si="126"/>
        <v>30097978-EJECUCION</v>
      </c>
      <c r="J224" s="12"/>
      <c r="K224" s="307" t="str">
        <f t="shared" si="127"/>
        <v>30097978</v>
      </c>
      <c r="L224" s="15" t="s">
        <v>682</v>
      </c>
      <c r="M224" s="23">
        <v>2184339043</v>
      </c>
      <c r="N224" s="34">
        <v>2184339043</v>
      </c>
      <c r="O224" s="34">
        <v>0</v>
      </c>
      <c r="P224" s="310">
        <v>0</v>
      </c>
      <c r="Q224" s="34">
        <v>0</v>
      </c>
      <c r="R224" s="308">
        <v>0</v>
      </c>
      <c r="S224" s="34">
        <f t="shared" si="128"/>
        <v>0</v>
      </c>
      <c r="T224" s="34">
        <v>0</v>
      </c>
      <c r="U224" s="34">
        <v>0</v>
      </c>
      <c r="V224" s="34">
        <f>P224+Q224+R224+T224+U224</f>
        <v>0</v>
      </c>
      <c r="W224" s="34">
        <f>O224-V224</f>
        <v>0</v>
      </c>
      <c r="X224" s="34">
        <f>M224-(N224+O224)</f>
        <v>0</v>
      </c>
      <c r="Y224" s="48" t="s">
        <v>460</v>
      </c>
      <c r="Z224" s="48" t="s">
        <v>8</v>
      </c>
      <c r="AA224" s="2" t="s">
        <v>847</v>
      </c>
      <c r="AB224" s="2" t="e">
        <f>VLOOKUP(H224,#REF!,2,FALSE)</f>
        <v>#REF!</v>
      </c>
      <c r="AC224" s="2" t="e">
        <f>VLOOKUP(I224,#REF!,2,FALSE)</f>
        <v>#REF!</v>
      </c>
      <c r="AD224" s="2" t="e">
        <f>VLOOKUP(H224,#REF!,13,FALSE)</f>
        <v>#REF!</v>
      </c>
      <c r="AE224" s="177" t="e">
        <f>VLOOKUP(I224,#REF!,7,FALSE)</f>
        <v>#REF!</v>
      </c>
      <c r="AG224" s="2" t="e">
        <f>VLOOKUP(H224,#REF!,13,FALSE)</f>
        <v>#REF!</v>
      </c>
      <c r="AH224" s="2" t="e">
        <f>VLOOKUP(I224,#REF!,2,FALSE)</f>
        <v>#REF!</v>
      </c>
      <c r="AJ224" s="185" t="e">
        <f>VLOOKUP(H224,#REF!,3,FALSE)</f>
        <v>#REF!</v>
      </c>
      <c r="AK224" s="185"/>
      <c r="AL224" s="185" t="e">
        <f>VLOOKUP(H224,#REF!,13,FALSE)</f>
        <v>#REF!</v>
      </c>
      <c r="AM224" s="185" t="e">
        <f>VLOOKUP(CLEAN(H224),#REF!,7,FALSE)</f>
        <v>#REF!</v>
      </c>
      <c r="AN224" s="2" t="e">
        <f>VLOOKUP(H224,#REF!,8,FALSE)</f>
        <v>#REF!</v>
      </c>
      <c r="AO224" s="189" t="e">
        <f>VLOOKUP(H224,#REF!,2,FALSE)</f>
        <v>#REF!</v>
      </c>
      <c r="AP224" s="189" t="e">
        <f>VLOOKUP(H224,#REF!,2,FALSE)</f>
        <v>#REF!</v>
      </c>
      <c r="AQ224" s="189"/>
      <c r="AR224" s="2" t="e">
        <f>VLOOKUP(CLEAN(H224),#REF!,2,FALSE)</f>
        <v>#REF!</v>
      </c>
      <c r="AT224" s="2" t="e">
        <f>VLOOKUP(H224,#REF!,13,FALSE)</f>
        <v>#REF!</v>
      </c>
      <c r="AU224" s="2" t="e">
        <f>VLOOKUP(H224,#REF!,13,FALSE)</f>
        <v>#REF!</v>
      </c>
      <c r="AV224" s="2" t="e">
        <f>VLOOKUP(H224,#REF!,13,FALSE)</f>
        <v>#REF!</v>
      </c>
      <c r="AW224" s="2" t="e">
        <f>VLOOKUP(H224,#REF!,13,FALSE)</f>
        <v>#REF!</v>
      </c>
      <c r="AX224" s="2" t="e">
        <f>VLOOKUP(H224,#REF!,9,FALSE)</f>
        <v>#REF!</v>
      </c>
      <c r="AZ224" s="2" t="e">
        <f>VLOOKUP(H224,#REF!,2,FALSE)</f>
        <v>#REF!</v>
      </c>
      <c r="BF224" s="189" t="e">
        <f>VLOOKUP(CLEAN(H224),#REF!,2,FALSE)</f>
        <v>#REF!</v>
      </c>
      <c r="BG224" s="189" t="e">
        <f>T224-BF224</f>
        <v>#REF!</v>
      </c>
      <c r="BO224" s="2" t="e">
        <f>VLOOKUP(H224,#REF!,13,FALSE)</f>
        <v>#REF!</v>
      </c>
      <c r="BP224" s="2" t="e">
        <f>VLOOKUP(H224,#REF!,2,FALSE)</f>
        <v>#REF!</v>
      </c>
      <c r="BQ224" s="2" t="e">
        <f>VLOOKUP(H224,#REF!,13,FALSE)</f>
        <v>#REF!</v>
      </c>
      <c r="BR224" s="2" t="e">
        <f>VLOOKUP(H224,#REF!,3,FALSE)</f>
        <v>#REF!</v>
      </c>
    </row>
    <row r="225" spans="1:70" ht="15" customHeight="1" outlineLevel="2">
      <c r="A225" s="7"/>
      <c r="B225" s="7"/>
      <c r="C225" s="7"/>
      <c r="D225" s="7"/>
      <c r="E225" s="7"/>
      <c r="F225" s="7"/>
      <c r="G225" s="7"/>
      <c r="H225" s="11"/>
      <c r="I225" s="11"/>
      <c r="J225" s="11"/>
      <c r="K225" s="11"/>
      <c r="L225" s="17" t="s">
        <v>694</v>
      </c>
      <c r="M225" s="27">
        <f t="shared" ref="M225:X225" si="129">SUBTOTAL(9,M223:M224)</f>
        <v>2428494530</v>
      </c>
      <c r="N225" s="27">
        <f t="shared" si="129"/>
        <v>2405019372</v>
      </c>
      <c r="O225" s="27">
        <f t="shared" si="129"/>
        <v>23475158</v>
      </c>
      <c r="P225" s="24">
        <f t="shared" si="129"/>
        <v>0</v>
      </c>
      <c r="Q225" s="24">
        <f t="shared" si="129"/>
        <v>23475158</v>
      </c>
      <c r="R225" s="24">
        <f t="shared" si="129"/>
        <v>0</v>
      </c>
      <c r="S225" s="27">
        <f t="shared" si="129"/>
        <v>23475158</v>
      </c>
      <c r="T225" s="27">
        <f t="shared" si="129"/>
        <v>0</v>
      </c>
      <c r="U225" s="27">
        <f t="shared" si="129"/>
        <v>0</v>
      </c>
      <c r="V225" s="27">
        <f t="shared" si="129"/>
        <v>23475158</v>
      </c>
      <c r="W225" s="27">
        <f t="shared" si="129"/>
        <v>0</v>
      </c>
      <c r="X225" s="27">
        <f t="shared" si="129"/>
        <v>0</v>
      </c>
      <c r="Y225" s="47"/>
      <c r="Z225" s="47"/>
      <c r="AO225"/>
      <c r="AP225"/>
      <c r="AQ225"/>
      <c r="AR225" s="2" t="e">
        <f>VLOOKUP(CLEAN(H225),#REF!,2,FALSE)</f>
        <v>#REF!</v>
      </c>
      <c r="AZ225" s="2" t="e">
        <f>VLOOKUP(H225,#REF!,2,FALSE)</f>
        <v>#REF!</v>
      </c>
      <c r="BO225" s="2" t="e">
        <f>VLOOKUP(H225,#REF!,13,FALSE)</f>
        <v>#REF!</v>
      </c>
      <c r="BQ225" s="2" t="e">
        <f>VLOOKUP(H225,#REF!,13,FALSE)</f>
        <v>#REF!</v>
      </c>
    </row>
    <row r="226" spans="1:70" ht="15" customHeight="1" outlineLevel="2">
      <c r="A226" s="7"/>
      <c r="B226" s="7"/>
      <c r="C226" s="7"/>
      <c r="D226" s="7"/>
      <c r="E226" s="7"/>
      <c r="F226" s="7"/>
      <c r="G226" s="7"/>
      <c r="H226" s="11"/>
      <c r="I226" s="11"/>
      <c r="J226" s="11"/>
      <c r="K226" s="11"/>
      <c r="L226" s="292"/>
      <c r="M226" s="22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47"/>
      <c r="Z226" s="47"/>
      <c r="AO226"/>
      <c r="AP226"/>
      <c r="AQ226"/>
      <c r="AR226" s="2" t="e">
        <f>VLOOKUP(CLEAN(H226),#REF!,2,FALSE)</f>
        <v>#REF!</v>
      </c>
      <c r="AZ226" s="2" t="e">
        <f>VLOOKUP(H226,#REF!,2,FALSE)</f>
        <v>#REF!</v>
      </c>
      <c r="BO226" s="2" t="e">
        <f>VLOOKUP(H226,#REF!,13,FALSE)</f>
        <v>#REF!</v>
      </c>
      <c r="BP226" s="293"/>
      <c r="BQ226" s="2" t="e">
        <f>VLOOKUP(H226,#REF!,13,FALSE)</f>
        <v>#REF!</v>
      </c>
    </row>
    <row r="227" spans="1:70" ht="15" customHeight="1" outlineLevel="2">
      <c r="A227" s="7"/>
      <c r="B227" s="7"/>
      <c r="C227" s="7"/>
      <c r="D227" s="7"/>
      <c r="E227" s="7"/>
      <c r="F227" s="7"/>
      <c r="G227" s="7"/>
      <c r="H227" s="11"/>
      <c r="I227" s="11"/>
      <c r="J227" s="11"/>
      <c r="K227" s="11"/>
      <c r="L227" s="18" t="s">
        <v>698</v>
      </c>
      <c r="M227" s="22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47"/>
      <c r="Z227" s="47"/>
      <c r="AO227"/>
      <c r="AP227"/>
      <c r="AQ227"/>
      <c r="AR227" s="2" t="e">
        <f>VLOOKUP(CLEAN(H227),#REF!,2,FALSE)</f>
        <v>#REF!</v>
      </c>
      <c r="AZ227" s="2" t="e">
        <f>VLOOKUP(H227,#REF!,2,FALSE)</f>
        <v>#REF!</v>
      </c>
      <c r="BO227" s="2" t="e">
        <f>VLOOKUP(H227,#REF!,13,FALSE)</f>
        <v>#REF!</v>
      </c>
      <c r="BQ227" s="2" t="e">
        <f>VLOOKUP(H227,#REF!,13,FALSE)</f>
        <v>#REF!</v>
      </c>
    </row>
    <row r="228" spans="1:70" s="2" customFormat="1" ht="15" customHeight="1" outlineLevel="2">
      <c r="A228" s="5">
        <v>31</v>
      </c>
      <c r="B228" s="5" t="s">
        <v>54</v>
      </c>
      <c r="C228" s="5" t="s">
        <v>248</v>
      </c>
      <c r="D228" s="5" t="s">
        <v>22</v>
      </c>
      <c r="E228" s="5" t="s">
        <v>71</v>
      </c>
      <c r="F228" s="5" t="s">
        <v>14</v>
      </c>
      <c r="G228" s="5" t="s">
        <v>144</v>
      </c>
      <c r="H228" s="12">
        <v>30461279</v>
      </c>
      <c r="I228" s="42" t="str">
        <f t="shared" ref="I228:I231" si="130">CONCATENATE(H228,"-",G228)</f>
        <v>30461279-EJECUCION</v>
      </c>
      <c r="J228" s="12"/>
      <c r="K228" s="307" t="str">
        <f t="shared" ref="K228:K231" si="131">CLEAN(H228)</f>
        <v>30461279</v>
      </c>
      <c r="L228" s="15" t="s">
        <v>263</v>
      </c>
      <c r="M228" s="23">
        <v>395716000</v>
      </c>
      <c r="N228" s="34">
        <v>0</v>
      </c>
      <c r="O228" s="34">
        <v>118714800</v>
      </c>
      <c r="P228" s="310">
        <v>0</v>
      </c>
      <c r="Q228" s="34">
        <v>0</v>
      </c>
      <c r="R228" s="308">
        <v>0</v>
      </c>
      <c r="S228" s="34">
        <f t="shared" ref="S228:S231" si="132">P228+Q228+R228</f>
        <v>0</v>
      </c>
      <c r="T228" s="34">
        <v>0</v>
      </c>
      <c r="U228" s="34">
        <v>0</v>
      </c>
      <c r="V228" s="34">
        <f>P228+Q228+R228+T228+U228</f>
        <v>0</v>
      </c>
      <c r="W228" s="34">
        <f>O228-V228</f>
        <v>118714800</v>
      </c>
      <c r="X228" s="34">
        <f>M228-(N228+O228)</f>
        <v>277001200</v>
      </c>
      <c r="Y228" s="48" t="s">
        <v>649</v>
      </c>
      <c r="Z228" s="48" t="s">
        <v>8</v>
      </c>
      <c r="AA228" s="2" t="s">
        <v>843</v>
      </c>
      <c r="AB228" s="2" t="e">
        <f>VLOOKUP(H228,#REF!,2,FALSE)</f>
        <v>#REF!</v>
      </c>
      <c r="AC228" s="2" t="e">
        <f>VLOOKUP(I228,#REF!,2,FALSE)</f>
        <v>#REF!</v>
      </c>
      <c r="AD228" s="2" t="e">
        <f>VLOOKUP(H228,#REF!,13,FALSE)</f>
        <v>#REF!</v>
      </c>
      <c r="AE228" s="2" t="e">
        <f>VLOOKUP(I228,#REF!,7,FALSE)</f>
        <v>#REF!</v>
      </c>
      <c r="AG228" s="2" t="e">
        <f>VLOOKUP(H228,#REF!,13,FALSE)</f>
        <v>#REF!</v>
      </c>
      <c r="AH228" s="2" t="e">
        <f>VLOOKUP(I228,#REF!,2,FALSE)</f>
        <v>#REF!</v>
      </c>
      <c r="AJ228" s="185" t="e">
        <f>VLOOKUP(H228,#REF!,3,FALSE)</f>
        <v>#REF!</v>
      </c>
      <c r="AK228" s="185"/>
      <c r="AL228" s="185" t="e">
        <f>VLOOKUP(H228,#REF!,13,FALSE)</f>
        <v>#REF!</v>
      </c>
      <c r="AM228" s="185" t="e">
        <f>VLOOKUP(CLEAN(H228),#REF!,7,FALSE)</f>
        <v>#REF!</v>
      </c>
      <c r="AN228" s="2" t="e">
        <f>VLOOKUP(H228,#REF!,8,FALSE)</f>
        <v>#REF!</v>
      </c>
      <c r="AO228" s="189" t="e">
        <f>VLOOKUP(H228,#REF!,2,FALSE)</f>
        <v>#REF!</v>
      </c>
      <c r="AP228" s="189" t="e">
        <f>VLOOKUP(H228,#REF!,2,FALSE)</f>
        <v>#REF!</v>
      </c>
      <c r="AQ228" s="189"/>
      <c r="AR228" s="2" t="e">
        <f>VLOOKUP(CLEAN(H228),#REF!,2,FALSE)</f>
        <v>#REF!</v>
      </c>
      <c r="AT228" s="2" t="e">
        <f>VLOOKUP(H228,#REF!,13,FALSE)</f>
        <v>#REF!</v>
      </c>
      <c r="AU228" s="2" t="e">
        <f>VLOOKUP(H228,#REF!,13,FALSE)</f>
        <v>#REF!</v>
      </c>
      <c r="AV228" s="2" t="e">
        <f>VLOOKUP(H228,#REF!,13,FALSE)</f>
        <v>#REF!</v>
      </c>
      <c r="AW228" s="2" t="e">
        <f>VLOOKUP(H228,#REF!,13,FALSE)</f>
        <v>#REF!</v>
      </c>
      <c r="AX228" s="2" t="e">
        <f>VLOOKUP(H228,#REF!,9,FALSE)</f>
        <v>#REF!</v>
      </c>
      <c r="AZ228" s="189" t="e">
        <f>VLOOKUP(H228,#REF!,2,FALSE)</f>
        <v>#REF!</v>
      </c>
      <c r="BF228" s="189" t="e">
        <f>VLOOKUP(CLEAN(H228),#REF!,2,FALSE)</f>
        <v>#REF!</v>
      </c>
      <c r="BG228" s="189" t="e">
        <f>T228-BF228</f>
        <v>#REF!</v>
      </c>
      <c r="BO228" s="2" t="e">
        <f>VLOOKUP(H228,#REF!,13,FALSE)</f>
        <v>#REF!</v>
      </c>
      <c r="BP228" s="2" t="e">
        <f>VLOOKUP(H228,#REF!,2,FALSE)</f>
        <v>#REF!</v>
      </c>
      <c r="BQ228" s="2" t="e">
        <f>VLOOKUP(H228,#REF!,13,FALSE)</f>
        <v>#REF!</v>
      </c>
      <c r="BR228" s="2" t="e">
        <f>VLOOKUP(H228,#REF!,3,FALSE)</f>
        <v>#REF!</v>
      </c>
    </row>
    <row r="229" spans="1:70" s="2" customFormat="1" ht="15" customHeight="1" outlineLevel="2">
      <c r="A229" s="5">
        <v>31</v>
      </c>
      <c r="B229" s="5" t="s">
        <v>54</v>
      </c>
      <c r="C229" s="5" t="s">
        <v>241</v>
      </c>
      <c r="D229" s="5" t="s">
        <v>22</v>
      </c>
      <c r="E229" s="5" t="s">
        <v>71</v>
      </c>
      <c r="F229" s="5" t="s">
        <v>89</v>
      </c>
      <c r="G229" s="5" t="s">
        <v>144</v>
      </c>
      <c r="H229" s="12">
        <v>20195455</v>
      </c>
      <c r="I229" s="42" t="str">
        <f t="shared" si="130"/>
        <v>20195455-EJECUCION</v>
      </c>
      <c r="J229" s="12"/>
      <c r="K229" s="307" t="str">
        <f t="shared" si="131"/>
        <v>20195455</v>
      </c>
      <c r="L229" s="15" t="s">
        <v>261</v>
      </c>
      <c r="M229" s="23">
        <v>1032398000</v>
      </c>
      <c r="N229" s="34">
        <v>0</v>
      </c>
      <c r="O229" s="34">
        <f>300000000-40352613-48018220</f>
        <v>211629167</v>
      </c>
      <c r="P229" s="310">
        <v>0</v>
      </c>
      <c r="Q229" s="34">
        <v>0</v>
      </c>
      <c r="R229" s="308">
        <v>0</v>
      </c>
      <c r="S229" s="34">
        <f t="shared" si="132"/>
        <v>0</v>
      </c>
      <c r="T229" s="34">
        <v>0</v>
      </c>
      <c r="U229" s="34">
        <v>0</v>
      </c>
      <c r="V229" s="34">
        <f>P229+Q229+R229+T229+U229</f>
        <v>0</v>
      </c>
      <c r="W229" s="34">
        <f>O229-V229</f>
        <v>211629167</v>
      </c>
      <c r="X229" s="34">
        <f>M229-(N229+O229)</f>
        <v>820768833</v>
      </c>
      <c r="Y229" s="48" t="s">
        <v>649</v>
      </c>
      <c r="Z229" s="48" t="s">
        <v>8</v>
      </c>
      <c r="AA229" s="2" t="s">
        <v>843</v>
      </c>
      <c r="AB229" s="2" t="e">
        <f>VLOOKUP(H229,#REF!,2,FALSE)</f>
        <v>#REF!</v>
      </c>
      <c r="AC229" s="2" t="e">
        <f>VLOOKUP(I229,#REF!,2,FALSE)</f>
        <v>#REF!</v>
      </c>
      <c r="AD229" s="2" t="e">
        <f>VLOOKUP(H229,#REF!,13,FALSE)</f>
        <v>#REF!</v>
      </c>
      <c r="AE229" s="2" t="e">
        <f>VLOOKUP(I229,#REF!,7,FALSE)</f>
        <v>#REF!</v>
      </c>
      <c r="AG229" s="2" t="e">
        <f>VLOOKUP(H229,#REF!,13,FALSE)</f>
        <v>#REF!</v>
      </c>
      <c r="AH229" s="2" t="e">
        <f>VLOOKUP(I229,#REF!,2,FALSE)</f>
        <v>#REF!</v>
      </c>
      <c r="AJ229" s="185" t="e">
        <f>VLOOKUP(H229,#REF!,3,FALSE)</f>
        <v>#REF!</v>
      </c>
      <c r="AK229" s="185" t="s">
        <v>684</v>
      </c>
      <c r="AL229" s="185" t="e">
        <f>VLOOKUP(H229,#REF!,13,FALSE)</f>
        <v>#REF!</v>
      </c>
      <c r="AM229" s="185" t="e">
        <f>VLOOKUP(CLEAN(H229),#REF!,7,FALSE)</f>
        <v>#REF!</v>
      </c>
      <c r="AN229" s="2" t="e">
        <f>VLOOKUP(H229,#REF!,8,FALSE)</f>
        <v>#REF!</v>
      </c>
      <c r="AO229" s="189" t="e">
        <f>VLOOKUP(H229,#REF!,2,FALSE)</f>
        <v>#REF!</v>
      </c>
      <c r="AP229" s="189" t="e">
        <f>VLOOKUP(H229,#REF!,2,FALSE)</f>
        <v>#REF!</v>
      </c>
      <c r="AQ229" s="189"/>
      <c r="AR229" s="2" t="e">
        <f>VLOOKUP(CLEAN(H229),#REF!,2,FALSE)</f>
        <v>#REF!</v>
      </c>
      <c r="AT229" s="2" t="e">
        <f>VLOOKUP(H229,#REF!,13,FALSE)</f>
        <v>#REF!</v>
      </c>
      <c r="AU229" s="2" t="e">
        <f>VLOOKUP(H229,#REF!,13,FALSE)</f>
        <v>#REF!</v>
      </c>
      <c r="AV229" s="2" t="e">
        <f>VLOOKUP(H229,#REF!,13,FALSE)</f>
        <v>#REF!</v>
      </c>
      <c r="AW229" s="2" t="e">
        <f>VLOOKUP(H229,#REF!,13,FALSE)</f>
        <v>#REF!</v>
      </c>
      <c r="AX229" s="2" t="e">
        <f>VLOOKUP(H229,#REF!,9,FALSE)</f>
        <v>#REF!</v>
      </c>
      <c r="AY229" s="2" t="s">
        <v>649</v>
      </c>
      <c r="AZ229" s="2" t="e">
        <f>VLOOKUP(H229,#REF!,2,FALSE)</f>
        <v>#REF!</v>
      </c>
      <c r="BF229" s="189" t="e">
        <f>VLOOKUP(CLEAN(H229),#REF!,2,FALSE)</f>
        <v>#REF!</v>
      </c>
      <c r="BG229" s="189" t="e">
        <f>T229-BF229</f>
        <v>#REF!</v>
      </c>
      <c r="BO229" s="2" t="e">
        <f>VLOOKUP(H229,#REF!,13,FALSE)</f>
        <v>#REF!</v>
      </c>
      <c r="BP229" s="2" t="e">
        <f>VLOOKUP(H229,#REF!,2,FALSE)</f>
        <v>#REF!</v>
      </c>
      <c r="BQ229" s="2" t="e">
        <f>VLOOKUP(H229,#REF!,13,FALSE)</f>
        <v>#REF!</v>
      </c>
      <c r="BR229" s="2" t="e">
        <f>VLOOKUP(H229,#REF!,3,FALSE)</f>
        <v>#REF!</v>
      </c>
    </row>
    <row r="230" spans="1:70" s="2" customFormat="1" ht="15" customHeight="1" outlineLevel="2">
      <c r="A230" s="5">
        <v>31</v>
      </c>
      <c r="B230" s="5" t="s">
        <v>54</v>
      </c>
      <c r="C230" s="5" t="s">
        <v>241</v>
      </c>
      <c r="D230" s="5" t="s">
        <v>22</v>
      </c>
      <c r="E230" s="5" t="s">
        <v>71</v>
      </c>
      <c r="F230" s="5" t="s">
        <v>89</v>
      </c>
      <c r="G230" s="5" t="s">
        <v>144</v>
      </c>
      <c r="H230" s="12">
        <v>30080460</v>
      </c>
      <c r="I230" s="42" t="str">
        <f t="shared" si="130"/>
        <v>30080460-EJECUCION</v>
      </c>
      <c r="J230" s="12"/>
      <c r="K230" s="307" t="str">
        <f t="shared" si="131"/>
        <v>30080460</v>
      </c>
      <c r="L230" s="15" t="s">
        <v>401</v>
      </c>
      <c r="M230" s="23">
        <v>272533000</v>
      </c>
      <c r="N230" s="34">
        <v>0</v>
      </c>
      <c r="O230" s="34">
        <v>20000000</v>
      </c>
      <c r="P230" s="310">
        <v>0</v>
      </c>
      <c r="Q230" s="34">
        <v>0</v>
      </c>
      <c r="R230" s="308">
        <v>0</v>
      </c>
      <c r="S230" s="34">
        <f t="shared" si="132"/>
        <v>0</v>
      </c>
      <c r="T230" s="34">
        <v>0</v>
      </c>
      <c r="U230" s="34">
        <v>0</v>
      </c>
      <c r="V230" s="34">
        <f>P230+Q230+R230+T230+U230</f>
        <v>0</v>
      </c>
      <c r="W230" s="34">
        <f>O230-V230</f>
        <v>20000000</v>
      </c>
      <c r="X230" s="34">
        <f>M230-(N230+O230)</f>
        <v>252533000</v>
      </c>
      <c r="Y230" s="48" t="s">
        <v>649</v>
      </c>
      <c r="Z230" s="48" t="s">
        <v>8</v>
      </c>
      <c r="AA230" s="2" t="s">
        <v>846</v>
      </c>
      <c r="AB230" s="2" t="e">
        <f>VLOOKUP(H230,#REF!,2,FALSE)</f>
        <v>#REF!</v>
      </c>
      <c r="AC230" s="2" t="e">
        <f>VLOOKUP(I230,#REF!,2,FALSE)</f>
        <v>#REF!</v>
      </c>
      <c r="AD230" s="2" t="e">
        <f>VLOOKUP(H230,#REF!,13,FALSE)</f>
        <v>#REF!</v>
      </c>
      <c r="AE230" s="2" t="e">
        <f>VLOOKUP(I230,#REF!,7,FALSE)</f>
        <v>#REF!</v>
      </c>
      <c r="AG230" s="2" t="e">
        <f>VLOOKUP(H230,#REF!,13,FALSE)</f>
        <v>#REF!</v>
      </c>
      <c r="AH230" s="2" t="e">
        <f>VLOOKUP(I230,#REF!,2,FALSE)</f>
        <v>#REF!</v>
      </c>
      <c r="AJ230" s="185" t="e">
        <f>VLOOKUP(H230,#REF!,3,FALSE)</f>
        <v>#REF!</v>
      </c>
      <c r="AK230" s="185"/>
      <c r="AL230" s="185" t="e">
        <f>VLOOKUP(H230,#REF!,13,FALSE)</f>
        <v>#REF!</v>
      </c>
      <c r="AM230" s="185" t="e">
        <f>VLOOKUP(CLEAN(H230),#REF!,7,FALSE)</f>
        <v>#REF!</v>
      </c>
      <c r="AN230" s="2" t="e">
        <f>VLOOKUP(H230,#REF!,8,FALSE)</f>
        <v>#REF!</v>
      </c>
      <c r="AO230" s="189" t="e">
        <f>VLOOKUP(H230,#REF!,2,FALSE)</f>
        <v>#REF!</v>
      </c>
      <c r="AP230" s="189" t="e">
        <f>VLOOKUP(H230,#REF!,2,FALSE)</f>
        <v>#REF!</v>
      </c>
      <c r="AQ230" s="189"/>
      <c r="AR230" s="2" t="e">
        <f>VLOOKUP(CLEAN(H230),#REF!,2,FALSE)</f>
        <v>#REF!</v>
      </c>
      <c r="AT230" s="2" t="e">
        <f>VLOOKUP(H230,#REF!,13,FALSE)</f>
        <v>#REF!</v>
      </c>
      <c r="AU230" s="2" t="e">
        <f>VLOOKUP(H230,#REF!,13,FALSE)</f>
        <v>#REF!</v>
      </c>
      <c r="AV230" s="2" t="e">
        <f>VLOOKUP(H230,#REF!,13,FALSE)</f>
        <v>#REF!</v>
      </c>
      <c r="AW230" s="2" t="e">
        <f>VLOOKUP(H230,#REF!,13,FALSE)</f>
        <v>#REF!</v>
      </c>
      <c r="AX230" s="2" t="e">
        <f>VLOOKUP(H230,#REF!,9,FALSE)</f>
        <v>#REF!</v>
      </c>
      <c r="AY230" s="2" t="s">
        <v>649</v>
      </c>
      <c r="AZ230" s="189" t="e">
        <f>VLOOKUP(H230,#REF!,2,FALSE)</f>
        <v>#REF!</v>
      </c>
      <c r="BF230" s="189" t="e">
        <f>VLOOKUP(CLEAN(H230),#REF!,2,FALSE)</f>
        <v>#REF!</v>
      </c>
      <c r="BG230" s="189" t="e">
        <f>T230-BF230</f>
        <v>#REF!</v>
      </c>
      <c r="BO230" s="2" t="e">
        <f>VLOOKUP(H230,#REF!,13,FALSE)</f>
        <v>#REF!</v>
      </c>
      <c r="BP230" s="2" t="e">
        <f>VLOOKUP(H230,#REF!,2,FALSE)</f>
        <v>#REF!</v>
      </c>
      <c r="BQ230" s="2" t="e">
        <f>VLOOKUP(H230,#REF!,13,FALSE)</f>
        <v>#REF!</v>
      </c>
      <c r="BR230" s="2" t="e">
        <f>VLOOKUP(H230,#REF!,3,FALSE)</f>
        <v>#REF!</v>
      </c>
    </row>
    <row r="231" spans="1:70" s="2" customFormat="1" ht="15" customHeight="1" outlineLevel="2">
      <c r="A231" s="5">
        <v>31</v>
      </c>
      <c r="B231" s="5" t="s">
        <v>54</v>
      </c>
      <c r="C231" s="5" t="s">
        <v>248</v>
      </c>
      <c r="D231" s="5" t="s">
        <v>22</v>
      </c>
      <c r="E231" s="5" t="s">
        <v>71</v>
      </c>
      <c r="F231" s="5" t="s">
        <v>14</v>
      </c>
      <c r="G231" s="5" t="s">
        <v>144</v>
      </c>
      <c r="H231" s="12">
        <v>30429872</v>
      </c>
      <c r="I231" s="42" t="str">
        <f t="shared" si="130"/>
        <v>30429872-EJECUCION</v>
      </c>
      <c r="J231" s="12"/>
      <c r="K231" s="307" t="str">
        <f t="shared" si="131"/>
        <v>30429872</v>
      </c>
      <c r="L231" s="15" t="s">
        <v>262</v>
      </c>
      <c r="M231" s="23">
        <v>413476000</v>
      </c>
      <c r="N231" s="34">
        <v>0</v>
      </c>
      <c r="O231" s="34">
        <v>120000000</v>
      </c>
      <c r="P231" s="310">
        <v>0</v>
      </c>
      <c r="Q231" s="34">
        <v>0</v>
      </c>
      <c r="R231" s="308">
        <v>0</v>
      </c>
      <c r="S231" s="34">
        <f t="shared" si="132"/>
        <v>0</v>
      </c>
      <c r="T231" s="34">
        <v>0</v>
      </c>
      <c r="U231" s="34">
        <v>0</v>
      </c>
      <c r="V231" s="34">
        <f>P231+Q231+R231+T231+U231</f>
        <v>0</v>
      </c>
      <c r="W231" s="34">
        <f>O231-V231</f>
        <v>120000000</v>
      </c>
      <c r="X231" s="34">
        <f>M231-(N231+O231)</f>
        <v>293476000</v>
      </c>
      <c r="Y231" s="48" t="s">
        <v>85</v>
      </c>
      <c r="Z231" s="48" t="s">
        <v>8</v>
      </c>
      <c r="AA231" s="2" t="s">
        <v>847</v>
      </c>
      <c r="AB231" s="2" t="e">
        <f>VLOOKUP(H231,#REF!,2,FALSE)</f>
        <v>#REF!</v>
      </c>
      <c r="AC231" s="2" t="e">
        <f>VLOOKUP(I231,#REF!,2,FALSE)</f>
        <v>#REF!</v>
      </c>
      <c r="AD231" s="2" t="e">
        <f>VLOOKUP(H231,#REF!,13,FALSE)</f>
        <v>#REF!</v>
      </c>
      <c r="AE231" s="2" t="e">
        <f>VLOOKUP(I231,#REF!,7,FALSE)</f>
        <v>#REF!</v>
      </c>
      <c r="AG231" s="2" t="e">
        <f>VLOOKUP(H231,#REF!,13,FALSE)</f>
        <v>#REF!</v>
      </c>
      <c r="AH231" s="2" t="e">
        <f>VLOOKUP(I231,#REF!,2,FALSE)</f>
        <v>#REF!</v>
      </c>
      <c r="AJ231" s="185" t="e">
        <f>VLOOKUP(H231,#REF!,3,FALSE)</f>
        <v>#REF!</v>
      </c>
      <c r="AK231" s="185" t="s">
        <v>685</v>
      </c>
      <c r="AL231" s="185" t="e">
        <f>VLOOKUP(H231,#REF!,13,FALSE)</f>
        <v>#REF!</v>
      </c>
      <c r="AM231" s="185" t="e">
        <f>VLOOKUP(CLEAN(H231),#REF!,7,FALSE)</f>
        <v>#REF!</v>
      </c>
      <c r="AN231" s="2" t="e">
        <f>VLOOKUP(H231,#REF!,8,FALSE)</f>
        <v>#REF!</v>
      </c>
      <c r="AO231" s="189" t="e">
        <f>VLOOKUP(H231,#REF!,2,FALSE)</f>
        <v>#REF!</v>
      </c>
      <c r="AP231" s="189" t="e">
        <f>VLOOKUP(H231,#REF!,2,FALSE)</f>
        <v>#REF!</v>
      </c>
      <c r="AQ231" s="189"/>
      <c r="AR231" s="2" t="e">
        <f>VLOOKUP(CLEAN(H231),#REF!,2,FALSE)</f>
        <v>#REF!</v>
      </c>
      <c r="AT231" s="2" t="e">
        <f>VLOOKUP(H231,#REF!,13,FALSE)</f>
        <v>#REF!</v>
      </c>
      <c r="AU231" s="2" t="e">
        <f>VLOOKUP(H231,#REF!,13,FALSE)</f>
        <v>#REF!</v>
      </c>
      <c r="AV231" s="2" t="e">
        <f>VLOOKUP(H231,#REF!,13,FALSE)</f>
        <v>#REF!</v>
      </c>
      <c r="AW231" s="2" t="e">
        <f>VLOOKUP(H231,#REF!,13,FALSE)</f>
        <v>#REF!</v>
      </c>
      <c r="AX231" s="2" t="e">
        <f>VLOOKUP(H231,#REF!,9,FALSE)</f>
        <v>#REF!</v>
      </c>
      <c r="AZ231" s="2" t="e">
        <f>VLOOKUP(H231,#REF!,2,FALSE)</f>
        <v>#REF!</v>
      </c>
      <c r="BF231" s="189" t="e">
        <f>VLOOKUP(CLEAN(H231),#REF!,2,FALSE)</f>
        <v>#REF!</v>
      </c>
      <c r="BG231" s="189" t="e">
        <f>T231-BF231</f>
        <v>#REF!</v>
      </c>
      <c r="BO231" s="2" t="e">
        <f>VLOOKUP(H231,#REF!,13,FALSE)</f>
        <v>#REF!</v>
      </c>
      <c r="BP231" s="2" t="e">
        <f>VLOOKUP(H231,#REF!,2,FALSE)</f>
        <v>#REF!</v>
      </c>
      <c r="BQ231" s="2" t="e">
        <f>VLOOKUP(H231,#REF!,13,FALSE)</f>
        <v>#REF!</v>
      </c>
      <c r="BR231" s="2" t="e">
        <f>VLOOKUP(H231,#REF!,3,FALSE)</f>
        <v>#REF!</v>
      </c>
    </row>
    <row r="232" spans="1:70" ht="15" customHeight="1" outlineLevel="2">
      <c r="A232" s="7"/>
      <c r="B232" s="7"/>
      <c r="C232" s="7"/>
      <c r="D232" s="7"/>
      <c r="E232" s="7"/>
      <c r="F232" s="7"/>
      <c r="G232" s="7"/>
      <c r="H232" s="11"/>
      <c r="I232" s="11"/>
      <c r="J232" s="11"/>
      <c r="K232" s="11"/>
      <c r="L232" s="17" t="s">
        <v>692</v>
      </c>
      <c r="M232" s="312">
        <f t="shared" ref="M232:X232" si="133">SUBTOTAL(9,M228:M231)</f>
        <v>2114123000</v>
      </c>
      <c r="N232" s="312">
        <f t="shared" si="133"/>
        <v>0</v>
      </c>
      <c r="O232" s="312">
        <f t="shared" si="133"/>
        <v>470343967</v>
      </c>
      <c r="P232" s="183">
        <f t="shared" si="133"/>
        <v>0</v>
      </c>
      <c r="Q232" s="183">
        <f t="shared" si="133"/>
        <v>0</v>
      </c>
      <c r="R232" s="183">
        <f t="shared" si="133"/>
        <v>0</v>
      </c>
      <c r="S232" s="312">
        <f t="shared" si="133"/>
        <v>0</v>
      </c>
      <c r="T232" s="312">
        <f t="shared" si="133"/>
        <v>0</v>
      </c>
      <c r="U232" s="312">
        <f t="shared" si="133"/>
        <v>0</v>
      </c>
      <c r="V232" s="312">
        <f t="shared" si="133"/>
        <v>0</v>
      </c>
      <c r="W232" s="312">
        <f t="shared" si="133"/>
        <v>470343967</v>
      </c>
      <c r="X232" s="312">
        <f t="shared" si="133"/>
        <v>1643779033</v>
      </c>
      <c r="Y232" s="47"/>
      <c r="Z232" s="47"/>
      <c r="AO232"/>
      <c r="AP232"/>
      <c r="AQ232"/>
      <c r="AR232" s="2" t="e">
        <f>VLOOKUP(CLEAN(H232),#REF!,2,FALSE)</f>
        <v>#REF!</v>
      </c>
      <c r="AZ232" s="2" t="e">
        <f>VLOOKUP(H232,#REF!,2,FALSE)</f>
        <v>#REF!</v>
      </c>
      <c r="BO232" s="2" t="e">
        <f>VLOOKUP(H232,#REF!,13,FALSE)</f>
        <v>#REF!</v>
      </c>
      <c r="BQ232" s="2" t="e">
        <f>VLOOKUP(H232,#REF!,13,FALSE)</f>
        <v>#REF!</v>
      </c>
    </row>
    <row r="233" spans="1:70" ht="15" customHeight="1" outlineLevel="2">
      <c r="A233" s="7"/>
      <c r="B233" s="7"/>
      <c r="C233" s="7"/>
      <c r="D233" s="7"/>
      <c r="E233" s="7"/>
      <c r="F233" s="7"/>
      <c r="G233" s="7"/>
      <c r="H233" s="11"/>
      <c r="I233" s="11"/>
      <c r="J233" s="11"/>
      <c r="K233" s="11"/>
      <c r="L233" s="292"/>
      <c r="M233" s="22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47"/>
      <c r="Z233" s="47"/>
      <c r="AO233"/>
      <c r="AP233"/>
      <c r="AQ233"/>
      <c r="AR233" s="2" t="e">
        <f>VLOOKUP(CLEAN(H233),#REF!,2,FALSE)</f>
        <v>#REF!</v>
      </c>
      <c r="AZ233" s="2" t="e">
        <f>VLOOKUP(H233,#REF!,2,FALSE)</f>
        <v>#REF!</v>
      </c>
      <c r="BO233" s="2" t="e">
        <f>VLOOKUP(H233,#REF!,13,FALSE)</f>
        <v>#REF!</v>
      </c>
      <c r="BP233" s="293"/>
      <c r="BQ233" s="2" t="e">
        <f>VLOOKUP(H233,#REF!,13,FALSE)</f>
        <v>#REF!</v>
      </c>
    </row>
    <row r="234" spans="1:70" ht="15" customHeight="1" outlineLevel="2">
      <c r="A234" s="7"/>
      <c r="B234" s="7"/>
      <c r="C234" s="7"/>
      <c r="D234" s="7"/>
      <c r="E234" s="7"/>
      <c r="F234" s="7"/>
      <c r="G234" s="7"/>
      <c r="H234" s="11"/>
      <c r="I234" s="11"/>
      <c r="J234" s="11"/>
      <c r="K234" s="11"/>
      <c r="L234" s="18" t="s">
        <v>701</v>
      </c>
      <c r="M234" s="22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47"/>
      <c r="Z234" s="47"/>
      <c r="AM234" s="185" t="e">
        <f>VLOOKUP(CLEAN(H234),#REF!,7,FALSE)</f>
        <v>#REF!</v>
      </c>
      <c r="AO234"/>
      <c r="AP234"/>
      <c r="AQ234"/>
      <c r="AR234" s="2" t="e">
        <f>VLOOKUP(CLEAN(H234),#REF!,2,FALSE)</f>
        <v>#REF!</v>
      </c>
      <c r="AZ234" s="2" t="e">
        <f>VLOOKUP(H234,#REF!,2,FALSE)</f>
        <v>#REF!</v>
      </c>
      <c r="BO234" s="2" t="e">
        <f>VLOOKUP(H234,#REF!,13,FALSE)</f>
        <v>#REF!</v>
      </c>
      <c r="BQ234" s="2" t="e">
        <f>VLOOKUP(H234,#REF!,13,FALSE)</f>
        <v>#REF!</v>
      </c>
    </row>
    <row r="235" spans="1:70" s="2" customFormat="1" ht="15" customHeight="1" outlineLevel="2">
      <c r="A235" s="5">
        <v>31</v>
      </c>
      <c r="B235" s="5" t="s">
        <v>11</v>
      </c>
      <c r="C235" s="5" t="s">
        <v>240</v>
      </c>
      <c r="D235" s="5" t="s">
        <v>22</v>
      </c>
      <c r="E235" s="5" t="s">
        <v>71</v>
      </c>
      <c r="F235" s="5" t="s">
        <v>457</v>
      </c>
      <c r="G235" s="5" t="s">
        <v>144</v>
      </c>
      <c r="H235" s="12">
        <v>30364305</v>
      </c>
      <c r="I235" s="42" t="str">
        <f t="shared" ref="I235:I240" si="134">CONCATENATE(H235,"-",G235)</f>
        <v>30364305-EJECUCION</v>
      </c>
      <c r="J235" s="12"/>
      <c r="K235" s="307" t="str">
        <f t="shared" ref="K235:K240" si="135">CLEAN(H235)</f>
        <v>30364305</v>
      </c>
      <c r="L235" s="15" t="s">
        <v>432</v>
      </c>
      <c r="M235" s="23">
        <v>2629279000</v>
      </c>
      <c r="N235" s="34">
        <v>0</v>
      </c>
      <c r="O235" s="34">
        <f>200000000+62688853</f>
        <v>262688853</v>
      </c>
      <c r="P235" s="310">
        <v>0</v>
      </c>
      <c r="Q235" s="34">
        <v>0</v>
      </c>
      <c r="R235" s="308">
        <v>0</v>
      </c>
      <c r="S235" s="34">
        <f t="shared" ref="S235:S240" si="136">P235+Q235+R235</f>
        <v>0</v>
      </c>
      <c r="T235" s="34">
        <v>0</v>
      </c>
      <c r="U235" s="34">
        <v>5480000</v>
      </c>
      <c r="V235" s="34">
        <f>P235+Q235+R235+T235+U235</f>
        <v>5480000</v>
      </c>
      <c r="W235" s="34">
        <f>O235-V235</f>
        <v>257208853</v>
      </c>
      <c r="X235" s="34">
        <f>M235-(N235+O235)</f>
        <v>2366590147</v>
      </c>
      <c r="Y235" s="48" t="s">
        <v>243</v>
      </c>
      <c r="Z235" s="48" t="s">
        <v>8</v>
      </c>
      <c r="AA235" s="2" t="s">
        <v>843</v>
      </c>
      <c r="AB235" s="2" t="e">
        <f>VLOOKUP(H235,#REF!,2,FALSE)</f>
        <v>#REF!</v>
      </c>
      <c r="AC235" s="2" t="e">
        <f>VLOOKUP(I235,#REF!,2,FALSE)</f>
        <v>#REF!</v>
      </c>
      <c r="AD235" s="2" t="e">
        <f>VLOOKUP(H235,#REF!,13,FALSE)</f>
        <v>#REF!</v>
      </c>
      <c r="AE235" s="2" t="e">
        <f>VLOOKUP(I235,#REF!,7,FALSE)</f>
        <v>#REF!</v>
      </c>
      <c r="AG235" s="2" t="e">
        <f>VLOOKUP(H235,#REF!,13,FALSE)</f>
        <v>#REF!</v>
      </c>
      <c r="AH235" s="2" t="e">
        <f>VLOOKUP(I235,#REF!,2,FALSE)</f>
        <v>#REF!</v>
      </c>
      <c r="AJ235" s="185" t="e">
        <f>VLOOKUP(H235,#REF!,3,FALSE)</f>
        <v>#REF!</v>
      </c>
      <c r="AK235" s="185"/>
      <c r="AL235" s="185" t="e">
        <f>VLOOKUP(H235,#REF!,13,FALSE)</f>
        <v>#REF!</v>
      </c>
      <c r="AM235" s="185" t="e">
        <f>VLOOKUP(CLEAN(H235),#REF!,7,FALSE)</f>
        <v>#REF!</v>
      </c>
      <c r="AN235" s="2" t="e">
        <f>VLOOKUP(H235,#REF!,8,FALSE)</f>
        <v>#REF!</v>
      </c>
      <c r="AO235" s="189" t="e">
        <f>VLOOKUP(H235,#REF!,2,FALSE)</f>
        <v>#REF!</v>
      </c>
      <c r="AP235" s="189" t="e">
        <f>VLOOKUP(H235,#REF!,2,FALSE)</f>
        <v>#REF!</v>
      </c>
      <c r="AQ235" s="189"/>
      <c r="AR235" s="2" t="e">
        <f>VLOOKUP(CLEAN(H235),#REF!,2,FALSE)</f>
        <v>#REF!</v>
      </c>
      <c r="AT235" s="2" t="e">
        <f>VLOOKUP(H235,#REF!,13,FALSE)</f>
        <v>#REF!</v>
      </c>
      <c r="AU235" s="2" t="e">
        <f>VLOOKUP(H235,#REF!,13,FALSE)</f>
        <v>#REF!</v>
      </c>
      <c r="AV235" s="2" t="e">
        <f>VLOOKUP(H235,#REF!,13,FALSE)</f>
        <v>#REF!</v>
      </c>
      <c r="AW235" s="2" t="e">
        <f>VLOOKUP(H235,#REF!,13,FALSE)</f>
        <v>#REF!</v>
      </c>
      <c r="AX235" s="2" t="e">
        <f>VLOOKUP(H235,#REF!,9,FALSE)</f>
        <v>#REF!</v>
      </c>
      <c r="AY235" s="2" t="e">
        <f>VLOOKUP(H235,#REF!,2,FALSE)</f>
        <v>#REF!</v>
      </c>
      <c r="AZ235" s="189" t="e">
        <f>VLOOKUP(H235,#REF!,2,FALSE)</f>
        <v>#REF!</v>
      </c>
      <c r="BF235" s="189" t="e">
        <f>VLOOKUP(CLEAN(H235),#REF!,2,FALSE)</f>
        <v>#REF!</v>
      </c>
      <c r="BG235" s="189" t="e">
        <f>T235-BF235</f>
        <v>#REF!</v>
      </c>
      <c r="BO235" s="2" t="e">
        <f>VLOOKUP(H235,#REF!,13,FALSE)</f>
        <v>#REF!</v>
      </c>
      <c r="BP235" s="2" t="e">
        <f>VLOOKUP(H235,#REF!,2,FALSE)</f>
        <v>#REF!</v>
      </c>
      <c r="BQ235" s="2" t="e">
        <f>VLOOKUP(H235,#REF!,13,FALSE)</f>
        <v>#REF!</v>
      </c>
      <c r="BR235" s="2" t="e">
        <f>VLOOKUP(H235,#REF!,3,FALSE)</f>
        <v>#REF!</v>
      </c>
    </row>
    <row r="236" spans="1:70" s="2" customFormat="1" ht="15" customHeight="1" outlineLevel="2">
      <c r="A236" s="5">
        <v>31</v>
      </c>
      <c r="B236" s="5" t="s">
        <v>54</v>
      </c>
      <c r="C236" s="5" t="s">
        <v>242</v>
      </c>
      <c r="D236" s="5" t="s">
        <v>22</v>
      </c>
      <c r="E236" s="5" t="s">
        <v>71</v>
      </c>
      <c r="F236" s="5" t="s">
        <v>457</v>
      </c>
      <c r="G236" s="5" t="s">
        <v>144</v>
      </c>
      <c r="H236" s="12">
        <v>30115395</v>
      </c>
      <c r="I236" s="42" t="str">
        <f t="shared" si="134"/>
        <v>30115395-EJECUCION</v>
      </c>
      <c r="J236" s="12"/>
      <c r="K236" s="307" t="str">
        <f t="shared" si="135"/>
        <v>30115395</v>
      </c>
      <c r="L236" s="15" t="s">
        <v>235</v>
      </c>
      <c r="M236" s="23">
        <v>790552000</v>
      </c>
      <c r="N236" s="34">
        <v>0</v>
      </c>
      <c r="O236" s="34">
        <f>237165600-1198372</f>
        <v>235967228</v>
      </c>
      <c r="P236" s="310">
        <v>0</v>
      </c>
      <c r="Q236" s="34">
        <v>0</v>
      </c>
      <c r="R236" s="308">
        <v>0</v>
      </c>
      <c r="S236" s="34">
        <f t="shared" si="136"/>
        <v>0</v>
      </c>
      <c r="T236" s="34">
        <v>0</v>
      </c>
      <c r="U236" s="34">
        <v>0</v>
      </c>
      <c r="V236" s="34">
        <f>P236+Q236+R236+T236+U236</f>
        <v>0</v>
      </c>
      <c r="W236" s="34">
        <f>O236-V236</f>
        <v>235967228</v>
      </c>
      <c r="X236" s="34">
        <f>M236-(N236+O236)</f>
        <v>554584772</v>
      </c>
      <c r="Y236" s="48" t="s">
        <v>243</v>
      </c>
      <c r="Z236" s="48" t="s">
        <v>8</v>
      </c>
      <c r="AA236" s="2" t="s">
        <v>847</v>
      </c>
      <c r="AB236" s="2" t="e">
        <f>VLOOKUP(H236,#REF!,2,FALSE)</f>
        <v>#REF!</v>
      </c>
      <c r="AC236" s="2" t="e">
        <f>VLOOKUP(I236,#REF!,2,FALSE)</f>
        <v>#REF!</v>
      </c>
      <c r="AD236" s="2" t="e">
        <f>VLOOKUP(H236,#REF!,13,FALSE)</f>
        <v>#REF!</v>
      </c>
      <c r="AE236" s="2" t="e">
        <f>VLOOKUP(I236,#REF!,7,FALSE)</f>
        <v>#REF!</v>
      </c>
      <c r="AG236" s="2" t="e">
        <f>VLOOKUP(H236,#REF!,13,FALSE)</f>
        <v>#REF!</v>
      </c>
      <c r="AH236" s="2" t="e">
        <f>VLOOKUP(I236,#REF!,2,FALSE)</f>
        <v>#REF!</v>
      </c>
      <c r="AJ236" s="185" t="e">
        <f>VLOOKUP(H236,#REF!,3,FALSE)</f>
        <v>#REF!</v>
      </c>
      <c r="AK236" s="185" t="s">
        <v>684</v>
      </c>
      <c r="AL236" s="185" t="e">
        <f>VLOOKUP(H236,#REF!,13,FALSE)</f>
        <v>#REF!</v>
      </c>
      <c r="AM236" s="185" t="e">
        <f>VLOOKUP(CLEAN(H236),#REF!,7,FALSE)</f>
        <v>#REF!</v>
      </c>
      <c r="AN236" s="2" t="e">
        <f>VLOOKUP(H236,#REF!,8,FALSE)</f>
        <v>#REF!</v>
      </c>
      <c r="AO236" s="189" t="e">
        <f>VLOOKUP(H236,#REF!,2,FALSE)</f>
        <v>#REF!</v>
      </c>
      <c r="AP236" s="189" t="e">
        <f>VLOOKUP(H236,#REF!,2,FALSE)</f>
        <v>#REF!</v>
      </c>
      <c r="AQ236" s="189"/>
      <c r="AR236" s="2" t="e">
        <f>VLOOKUP(CLEAN(H236),#REF!,2,FALSE)</f>
        <v>#REF!</v>
      </c>
      <c r="AT236" s="2" t="e">
        <f>VLOOKUP(H236,#REF!,13,FALSE)</f>
        <v>#REF!</v>
      </c>
      <c r="AU236" s="2" t="e">
        <f>VLOOKUP(H236,#REF!,13,FALSE)</f>
        <v>#REF!</v>
      </c>
      <c r="AV236" s="2" t="e">
        <f>VLOOKUP(H236,#REF!,13,FALSE)</f>
        <v>#REF!</v>
      </c>
      <c r="AW236" s="2" t="e">
        <f>VLOOKUP(H236,#REF!,13,FALSE)</f>
        <v>#REF!</v>
      </c>
      <c r="AX236" s="2" t="e">
        <f>VLOOKUP(H236,#REF!,9,FALSE)</f>
        <v>#REF!</v>
      </c>
      <c r="AY236" s="2" t="e">
        <f>VLOOKUP(H236,#REF!,2,FALSE)</f>
        <v>#REF!</v>
      </c>
      <c r="AZ236" s="2" t="e">
        <f>VLOOKUP(H236,#REF!,2,FALSE)</f>
        <v>#REF!</v>
      </c>
      <c r="BF236" s="189" t="e">
        <f>VLOOKUP(CLEAN(H236),#REF!,2,FALSE)</f>
        <v>#REF!</v>
      </c>
      <c r="BG236" s="189" t="e">
        <f>T236-BF236</f>
        <v>#REF!</v>
      </c>
      <c r="BO236" s="2" t="e">
        <f>VLOOKUP(H236,#REF!,13,FALSE)</f>
        <v>#REF!</v>
      </c>
      <c r="BP236" s="2" t="e">
        <f>VLOOKUP(H236,#REF!,2,FALSE)</f>
        <v>#REF!</v>
      </c>
      <c r="BQ236" s="2" t="e">
        <f>VLOOKUP(H236,#REF!,13,FALSE)</f>
        <v>#REF!</v>
      </c>
      <c r="BR236" s="2" t="e">
        <f>VLOOKUP(H236,#REF!,3,FALSE)</f>
        <v>#REF!</v>
      </c>
    </row>
    <row r="237" spans="1:70" s="2" customFormat="1" ht="15" customHeight="1" outlineLevel="2">
      <c r="A237" s="5">
        <v>31</v>
      </c>
      <c r="B237" s="5" t="s">
        <v>11</v>
      </c>
      <c r="C237" s="5" t="s">
        <v>241</v>
      </c>
      <c r="D237" s="5" t="s">
        <v>22</v>
      </c>
      <c r="E237" s="5" t="s">
        <v>71</v>
      </c>
      <c r="F237" s="5" t="s">
        <v>457</v>
      </c>
      <c r="G237" s="5" t="s">
        <v>144</v>
      </c>
      <c r="H237" s="12">
        <v>30487413</v>
      </c>
      <c r="I237" s="42" t="str">
        <f t="shared" si="134"/>
        <v>30487413-EJECUCION</v>
      </c>
      <c r="J237" s="12"/>
      <c r="K237" s="307" t="str">
        <f t="shared" si="135"/>
        <v>30487413</v>
      </c>
      <c r="L237" s="15" t="s">
        <v>644</v>
      </c>
      <c r="M237" s="23">
        <v>248354000</v>
      </c>
      <c r="N237" s="34">
        <v>0</v>
      </c>
      <c r="O237" s="34">
        <v>0</v>
      </c>
      <c r="P237" s="310">
        <v>0</v>
      </c>
      <c r="Q237" s="34">
        <v>0</v>
      </c>
      <c r="R237" s="308">
        <v>0</v>
      </c>
      <c r="S237" s="34">
        <f t="shared" si="136"/>
        <v>0</v>
      </c>
      <c r="T237" s="34">
        <v>0</v>
      </c>
      <c r="U237" s="34">
        <v>0</v>
      </c>
      <c r="V237" s="34">
        <f>P237+Q237+R237+T237+U237</f>
        <v>0</v>
      </c>
      <c r="W237" s="34">
        <f>O237-V237</f>
        <v>0</v>
      </c>
      <c r="X237" s="34">
        <f>M237-(N237+O237)</f>
        <v>248354000</v>
      </c>
      <c r="Y237" s="48" t="s">
        <v>243</v>
      </c>
      <c r="Z237" s="48" t="s">
        <v>10</v>
      </c>
      <c r="AA237" s="2" t="s">
        <v>843</v>
      </c>
      <c r="AB237" s="2" t="e">
        <f>VLOOKUP(H237,#REF!,2,FALSE)</f>
        <v>#REF!</v>
      </c>
      <c r="AD237" s="2" t="e">
        <f>VLOOKUP(H237,#REF!,13,FALSE)</f>
        <v>#REF!</v>
      </c>
      <c r="AE237" s="2" t="e">
        <f>VLOOKUP(I237,#REF!,7,FALSE)</f>
        <v>#REF!</v>
      </c>
      <c r="AG237" s="2" t="e">
        <f>VLOOKUP(H237,#REF!,13,FALSE)</f>
        <v>#REF!</v>
      </c>
      <c r="AH237" s="2" t="e">
        <f>VLOOKUP(I237,#REF!,2,FALSE)</f>
        <v>#REF!</v>
      </c>
      <c r="AJ237" s="185" t="e">
        <f>VLOOKUP(H237,#REF!,3,FALSE)</f>
        <v>#REF!</v>
      </c>
      <c r="AK237" s="185"/>
      <c r="AL237" s="185" t="e">
        <f>VLOOKUP(H237,#REF!,13,FALSE)</f>
        <v>#REF!</v>
      </c>
      <c r="AM237" s="185" t="e">
        <f>VLOOKUP(CLEAN(H237),#REF!,7,FALSE)</f>
        <v>#REF!</v>
      </c>
      <c r="AN237" s="2" t="e">
        <f>VLOOKUP(H237,#REF!,8,FALSE)</f>
        <v>#REF!</v>
      </c>
      <c r="AO237" s="189" t="e">
        <f>VLOOKUP(H237,#REF!,2,FALSE)</f>
        <v>#REF!</v>
      </c>
      <c r="AP237" s="189" t="e">
        <f>VLOOKUP(H237,#REF!,2,FALSE)</f>
        <v>#REF!</v>
      </c>
      <c r="AQ237" s="189"/>
      <c r="AR237" s="2" t="e">
        <f>VLOOKUP(CLEAN(H237),#REF!,2,FALSE)</f>
        <v>#REF!</v>
      </c>
      <c r="AT237" s="2" t="e">
        <f>VLOOKUP(H237,#REF!,13,FALSE)</f>
        <v>#REF!</v>
      </c>
      <c r="AU237" s="2" t="e">
        <f>VLOOKUP(H237,#REF!,13,FALSE)</f>
        <v>#REF!</v>
      </c>
      <c r="AV237" s="2" t="e">
        <f>VLOOKUP(H237,#REF!,13,FALSE)</f>
        <v>#REF!</v>
      </c>
      <c r="AW237" s="2" t="e">
        <f>VLOOKUP(H237,#REF!,13,FALSE)</f>
        <v>#REF!</v>
      </c>
      <c r="AX237" s="2" t="e">
        <f>VLOOKUP(H237,#REF!,9,FALSE)</f>
        <v>#REF!</v>
      </c>
      <c r="AY237" s="2" t="e">
        <f>VLOOKUP(H237,#REF!,2,FALSE)</f>
        <v>#REF!</v>
      </c>
      <c r="AZ237" s="189" t="e">
        <f>VLOOKUP(H237,#REF!,2,FALSE)</f>
        <v>#REF!</v>
      </c>
      <c r="BF237" s="189" t="e">
        <f>VLOOKUP(CLEAN(H237),#REF!,2,FALSE)</f>
        <v>#REF!</v>
      </c>
      <c r="BG237" s="189" t="e">
        <f>T237-BF237</f>
        <v>#REF!</v>
      </c>
      <c r="BO237" s="2" t="e">
        <f>VLOOKUP(H237,#REF!,13,FALSE)</f>
        <v>#REF!</v>
      </c>
      <c r="BP237" s="2" t="e">
        <f>VLOOKUP(H237,#REF!,2,FALSE)</f>
        <v>#REF!</v>
      </c>
      <c r="BQ237" s="2" t="e">
        <f>VLOOKUP(H237,#REF!,13,FALSE)</f>
        <v>#REF!</v>
      </c>
      <c r="BR237" s="2" t="e">
        <f>VLOOKUP(H237,#REF!,3,FALSE)</f>
        <v>#REF!</v>
      </c>
    </row>
    <row r="238" spans="1:70" s="2" customFormat="1" ht="15" customHeight="1" outlineLevel="2">
      <c r="A238" s="5">
        <v>31</v>
      </c>
      <c r="B238" s="5" t="s">
        <v>54</v>
      </c>
      <c r="C238" s="5" t="s">
        <v>240</v>
      </c>
      <c r="D238" s="5" t="s">
        <v>22</v>
      </c>
      <c r="E238" s="5" t="s">
        <v>71</v>
      </c>
      <c r="F238" s="5" t="s">
        <v>457</v>
      </c>
      <c r="G238" s="5" t="s">
        <v>144</v>
      </c>
      <c r="H238" s="12">
        <v>30128140</v>
      </c>
      <c r="I238" s="42" t="str">
        <f t="shared" si="134"/>
        <v>30128140-EJECUCION</v>
      </c>
      <c r="J238" s="12"/>
      <c r="K238" s="307" t="str">
        <f t="shared" si="135"/>
        <v>30128140</v>
      </c>
      <c r="L238" s="15" t="s">
        <v>59</v>
      </c>
      <c r="M238" s="23">
        <v>4090107000</v>
      </c>
      <c r="N238" s="34">
        <v>4000000</v>
      </c>
      <c r="O238" s="34">
        <f>1197902927-28576000-95538837-300000000</f>
        <v>773788090</v>
      </c>
      <c r="P238" s="310">
        <v>0</v>
      </c>
      <c r="Q238" s="34">
        <v>0</v>
      </c>
      <c r="R238" s="308">
        <v>0</v>
      </c>
      <c r="S238" s="34">
        <f t="shared" si="136"/>
        <v>0</v>
      </c>
      <c r="T238" s="34">
        <v>0</v>
      </c>
      <c r="U238" s="34">
        <v>0</v>
      </c>
      <c r="V238" s="34">
        <f>P238+Q238+R238+T238+U238</f>
        <v>0</v>
      </c>
      <c r="W238" s="34">
        <f>O238-V238</f>
        <v>773788090</v>
      </c>
      <c r="X238" s="34">
        <f>M238-(N238+O238)</f>
        <v>3312318910</v>
      </c>
      <c r="Y238" s="48" t="s">
        <v>243</v>
      </c>
      <c r="Z238" s="48" t="s">
        <v>8</v>
      </c>
      <c r="AA238" s="2" t="s">
        <v>847</v>
      </c>
      <c r="AB238" s="2" t="e">
        <f>VLOOKUP(H238,#REF!,2,FALSE)</f>
        <v>#REF!</v>
      </c>
      <c r="AC238" s="2" t="e">
        <f>VLOOKUP(I238,#REF!,2,FALSE)</f>
        <v>#REF!</v>
      </c>
      <c r="AD238" s="2" t="e">
        <f>VLOOKUP(H238,#REF!,13,FALSE)</f>
        <v>#REF!</v>
      </c>
      <c r="AE238" s="2" t="e">
        <f>VLOOKUP(I238,#REF!,7,FALSE)</f>
        <v>#REF!</v>
      </c>
      <c r="AG238" s="2" t="e">
        <f>VLOOKUP(H238,#REF!,13,FALSE)</f>
        <v>#REF!</v>
      </c>
      <c r="AH238" s="2" t="e">
        <f>VLOOKUP(I238,#REF!,2,FALSE)</f>
        <v>#REF!</v>
      </c>
      <c r="AJ238" s="185" t="e">
        <f>VLOOKUP(H238,#REF!,3,FALSE)</f>
        <v>#REF!</v>
      </c>
      <c r="AK238" s="185" t="s">
        <v>686</v>
      </c>
      <c r="AL238" s="185" t="s">
        <v>658</v>
      </c>
      <c r="AM238" s="185" t="e">
        <f>VLOOKUP(CLEAN(H238),#REF!,7,FALSE)</f>
        <v>#REF!</v>
      </c>
      <c r="AN238" s="2" t="e">
        <f>VLOOKUP(H238,#REF!,8,FALSE)</f>
        <v>#REF!</v>
      </c>
      <c r="AO238" s="189" t="e">
        <f>VLOOKUP(H238,#REF!,2,FALSE)</f>
        <v>#REF!</v>
      </c>
      <c r="AP238" s="189" t="e">
        <f>VLOOKUP(H238,#REF!,2,FALSE)</f>
        <v>#REF!</v>
      </c>
      <c r="AQ238" s="189"/>
      <c r="AR238" s="2" t="e">
        <f>VLOOKUP(CLEAN(H238),#REF!,2,FALSE)</f>
        <v>#REF!</v>
      </c>
      <c r="AT238" s="2" t="e">
        <f>VLOOKUP(H238,#REF!,13,FALSE)</f>
        <v>#REF!</v>
      </c>
      <c r="AU238" s="2" t="e">
        <f>VLOOKUP(H238,#REF!,13,FALSE)</f>
        <v>#REF!</v>
      </c>
      <c r="AV238" s="2" t="e">
        <f>VLOOKUP(H238,#REF!,13,FALSE)</f>
        <v>#REF!</v>
      </c>
      <c r="AW238" s="2" t="e">
        <f>VLOOKUP(H238,#REF!,13,FALSE)</f>
        <v>#REF!</v>
      </c>
      <c r="AX238" s="2" t="e">
        <f>VLOOKUP(H238,#REF!,9,FALSE)</f>
        <v>#REF!</v>
      </c>
      <c r="AZ238" s="2" t="e">
        <f>VLOOKUP(H238,#REF!,2,FALSE)</f>
        <v>#REF!</v>
      </c>
      <c r="BF238" s="189" t="e">
        <f>VLOOKUP(CLEAN(H238),#REF!,2,FALSE)</f>
        <v>#REF!</v>
      </c>
      <c r="BG238" s="189" t="e">
        <f>T238-BF238</f>
        <v>#REF!</v>
      </c>
      <c r="BO238" s="2" t="e">
        <f>VLOOKUP(H238,#REF!,13,FALSE)</f>
        <v>#REF!</v>
      </c>
      <c r="BP238" s="2" t="e">
        <f>VLOOKUP(H238,#REF!,2,FALSE)</f>
        <v>#REF!</v>
      </c>
      <c r="BQ238" s="2" t="e">
        <f>VLOOKUP(H238,#REF!,13,FALSE)</f>
        <v>#REF!</v>
      </c>
      <c r="BR238" s="2" t="e">
        <f>VLOOKUP(H238,#REF!,3,FALSE)</f>
        <v>#REF!</v>
      </c>
    </row>
    <row r="239" spans="1:70" s="2" customFormat="1" ht="15" customHeight="1" outlineLevel="2">
      <c r="A239" s="5">
        <v>31</v>
      </c>
      <c r="B239" s="5" t="s">
        <v>11</v>
      </c>
      <c r="C239" s="5" t="s">
        <v>248</v>
      </c>
      <c r="D239" s="5" t="s">
        <v>22</v>
      </c>
      <c r="E239" s="5" t="s">
        <v>71</v>
      </c>
      <c r="F239" s="5" t="s">
        <v>457</v>
      </c>
      <c r="G239" s="5" t="s">
        <v>144</v>
      </c>
      <c r="H239" s="12">
        <v>30481304</v>
      </c>
      <c r="I239" s="42" t="str">
        <f t="shared" si="134"/>
        <v>30481304-EJECUCION</v>
      </c>
      <c r="J239" s="12"/>
      <c r="K239" s="307" t="str">
        <f t="shared" si="135"/>
        <v>30481304</v>
      </c>
      <c r="L239" s="15" t="s">
        <v>677</v>
      </c>
      <c r="M239" s="23">
        <v>597291000</v>
      </c>
      <c r="N239" s="34">
        <v>0</v>
      </c>
      <c r="O239" s="34">
        <v>0</v>
      </c>
      <c r="P239" s="310">
        <v>0</v>
      </c>
      <c r="Q239" s="34">
        <v>0</v>
      </c>
      <c r="R239" s="308">
        <v>0</v>
      </c>
      <c r="S239" s="34">
        <f t="shared" si="136"/>
        <v>0</v>
      </c>
      <c r="T239" s="34">
        <v>0</v>
      </c>
      <c r="U239" s="34">
        <v>0</v>
      </c>
      <c r="V239" s="34">
        <f>P239+Q239+R239+T239+U239</f>
        <v>0</v>
      </c>
      <c r="W239" s="34">
        <f>O239-V239</f>
        <v>0</v>
      </c>
      <c r="X239" s="34">
        <f>M239-(N239+O239)</f>
        <v>597291000</v>
      </c>
      <c r="Y239" s="48" t="s">
        <v>243</v>
      </c>
      <c r="Z239" s="48" t="s">
        <v>8</v>
      </c>
      <c r="AA239" s="2" t="s">
        <v>843</v>
      </c>
      <c r="AB239" s="2" t="e">
        <f>VLOOKUP(H239,#REF!,2,FALSE)</f>
        <v>#REF!</v>
      </c>
      <c r="AJ239" s="185" t="e">
        <f>VLOOKUP(H239,#REF!,3,FALSE)</f>
        <v>#REF!</v>
      </c>
      <c r="AK239" s="185"/>
      <c r="AL239" s="185" t="e">
        <f>VLOOKUP(H239,#REF!,13,FALSE)</f>
        <v>#REF!</v>
      </c>
      <c r="AM239" s="185" t="e">
        <f>VLOOKUP(CLEAN(H239),#REF!,7,FALSE)</f>
        <v>#REF!</v>
      </c>
      <c r="AN239" s="2" t="e">
        <f>VLOOKUP(H239,#REF!,8,FALSE)</f>
        <v>#REF!</v>
      </c>
      <c r="AO239" s="189" t="e">
        <f>VLOOKUP(H239,#REF!,2,FALSE)</f>
        <v>#REF!</v>
      </c>
      <c r="AP239" s="189" t="e">
        <f>VLOOKUP(H239,#REF!,2,FALSE)</f>
        <v>#REF!</v>
      </c>
      <c r="AQ239" s="189"/>
      <c r="AR239" s="2" t="e">
        <f>VLOOKUP(CLEAN(H239),#REF!,2,FALSE)</f>
        <v>#REF!</v>
      </c>
      <c r="AT239" s="2" t="e">
        <f>VLOOKUP(H239,#REF!,13,FALSE)</f>
        <v>#REF!</v>
      </c>
      <c r="AU239" s="2" t="e">
        <f>VLOOKUP(H239,#REF!,13,FALSE)</f>
        <v>#REF!</v>
      </c>
      <c r="AV239" s="2" t="e">
        <f>VLOOKUP(H239,#REF!,13,FALSE)</f>
        <v>#REF!</v>
      </c>
      <c r="AW239" s="2" t="e">
        <f>VLOOKUP(H239,#REF!,13,FALSE)</f>
        <v>#REF!</v>
      </c>
      <c r="AX239" s="2" t="e">
        <f>VLOOKUP(H239,#REF!,9,FALSE)</f>
        <v>#REF!</v>
      </c>
      <c r="AZ239" s="189" t="e">
        <f>VLOOKUP(H239,#REF!,2,FALSE)</f>
        <v>#REF!</v>
      </c>
      <c r="BF239" s="189" t="e">
        <f>VLOOKUP(CLEAN(H239),#REF!,2,FALSE)</f>
        <v>#REF!</v>
      </c>
      <c r="BG239" s="189" t="e">
        <f>T239-BF239</f>
        <v>#REF!</v>
      </c>
      <c r="BO239" s="2" t="e">
        <f>VLOOKUP(H239,#REF!,13,FALSE)</f>
        <v>#REF!</v>
      </c>
      <c r="BP239" s="2" t="e">
        <f>VLOOKUP(H239,#REF!,2,FALSE)</f>
        <v>#REF!</v>
      </c>
      <c r="BQ239" s="2" t="e">
        <f>VLOOKUP(H239,#REF!,13,FALSE)</f>
        <v>#REF!</v>
      </c>
      <c r="BR239" s="2" t="e">
        <f>VLOOKUP(H239,#REF!,3,FALSE)</f>
        <v>#REF!</v>
      </c>
    </row>
    <row r="240" spans="1:70" s="2" customFormat="1" ht="15" customHeight="1" outlineLevel="2">
      <c r="A240" s="5">
        <v>31</v>
      </c>
      <c r="B240" s="5" t="s">
        <v>11</v>
      </c>
      <c r="C240" s="5" t="s">
        <v>252</v>
      </c>
      <c r="D240" s="5" t="s">
        <v>22</v>
      </c>
      <c r="E240" s="5" t="s">
        <v>71</v>
      </c>
      <c r="F240" s="5" t="s">
        <v>75</v>
      </c>
      <c r="G240" s="5" t="s">
        <v>144</v>
      </c>
      <c r="H240" s="12">
        <v>30488869</v>
      </c>
      <c r="I240" s="42" t="str">
        <f t="shared" si="134"/>
        <v>30488869-EJECUCION</v>
      </c>
      <c r="J240" s="190"/>
      <c r="K240" s="307" t="str">
        <f t="shared" si="135"/>
        <v>30488869</v>
      </c>
      <c r="L240" s="15" t="s">
        <v>700</v>
      </c>
      <c r="M240" s="23">
        <v>55662000</v>
      </c>
      <c r="N240" s="34">
        <v>0</v>
      </c>
      <c r="O240" s="34">
        <v>55662000</v>
      </c>
      <c r="P240" s="310">
        <v>0</v>
      </c>
      <c r="Q240" s="34">
        <v>0</v>
      </c>
      <c r="R240" s="308">
        <v>0</v>
      </c>
      <c r="S240" s="34">
        <f t="shared" si="136"/>
        <v>0</v>
      </c>
      <c r="T240" s="34">
        <v>0</v>
      </c>
      <c r="U240" s="34">
        <v>0</v>
      </c>
      <c r="V240" s="34">
        <f>P240+Q240+R240+T240+U240</f>
        <v>0</v>
      </c>
      <c r="W240" s="34">
        <f>O240-V240</f>
        <v>55662000</v>
      </c>
      <c r="X240" s="34">
        <f>M240-(N240+O240)</f>
        <v>0</v>
      </c>
      <c r="Y240" s="48" t="s">
        <v>418</v>
      </c>
      <c r="Z240" s="48" t="s">
        <v>8</v>
      </c>
      <c r="AA240" s="2" t="e">
        <v>#N/A</v>
      </c>
      <c r="AB240" s="2" t="e">
        <f>VLOOKUP(H240,#REF!,2,FALSE)</f>
        <v>#REF!</v>
      </c>
      <c r="AJ240" s="185"/>
      <c r="AK240" s="185"/>
      <c r="AL240" s="185"/>
      <c r="AM240" s="185"/>
      <c r="AN240" s="2" t="e">
        <f>VLOOKUP(H240,#REF!,8,FALSE)</f>
        <v>#REF!</v>
      </c>
      <c r="AO240" s="189" t="e">
        <f>VLOOKUP(H240,#REF!,2,FALSE)</f>
        <v>#REF!</v>
      </c>
      <c r="AP240" s="189" t="e">
        <f>VLOOKUP(H240,#REF!,2,FALSE)</f>
        <v>#REF!</v>
      </c>
      <c r="AQ240" s="189"/>
      <c r="AR240" s="2" t="e">
        <f>VLOOKUP(CLEAN(H240),#REF!,2,FALSE)</f>
        <v>#REF!</v>
      </c>
      <c r="AT240" s="2" t="e">
        <f>VLOOKUP(H240,#REF!,13,FALSE)</f>
        <v>#REF!</v>
      </c>
      <c r="AU240" s="2" t="e">
        <f>VLOOKUP(H240,#REF!,13,FALSE)</f>
        <v>#REF!</v>
      </c>
      <c r="AV240" s="2" t="e">
        <f>VLOOKUP(H240,#REF!,13,FALSE)</f>
        <v>#REF!</v>
      </c>
      <c r="AW240" s="2" t="e">
        <f>VLOOKUP(H240,#REF!,13,FALSE)</f>
        <v>#REF!</v>
      </c>
      <c r="AX240" s="2" t="e">
        <f>VLOOKUP(H240,#REF!,9,FALSE)</f>
        <v>#REF!</v>
      </c>
      <c r="AZ240" s="189" t="e">
        <f>VLOOKUP(H240,#REF!,2,FALSE)</f>
        <v>#REF!</v>
      </c>
      <c r="BF240" s="189" t="e">
        <f>VLOOKUP(CLEAN(H240),#REF!,2,FALSE)</f>
        <v>#REF!</v>
      </c>
      <c r="BG240" s="189" t="e">
        <f>T240-BF240</f>
        <v>#REF!</v>
      </c>
      <c r="BO240" s="2" t="e">
        <f>VLOOKUP(H240,#REF!,13,FALSE)</f>
        <v>#REF!</v>
      </c>
      <c r="BP240" s="2" t="e">
        <f>VLOOKUP(H240,#REF!,2,FALSE)</f>
        <v>#REF!</v>
      </c>
      <c r="BQ240" s="2" t="e">
        <f>VLOOKUP(H240,#REF!,13,FALSE)</f>
        <v>#REF!</v>
      </c>
      <c r="BR240" s="2" t="e">
        <f>VLOOKUP(H240,#REF!,3,FALSE)</f>
        <v>#REF!</v>
      </c>
    </row>
    <row r="241" spans="1:70" ht="15" customHeight="1" outlineLevel="2">
      <c r="A241" s="7"/>
      <c r="B241" s="7"/>
      <c r="C241" s="7"/>
      <c r="D241" s="7"/>
      <c r="E241" s="7"/>
      <c r="F241" s="7"/>
      <c r="G241" s="7"/>
      <c r="H241" s="11"/>
      <c r="I241" s="11"/>
      <c r="J241" s="11"/>
      <c r="K241" s="11"/>
      <c r="L241" s="17" t="s">
        <v>702</v>
      </c>
      <c r="M241" s="27">
        <f>SUBTOTAL(9,M235:M240)</f>
        <v>8411245000</v>
      </c>
      <c r="N241" s="27">
        <f t="shared" ref="N241:O241" si="137">SUBTOTAL(9,N235:N240)</f>
        <v>4000000</v>
      </c>
      <c r="O241" s="27">
        <f t="shared" si="137"/>
        <v>1328106171</v>
      </c>
      <c r="P241" s="24">
        <f t="shared" ref="P241:X241" si="138">SUBTOTAL(9,P235:P240)</f>
        <v>0</v>
      </c>
      <c r="Q241" s="24">
        <f t="shared" si="138"/>
        <v>0</v>
      </c>
      <c r="R241" s="24">
        <f t="shared" si="138"/>
        <v>0</v>
      </c>
      <c r="S241" s="27">
        <f t="shared" si="138"/>
        <v>0</v>
      </c>
      <c r="T241" s="27">
        <f t="shared" si="138"/>
        <v>0</v>
      </c>
      <c r="U241" s="27">
        <f t="shared" si="138"/>
        <v>5480000</v>
      </c>
      <c r="V241" s="27">
        <f t="shared" si="138"/>
        <v>5480000</v>
      </c>
      <c r="W241" s="27">
        <f t="shared" si="138"/>
        <v>1322626171</v>
      </c>
      <c r="X241" s="27">
        <f t="shared" si="138"/>
        <v>7079138829</v>
      </c>
      <c r="Y241" s="47"/>
      <c r="Z241" s="47"/>
      <c r="AM241" s="185" t="e">
        <f>VLOOKUP(CLEAN(H241),#REF!,7,FALSE)</f>
        <v>#REF!</v>
      </c>
      <c r="AO241"/>
      <c r="AP241"/>
      <c r="AQ241"/>
      <c r="AR241" s="2" t="e">
        <f>VLOOKUP(CLEAN(H241),#REF!,2,FALSE)</f>
        <v>#REF!</v>
      </c>
      <c r="AZ241" s="2" t="e">
        <f>VLOOKUP(H241,#REF!,2,FALSE)</f>
        <v>#REF!</v>
      </c>
      <c r="BO241" s="2" t="e">
        <f>VLOOKUP(H241,#REF!,13,FALSE)</f>
        <v>#REF!</v>
      </c>
      <c r="BQ241" s="2" t="e">
        <f>VLOOKUP(H241,#REF!,13,FALSE)</f>
        <v>#REF!</v>
      </c>
    </row>
    <row r="242" spans="1:70" ht="15" customHeight="1" outlineLevel="2">
      <c r="A242" s="7"/>
      <c r="B242" s="7"/>
      <c r="C242" s="7"/>
      <c r="D242" s="7"/>
      <c r="E242" s="7"/>
      <c r="F242" s="7"/>
      <c r="G242" s="7"/>
      <c r="H242" s="11"/>
      <c r="I242" s="11"/>
      <c r="J242" s="11"/>
      <c r="K242" s="11"/>
      <c r="L242" s="292"/>
      <c r="M242" s="22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47"/>
      <c r="Z242" s="47"/>
      <c r="AM242" s="185" t="e">
        <f>VLOOKUP(CLEAN(H242),#REF!,7,FALSE)</f>
        <v>#REF!</v>
      </c>
      <c r="AO242"/>
      <c r="AP242"/>
      <c r="AQ242"/>
      <c r="AR242" s="2" t="e">
        <f>VLOOKUP(CLEAN(H242),#REF!,2,FALSE)</f>
        <v>#REF!</v>
      </c>
      <c r="AZ242" s="2" t="e">
        <f>VLOOKUP(H242,#REF!,2,FALSE)</f>
        <v>#REF!</v>
      </c>
      <c r="BO242" s="2" t="e">
        <f>VLOOKUP(H242,#REF!,13,FALSE)</f>
        <v>#REF!</v>
      </c>
      <c r="BP242" s="293"/>
      <c r="BQ242" s="2" t="e">
        <f>VLOOKUP(H242,#REF!,13,FALSE)</f>
        <v>#REF!</v>
      </c>
    </row>
    <row r="243" spans="1:70" ht="15" customHeight="1" outlineLevel="2">
      <c r="A243" s="7"/>
      <c r="B243" s="7"/>
      <c r="C243" s="7"/>
      <c r="D243" s="7"/>
      <c r="E243" s="7"/>
      <c r="F243" s="7"/>
      <c r="G243" s="7"/>
      <c r="H243" s="11"/>
      <c r="I243" s="11"/>
      <c r="J243" s="11"/>
      <c r="K243" s="11"/>
      <c r="L243" s="18" t="s">
        <v>696</v>
      </c>
      <c r="M243" s="22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47"/>
      <c r="Z243" s="47"/>
      <c r="AM243" s="185" t="e">
        <f>VLOOKUP(CLEAN(H243),#REF!,7,FALSE)</f>
        <v>#REF!</v>
      </c>
      <c r="AO243"/>
      <c r="AP243"/>
      <c r="AQ243"/>
      <c r="AR243" s="2" t="e">
        <f>VLOOKUP(CLEAN(H243),#REF!,2,FALSE)</f>
        <v>#REF!</v>
      </c>
      <c r="AZ243" s="2" t="e">
        <f>VLOOKUP(H243,#REF!,2,FALSE)</f>
        <v>#REF!</v>
      </c>
      <c r="BO243" s="2" t="e">
        <f>VLOOKUP(H243,#REF!,13,FALSE)</f>
        <v>#REF!</v>
      </c>
      <c r="BQ243" s="2" t="e">
        <f>VLOOKUP(H243,#REF!,13,FALSE)</f>
        <v>#REF!</v>
      </c>
    </row>
    <row r="244" spans="1:70" s="2" customFormat="1" ht="15" customHeight="1" outlineLevel="2">
      <c r="A244" s="5">
        <v>31</v>
      </c>
      <c r="B244" s="5" t="s">
        <v>11</v>
      </c>
      <c r="C244" s="5" t="s">
        <v>241</v>
      </c>
      <c r="D244" s="5" t="s">
        <v>22</v>
      </c>
      <c r="E244" s="5" t="s">
        <v>71</v>
      </c>
      <c r="F244" s="5" t="s">
        <v>89</v>
      </c>
      <c r="G244" s="5" t="s">
        <v>9</v>
      </c>
      <c r="H244" s="12">
        <v>30480704</v>
      </c>
      <c r="I244" s="42" t="str">
        <f t="shared" ref="I244:I249" si="139">CONCATENATE(H244,"-",G244)</f>
        <v>30480704-DISEÑO</v>
      </c>
      <c r="J244" s="12"/>
      <c r="K244" s="307" t="str">
        <f t="shared" ref="K244:K249" si="140">CLEAN(H244)</f>
        <v>30480704</v>
      </c>
      <c r="L244" s="15" t="s">
        <v>776</v>
      </c>
      <c r="M244" s="23">
        <v>37736000</v>
      </c>
      <c r="N244" s="34">
        <v>0</v>
      </c>
      <c r="O244" s="34">
        <v>37736000</v>
      </c>
      <c r="P244" s="310">
        <v>0</v>
      </c>
      <c r="Q244" s="34">
        <v>0</v>
      </c>
      <c r="R244" s="308">
        <v>0</v>
      </c>
      <c r="S244" s="34">
        <f t="shared" ref="S244:S249" si="141">P244+Q244+R244</f>
        <v>0</v>
      </c>
      <c r="T244" s="34">
        <v>0</v>
      </c>
      <c r="U244" s="34">
        <v>0</v>
      </c>
      <c r="V244" s="34">
        <f>P244+Q244+R244+T244+U244</f>
        <v>0</v>
      </c>
      <c r="W244" s="34">
        <f>O244-V244</f>
        <v>37736000</v>
      </c>
      <c r="X244" s="34">
        <f>M244-(N244+O244)</f>
        <v>0</v>
      </c>
      <c r="Y244" s="48" t="s">
        <v>247</v>
      </c>
      <c r="Z244" s="48" t="s">
        <v>10</v>
      </c>
      <c r="AA244" s="2" t="e">
        <v>#N/A</v>
      </c>
      <c r="AB244" s="2" t="e">
        <f>VLOOKUP(H244,#REF!,2,FALSE)</f>
        <v>#REF!</v>
      </c>
      <c r="AC244" s="2" t="e">
        <f>VLOOKUP(I244,#REF!,2,FALSE)</f>
        <v>#REF!</v>
      </c>
      <c r="AD244" s="2" t="e">
        <f>VLOOKUP(H244,#REF!,13,FALSE)</f>
        <v>#REF!</v>
      </c>
      <c r="AE244" s="2" t="e">
        <f>VLOOKUP(I244,#REF!,7,FALSE)</f>
        <v>#REF!</v>
      </c>
      <c r="AG244" s="2" t="e">
        <f>VLOOKUP(H244,#REF!,13,FALSE)</f>
        <v>#REF!</v>
      </c>
      <c r="AH244" s="2" t="e">
        <f>VLOOKUP(I244,#REF!,2,FALSE)</f>
        <v>#REF!</v>
      </c>
      <c r="AJ244" s="185" t="e">
        <f>VLOOKUP(H244,#REF!,3,FALSE)</f>
        <v>#REF!</v>
      </c>
      <c r="AK244" s="185" t="s">
        <v>685</v>
      </c>
      <c r="AL244" s="185" t="e">
        <f>VLOOKUP(H244,#REF!,13,FALSE)</f>
        <v>#REF!</v>
      </c>
      <c r="AM244" s="185" t="e">
        <f>VLOOKUP(CLEAN(H244),#REF!,7,FALSE)</f>
        <v>#REF!</v>
      </c>
      <c r="AN244" s="2" t="e">
        <f>VLOOKUP(H244,#REF!,8,FALSE)</f>
        <v>#REF!</v>
      </c>
      <c r="AO244" s="189" t="e">
        <f>VLOOKUP(H244,#REF!,2,FALSE)</f>
        <v>#REF!</v>
      </c>
      <c r="AP244" s="189" t="e">
        <f>VLOOKUP(H244,#REF!,2,FALSE)</f>
        <v>#REF!</v>
      </c>
      <c r="AQ244" s="189"/>
      <c r="AR244" s="2" t="e">
        <f>VLOOKUP(CLEAN(H244),#REF!,2,FALSE)</f>
        <v>#REF!</v>
      </c>
      <c r="AT244" s="2" t="e">
        <f>VLOOKUP(H244,#REF!,13,FALSE)</f>
        <v>#REF!</v>
      </c>
      <c r="AU244" s="2" t="e">
        <f>VLOOKUP(H244,#REF!,13,FALSE)</f>
        <v>#REF!</v>
      </c>
      <c r="AV244" s="2" t="e">
        <f>VLOOKUP(H244,#REF!,13,FALSE)</f>
        <v>#REF!</v>
      </c>
      <c r="AW244" s="2" t="e">
        <f>VLOOKUP(H244,#REF!,13,FALSE)</f>
        <v>#REF!</v>
      </c>
      <c r="AX244" s="2" t="e">
        <f>VLOOKUP(H244,#REF!,9,FALSE)</f>
        <v>#REF!</v>
      </c>
      <c r="AZ244" s="2" t="e">
        <f>VLOOKUP(H244,#REF!,2,FALSE)</f>
        <v>#REF!</v>
      </c>
      <c r="BF244" s="189" t="e">
        <f>VLOOKUP(CLEAN(H244),#REF!,2,FALSE)</f>
        <v>#REF!</v>
      </c>
      <c r="BG244" s="189" t="e">
        <f>T244-BF244</f>
        <v>#REF!</v>
      </c>
      <c r="BO244" s="2" t="e">
        <f>VLOOKUP(H244,#REF!,13,FALSE)</f>
        <v>#REF!</v>
      </c>
      <c r="BP244" s="2" t="e">
        <f>VLOOKUP(H244,#REF!,2,FALSE)</f>
        <v>#REF!</v>
      </c>
      <c r="BQ244" s="2" t="e">
        <f>VLOOKUP(H244,#REF!,13,FALSE)</f>
        <v>#REF!</v>
      </c>
      <c r="BR244" s="2" t="e">
        <f>VLOOKUP(H244,#REF!,3,FALSE)</f>
        <v>#REF!</v>
      </c>
    </row>
    <row r="245" spans="1:70" s="2" customFormat="1" ht="15" customHeight="1" outlineLevel="2">
      <c r="A245" s="5">
        <v>31</v>
      </c>
      <c r="B245" s="5" t="s">
        <v>11</v>
      </c>
      <c r="C245" s="5" t="s">
        <v>251</v>
      </c>
      <c r="D245" s="5" t="s">
        <v>22</v>
      </c>
      <c r="E245" s="5" t="s">
        <v>71</v>
      </c>
      <c r="F245" s="5" t="s">
        <v>457</v>
      </c>
      <c r="G245" s="5" t="s">
        <v>144</v>
      </c>
      <c r="H245" s="12">
        <v>30339322</v>
      </c>
      <c r="I245" s="42" t="str">
        <f t="shared" si="139"/>
        <v>30339322-EJECUCION</v>
      </c>
      <c r="J245" s="12"/>
      <c r="K245" s="307" t="str">
        <f t="shared" si="140"/>
        <v>30339322</v>
      </c>
      <c r="L245" s="15" t="s">
        <v>226</v>
      </c>
      <c r="M245" s="23">
        <v>3500000000</v>
      </c>
      <c r="N245" s="34">
        <v>0</v>
      </c>
      <c r="O245" s="34">
        <v>10000000</v>
      </c>
      <c r="P245" s="310">
        <v>0</v>
      </c>
      <c r="Q245" s="34">
        <v>0</v>
      </c>
      <c r="R245" s="308">
        <v>0</v>
      </c>
      <c r="S245" s="34">
        <f t="shared" si="141"/>
        <v>0</v>
      </c>
      <c r="T245" s="34">
        <v>0</v>
      </c>
      <c r="U245" s="34">
        <v>0</v>
      </c>
      <c r="V245" s="34">
        <f>P245+Q245+R245+T245+U245</f>
        <v>0</v>
      </c>
      <c r="W245" s="34">
        <f>O245-V245</f>
        <v>10000000</v>
      </c>
      <c r="X245" s="34">
        <f>M245-(N245+O245)</f>
        <v>3490000000</v>
      </c>
      <c r="Y245" s="48" t="s">
        <v>246</v>
      </c>
      <c r="Z245" s="48" t="s">
        <v>259</v>
      </c>
      <c r="AA245" s="2" t="e">
        <v>#N/A</v>
      </c>
      <c r="AB245" s="2" t="e">
        <f>VLOOKUP(H245,#REF!,2,FALSE)</f>
        <v>#REF!</v>
      </c>
      <c r="AC245" s="2" t="e">
        <f>VLOOKUP(I245,#REF!,2,FALSE)</f>
        <v>#REF!</v>
      </c>
      <c r="AD245" s="2" t="e">
        <f>VLOOKUP(H245,#REF!,13,FALSE)</f>
        <v>#REF!</v>
      </c>
      <c r="AE245" s="2" t="e">
        <f>VLOOKUP(I245,#REF!,7,FALSE)</f>
        <v>#REF!</v>
      </c>
      <c r="AG245" s="2" t="e">
        <f>VLOOKUP(H245,#REF!,13,FALSE)</f>
        <v>#REF!</v>
      </c>
      <c r="AH245" s="2" t="e">
        <f>VLOOKUP(I245,#REF!,2,FALSE)</f>
        <v>#REF!</v>
      </c>
      <c r="AJ245" s="185" t="e">
        <f>VLOOKUP(H245,#REF!,3,FALSE)</f>
        <v>#REF!</v>
      </c>
      <c r="AK245" s="185"/>
      <c r="AL245" s="185" t="e">
        <f>VLOOKUP(H245,#REF!,13,FALSE)</f>
        <v>#REF!</v>
      </c>
      <c r="AM245" s="185" t="e">
        <f>VLOOKUP(CLEAN(H245),#REF!,7,FALSE)</f>
        <v>#REF!</v>
      </c>
      <c r="AN245" s="2" t="e">
        <f>VLOOKUP(H245,#REF!,8,FALSE)</f>
        <v>#REF!</v>
      </c>
      <c r="AO245" s="189" t="e">
        <f>VLOOKUP(H245,#REF!,2,FALSE)</f>
        <v>#REF!</v>
      </c>
      <c r="AP245" s="189" t="e">
        <f>VLOOKUP(H245,#REF!,2,FALSE)</f>
        <v>#REF!</v>
      </c>
      <c r="AQ245" s="189"/>
      <c r="AR245" s="2" t="e">
        <f>VLOOKUP(CLEAN(H245),#REF!,2,FALSE)</f>
        <v>#REF!</v>
      </c>
      <c r="AT245" s="2" t="e">
        <f>VLOOKUP(H245,#REF!,13,FALSE)</f>
        <v>#REF!</v>
      </c>
      <c r="AU245" s="2" t="e">
        <f>VLOOKUP(H245,#REF!,13,FALSE)</f>
        <v>#REF!</v>
      </c>
      <c r="AV245" s="2" t="e">
        <f>VLOOKUP(H245,#REF!,13,FALSE)</f>
        <v>#REF!</v>
      </c>
      <c r="AW245" s="2" t="e">
        <f>VLOOKUP(H245,#REF!,13,FALSE)</f>
        <v>#REF!</v>
      </c>
      <c r="AX245" s="2" t="e">
        <f>VLOOKUP(H245,#REF!,9,FALSE)</f>
        <v>#REF!</v>
      </c>
      <c r="AZ245" s="2" t="e">
        <f>VLOOKUP(H245,#REF!,2,FALSE)</f>
        <v>#REF!</v>
      </c>
      <c r="BF245" s="189" t="e">
        <f>VLOOKUP(CLEAN(H245),#REF!,2,FALSE)</f>
        <v>#REF!</v>
      </c>
      <c r="BG245" s="189" t="e">
        <f>T245-BF245</f>
        <v>#REF!</v>
      </c>
      <c r="BO245" s="2" t="e">
        <f>VLOOKUP(H245,#REF!,13,FALSE)</f>
        <v>#REF!</v>
      </c>
      <c r="BP245" s="2" t="e">
        <f>VLOOKUP(H245,#REF!,2,FALSE)</f>
        <v>#REF!</v>
      </c>
      <c r="BQ245" s="2" t="e">
        <f>VLOOKUP(H245,#REF!,13,FALSE)</f>
        <v>#REF!</v>
      </c>
      <c r="BR245" s="2" t="e">
        <f>VLOOKUP(H245,#REF!,3,FALSE)</f>
        <v>#REF!</v>
      </c>
    </row>
    <row r="246" spans="1:70" s="2" customFormat="1" ht="15" customHeight="1" outlineLevel="2">
      <c r="A246" s="5">
        <v>31</v>
      </c>
      <c r="B246" s="5" t="s">
        <v>11</v>
      </c>
      <c r="C246" s="5" t="s">
        <v>241</v>
      </c>
      <c r="D246" s="5" t="s">
        <v>22</v>
      </c>
      <c r="E246" s="5" t="s">
        <v>71</v>
      </c>
      <c r="F246" s="5" t="s">
        <v>89</v>
      </c>
      <c r="G246" s="5" t="s">
        <v>9</v>
      </c>
      <c r="H246" s="12">
        <v>30437675</v>
      </c>
      <c r="I246" s="42" t="str">
        <f t="shared" si="139"/>
        <v>30437675-DISEÑO</v>
      </c>
      <c r="J246" s="12"/>
      <c r="K246" s="307" t="str">
        <f t="shared" si="140"/>
        <v>30437675</v>
      </c>
      <c r="L246" s="15" t="s">
        <v>423</v>
      </c>
      <c r="M246" s="23">
        <v>548000000</v>
      </c>
      <c r="N246" s="34">
        <v>0</v>
      </c>
      <c r="O246" s="34">
        <v>30000000</v>
      </c>
      <c r="P246" s="310">
        <v>0</v>
      </c>
      <c r="Q246" s="34">
        <v>0</v>
      </c>
      <c r="R246" s="308">
        <v>0</v>
      </c>
      <c r="S246" s="34">
        <f t="shared" si="141"/>
        <v>0</v>
      </c>
      <c r="T246" s="34">
        <v>0</v>
      </c>
      <c r="U246" s="34">
        <v>0</v>
      </c>
      <c r="V246" s="34">
        <f>P246+Q246+R246+T246+U246</f>
        <v>0</v>
      </c>
      <c r="W246" s="34">
        <f>O246-V246</f>
        <v>30000000</v>
      </c>
      <c r="X246" s="34">
        <f>M246-(N246+O246)</f>
        <v>518000000</v>
      </c>
      <c r="Y246" s="48" t="s">
        <v>425</v>
      </c>
      <c r="Z246" s="48" t="s">
        <v>8</v>
      </c>
      <c r="AA246" s="2" t="e">
        <v>#N/A</v>
      </c>
      <c r="AB246" s="2" t="e">
        <f>VLOOKUP(H246,#REF!,2,FALSE)</f>
        <v>#REF!</v>
      </c>
      <c r="AC246" s="2" t="e">
        <f>VLOOKUP(I246,#REF!,2,FALSE)</f>
        <v>#REF!</v>
      </c>
      <c r="AD246" s="2" t="e">
        <f>VLOOKUP(H246,#REF!,13,FALSE)</f>
        <v>#REF!</v>
      </c>
      <c r="AE246" s="2" t="e">
        <f>VLOOKUP(I246,#REF!,7,FALSE)</f>
        <v>#REF!</v>
      </c>
      <c r="AG246" s="2" t="e">
        <f>VLOOKUP(H246,#REF!,13,FALSE)</f>
        <v>#REF!</v>
      </c>
      <c r="AH246" s="2" t="e">
        <f>VLOOKUP(I246,#REF!,2,FALSE)</f>
        <v>#REF!</v>
      </c>
      <c r="AJ246" s="185" t="e">
        <f>VLOOKUP(H246,#REF!,3,FALSE)</f>
        <v>#REF!</v>
      </c>
      <c r="AK246" s="185"/>
      <c r="AL246" s="185" t="e">
        <f>VLOOKUP(H246,#REF!,13,FALSE)</f>
        <v>#REF!</v>
      </c>
      <c r="AM246" s="185" t="e">
        <f>VLOOKUP(CLEAN(H246),#REF!,7,FALSE)</f>
        <v>#REF!</v>
      </c>
      <c r="AN246" s="2" t="e">
        <f>VLOOKUP(H246,#REF!,8,FALSE)</f>
        <v>#REF!</v>
      </c>
      <c r="AO246" s="189" t="e">
        <f>VLOOKUP(H246,#REF!,2,FALSE)</f>
        <v>#REF!</v>
      </c>
      <c r="AP246" s="189" t="e">
        <f>VLOOKUP(H246,#REF!,2,FALSE)</f>
        <v>#REF!</v>
      </c>
      <c r="AQ246" s="189"/>
      <c r="AR246" s="2" t="e">
        <f>VLOOKUP(CLEAN(H246),#REF!,2,FALSE)</f>
        <v>#REF!</v>
      </c>
      <c r="AT246" s="2" t="e">
        <f>VLOOKUP(H246,#REF!,13,FALSE)</f>
        <v>#REF!</v>
      </c>
      <c r="AU246" s="2" t="e">
        <f>VLOOKUP(H246,#REF!,13,FALSE)</f>
        <v>#REF!</v>
      </c>
      <c r="AV246" s="2" t="e">
        <f>VLOOKUP(H246,#REF!,13,FALSE)</f>
        <v>#REF!</v>
      </c>
      <c r="AW246" s="2" t="e">
        <f>VLOOKUP(H246,#REF!,13,FALSE)</f>
        <v>#REF!</v>
      </c>
      <c r="AX246" s="2" t="e">
        <f>VLOOKUP(H246,#REF!,9,FALSE)</f>
        <v>#REF!</v>
      </c>
      <c r="AZ246" s="2" t="e">
        <f>VLOOKUP(H246,#REF!,2,FALSE)</f>
        <v>#REF!</v>
      </c>
      <c r="BF246" s="189" t="e">
        <f>VLOOKUP(CLEAN(H246),#REF!,2,FALSE)</f>
        <v>#REF!</v>
      </c>
      <c r="BG246" s="189" t="e">
        <f>T246-BF246</f>
        <v>#REF!</v>
      </c>
      <c r="BO246" s="2" t="e">
        <f>VLOOKUP(H246,#REF!,13,FALSE)</f>
        <v>#REF!</v>
      </c>
      <c r="BP246" s="2" t="e">
        <f>VLOOKUP(H246,#REF!,2,FALSE)</f>
        <v>#REF!</v>
      </c>
      <c r="BQ246" s="2" t="e">
        <f>VLOOKUP(H246,#REF!,13,FALSE)</f>
        <v>#REF!</v>
      </c>
      <c r="BR246" s="2" t="e">
        <f>VLOOKUP(H246,#REF!,3,FALSE)</f>
        <v>#REF!</v>
      </c>
    </row>
    <row r="247" spans="1:70" s="2" customFormat="1" ht="15" customHeight="1" outlineLevel="2">
      <c r="A247" s="5">
        <v>31</v>
      </c>
      <c r="B247" s="5" t="s">
        <v>11</v>
      </c>
      <c r="C247" s="5" t="s">
        <v>241</v>
      </c>
      <c r="D247" s="5" t="s">
        <v>22</v>
      </c>
      <c r="E247" s="5" t="s">
        <v>71</v>
      </c>
      <c r="F247" s="5" t="s">
        <v>89</v>
      </c>
      <c r="G247" s="5" t="s">
        <v>144</v>
      </c>
      <c r="H247" s="12">
        <v>30127010</v>
      </c>
      <c r="I247" s="42" t="str">
        <f t="shared" si="139"/>
        <v>30127010-EJECUCION</v>
      </c>
      <c r="J247" s="12"/>
      <c r="K247" s="307" t="str">
        <f t="shared" si="140"/>
        <v>30127010</v>
      </c>
      <c r="L247" s="15" t="s">
        <v>426</v>
      </c>
      <c r="M247" s="23">
        <v>2515811000</v>
      </c>
      <c r="N247" s="34">
        <v>0</v>
      </c>
      <c r="O247" s="34">
        <f>100000000-6354941-3580359-55662000</f>
        <v>34402700</v>
      </c>
      <c r="P247" s="310">
        <v>0</v>
      </c>
      <c r="Q247" s="34">
        <v>0</v>
      </c>
      <c r="R247" s="308">
        <v>0</v>
      </c>
      <c r="S247" s="34">
        <f t="shared" si="141"/>
        <v>0</v>
      </c>
      <c r="T247" s="34">
        <v>0</v>
      </c>
      <c r="U247" s="34">
        <v>0</v>
      </c>
      <c r="V247" s="34">
        <f>P247+Q247+R247+T247+U247</f>
        <v>0</v>
      </c>
      <c r="W247" s="34">
        <f>O247-V247</f>
        <v>34402700</v>
      </c>
      <c r="X247" s="34">
        <f>M247-(N247+O247)</f>
        <v>2481408300</v>
      </c>
      <c r="Y247" s="48" t="s">
        <v>425</v>
      </c>
      <c r="Z247" s="48" t="s">
        <v>8</v>
      </c>
      <c r="AA247" s="2" t="e">
        <v>#N/A</v>
      </c>
      <c r="AB247" s="2" t="e">
        <f>VLOOKUP(H247,#REF!,2,FALSE)</f>
        <v>#REF!</v>
      </c>
      <c r="AC247" s="2" t="e">
        <f>VLOOKUP(I247,#REF!,2,FALSE)</f>
        <v>#REF!</v>
      </c>
      <c r="AD247" s="2" t="e">
        <f>VLOOKUP(H247,#REF!,13,FALSE)</f>
        <v>#REF!</v>
      </c>
      <c r="AE247" s="2" t="e">
        <f>VLOOKUP(I247,#REF!,7,FALSE)</f>
        <v>#REF!</v>
      </c>
      <c r="AG247" s="2" t="e">
        <f>VLOOKUP(H247,#REF!,13,FALSE)</f>
        <v>#REF!</v>
      </c>
      <c r="AH247" s="2" t="e">
        <f>VLOOKUP(I247,#REF!,2,FALSE)</f>
        <v>#REF!</v>
      </c>
      <c r="AJ247" s="185" t="e">
        <f>VLOOKUP(H247,#REF!,3,FALSE)</f>
        <v>#REF!</v>
      </c>
      <c r="AK247" s="185"/>
      <c r="AL247" s="185" t="e">
        <f>VLOOKUP(H247,#REF!,13,FALSE)</f>
        <v>#REF!</v>
      </c>
      <c r="AM247" s="185" t="e">
        <f>VLOOKUP(CLEAN(H247),#REF!,7,FALSE)</f>
        <v>#REF!</v>
      </c>
      <c r="AN247" s="2" t="e">
        <f>VLOOKUP(H247,#REF!,8,FALSE)</f>
        <v>#REF!</v>
      </c>
      <c r="AO247" s="189" t="e">
        <f>VLOOKUP(H247,#REF!,2,FALSE)</f>
        <v>#REF!</v>
      </c>
      <c r="AP247" s="189" t="e">
        <f>VLOOKUP(H247,#REF!,2,FALSE)</f>
        <v>#REF!</v>
      </c>
      <c r="AQ247" s="189"/>
      <c r="AR247" s="2" t="e">
        <f>VLOOKUP(CLEAN(H247),#REF!,2,FALSE)</f>
        <v>#REF!</v>
      </c>
      <c r="AT247" s="2" t="e">
        <f>VLOOKUP(H247,#REF!,13,FALSE)</f>
        <v>#REF!</v>
      </c>
      <c r="AU247" s="2" t="e">
        <f>VLOOKUP(H247,#REF!,13,FALSE)</f>
        <v>#REF!</v>
      </c>
      <c r="AV247" s="2" t="e">
        <f>VLOOKUP(H247,#REF!,13,FALSE)</f>
        <v>#REF!</v>
      </c>
      <c r="AW247" s="2" t="e">
        <f>VLOOKUP(H247,#REF!,13,FALSE)</f>
        <v>#REF!</v>
      </c>
      <c r="AX247" s="2" t="e">
        <f>VLOOKUP(H247,#REF!,9,FALSE)</f>
        <v>#REF!</v>
      </c>
      <c r="AZ247" s="2" t="e">
        <f>VLOOKUP(H247,#REF!,2,FALSE)</f>
        <v>#REF!</v>
      </c>
      <c r="BF247" s="189" t="e">
        <f>VLOOKUP(CLEAN(H247),#REF!,2,FALSE)</f>
        <v>#REF!</v>
      </c>
      <c r="BG247" s="189" t="e">
        <f>T247-BF247</f>
        <v>#REF!</v>
      </c>
      <c r="BO247" s="2" t="e">
        <f>VLOOKUP(H247,#REF!,13,FALSE)</f>
        <v>#REF!</v>
      </c>
      <c r="BP247" s="2" t="e">
        <f>VLOOKUP(H247,#REF!,2,FALSE)</f>
        <v>#REF!</v>
      </c>
      <c r="BQ247" s="2" t="e">
        <f>VLOOKUP(H247,#REF!,13,FALSE)</f>
        <v>#REF!</v>
      </c>
      <c r="BR247" s="2" t="e">
        <f>VLOOKUP(H247,#REF!,3,FALSE)</f>
        <v>#REF!</v>
      </c>
    </row>
    <row r="248" spans="1:70" s="2" customFormat="1" ht="15" customHeight="1" outlineLevel="2">
      <c r="A248" s="5">
        <v>31</v>
      </c>
      <c r="B248" s="5" t="s">
        <v>11</v>
      </c>
      <c r="C248" s="5" t="s">
        <v>241</v>
      </c>
      <c r="D248" s="5" t="s">
        <v>22</v>
      </c>
      <c r="E248" s="5" t="s">
        <v>71</v>
      </c>
      <c r="F248" s="5" t="s">
        <v>89</v>
      </c>
      <c r="G248" s="5" t="s">
        <v>9</v>
      </c>
      <c r="H248" s="12">
        <v>30092104</v>
      </c>
      <c r="I248" s="42" t="str">
        <f t="shared" si="139"/>
        <v>30092104-DISEÑO</v>
      </c>
      <c r="J248" s="12"/>
      <c r="K248" s="307" t="str">
        <f t="shared" si="140"/>
        <v>30092104</v>
      </c>
      <c r="L248" s="15" t="s">
        <v>428</v>
      </c>
      <c r="M248" s="23">
        <v>500000000</v>
      </c>
      <c r="N248" s="34">
        <v>0</v>
      </c>
      <c r="O248" s="34">
        <v>30000000</v>
      </c>
      <c r="P248" s="310">
        <v>0</v>
      </c>
      <c r="Q248" s="34">
        <v>0</v>
      </c>
      <c r="R248" s="308">
        <v>0</v>
      </c>
      <c r="S248" s="34">
        <f t="shared" si="141"/>
        <v>0</v>
      </c>
      <c r="T248" s="34">
        <v>0</v>
      </c>
      <c r="U248" s="34">
        <v>0</v>
      </c>
      <c r="V248" s="34">
        <f>P248+Q248+R248+T248+U248</f>
        <v>0</v>
      </c>
      <c r="W248" s="34">
        <f>O248-V248</f>
        <v>30000000</v>
      </c>
      <c r="X248" s="34">
        <f>M248-(N248+O248)</f>
        <v>470000000</v>
      </c>
      <c r="Y248" s="48" t="s">
        <v>425</v>
      </c>
      <c r="Z248" s="48" t="s">
        <v>357</v>
      </c>
      <c r="AA248" s="2" t="e">
        <v>#N/A</v>
      </c>
      <c r="AB248" s="2" t="e">
        <f>VLOOKUP(H248,#REF!,2,FALSE)</f>
        <v>#REF!</v>
      </c>
      <c r="AC248" s="2" t="e">
        <f>VLOOKUP(I248,#REF!,2,FALSE)</f>
        <v>#REF!</v>
      </c>
      <c r="AD248" s="2" t="e">
        <f>VLOOKUP(H248,#REF!,13,FALSE)</f>
        <v>#REF!</v>
      </c>
      <c r="AE248" s="2" t="e">
        <f>VLOOKUP(I248,#REF!,7,FALSE)</f>
        <v>#REF!</v>
      </c>
      <c r="AG248" s="2" t="e">
        <f>VLOOKUP(H248,#REF!,13,FALSE)</f>
        <v>#REF!</v>
      </c>
      <c r="AH248" s="2" t="e">
        <f>VLOOKUP(I248,#REF!,2,FALSE)</f>
        <v>#REF!</v>
      </c>
      <c r="AJ248" s="185" t="e">
        <f>VLOOKUP(H248,#REF!,3,FALSE)</f>
        <v>#REF!</v>
      </c>
      <c r="AK248" s="185"/>
      <c r="AL248" s="185" t="e">
        <f>VLOOKUP(H248,#REF!,13,FALSE)</f>
        <v>#REF!</v>
      </c>
      <c r="AM248" s="185" t="e">
        <f>VLOOKUP(CLEAN(H248),#REF!,7,FALSE)</f>
        <v>#REF!</v>
      </c>
      <c r="AN248" s="2" t="e">
        <f>VLOOKUP(H248,#REF!,8,FALSE)</f>
        <v>#REF!</v>
      </c>
      <c r="AO248" s="189" t="e">
        <f>VLOOKUP(H248,#REF!,2,FALSE)</f>
        <v>#REF!</v>
      </c>
      <c r="AP248" s="189" t="e">
        <f>VLOOKUP(H248,#REF!,2,FALSE)</f>
        <v>#REF!</v>
      </c>
      <c r="AQ248" s="189"/>
      <c r="AR248" s="2" t="e">
        <f>VLOOKUP(CLEAN(H248),#REF!,2,FALSE)</f>
        <v>#REF!</v>
      </c>
      <c r="AT248" s="2" t="e">
        <f>VLOOKUP(H248,#REF!,13,FALSE)</f>
        <v>#REF!</v>
      </c>
      <c r="AU248" s="2" t="e">
        <f>VLOOKUP(H248,#REF!,13,FALSE)</f>
        <v>#REF!</v>
      </c>
      <c r="AV248" s="2" t="e">
        <f>VLOOKUP(H248,#REF!,13,FALSE)</f>
        <v>#REF!</v>
      </c>
      <c r="AW248" s="2" t="e">
        <f>VLOOKUP(H248,#REF!,13,FALSE)</f>
        <v>#REF!</v>
      </c>
      <c r="AX248" s="2" t="e">
        <f>VLOOKUP(H248,#REF!,9,FALSE)</f>
        <v>#REF!</v>
      </c>
      <c r="AZ248" s="2" t="e">
        <f>VLOOKUP(H248,#REF!,2,FALSE)</f>
        <v>#REF!</v>
      </c>
      <c r="BF248" s="189" t="e">
        <f>VLOOKUP(CLEAN(H248),#REF!,2,FALSE)</f>
        <v>#REF!</v>
      </c>
      <c r="BG248" s="189" t="e">
        <f>T248-BF248</f>
        <v>#REF!</v>
      </c>
      <c r="BO248" s="2" t="e">
        <f>VLOOKUP(H248,#REF!,13,FALSE)</f>
        <v>#REF!</v>
      </c>
      <c r="BP248" s="2" t="e">
        <f>VLOOKUP(H248,#REF!,2,FALSE)</f>
        <v>#REF!</v>
      </c>
      <c r="BQ248" s="2" t="e">
        <f>VLOOKUP(H248,#REF!,13,FALSE)</f>
        <v>#REF!</v>
      </c>
      <c r="BR248" s="2" t="e">
        <f>VLOOKUP(H248,#REF!,3,FALSE)</f>
        <v>#REF!</v>
      </c>
    </row>
    <row r="249" spans="1:70" s="2" customFormat="1" ht="15" customHeight="1" outlineLevel="2">
      <c r="A249" s="5">
        <v>31</v>
      </c>
      <c r="B249" s="5" t="s">
        <v>11</v>
      </c>
      <c r="C249" s="5" t="s">
        <v>238</v>
      </c>
      <c r="D249" s="5" t="s">
        <v>22</v>
      </c>
      <c r="E249" s="5" t="s">
        <v>71</v>
      </c>
      <c r="F249" s="5" t="s">
        <v>21</v>
      </c>
      <c r="G249" s="5" t="s">
        <v>144</v>
      </c>
      <c r="H249" s="12">
        <v>30077490</v>
      </c>
      <c r="I249" s="42" t="str">
        <f t="shared" si="139"/>
        <v>30077490-EJECUCION</v>
      </c>
      <c r="J249" s="12"/>
      <c r="K249" s="307" t="str">
        <f t="shared" si="140"/>
        <v>30077490</v>
      </c>
      <c r="L249" s="15" t="s">
        <v>385</v>
      </c>
      <c r="M249" s="23">
        <v>1686871000</v>
      </c>
      <c r="N249" s="34">
        <v>0</v>
      </c>
      <c r="O249" s="34">
        <f>84343550-512844-36682711</f>
        <v>47147995</v>
      </c>
      <c r="P249" s="310">
        <v>0</v>
      </c>
      <c r="Q249" s="34">
        <v>0</v>
      </c>
      <c r="R249" s="308">
        <v>0</v>
      </c>
      <c r="S249" s="34">
        <f t="shared" si="141"/>
        <v>0</v>
      </c>
      <c r="T249" s="34">
        <v>0</v>
      </c>
      <c r="U249" s="34">
        <v>0</v>
      </c>
      <c r="V249" s="34">
        <f>P249+Q249+R249+T249+U249</f>
        <v>0</v>
      </c>
      <c r="W249" s="34">
        <f>O249-V249</f>
        <v>47147995</v>
      </c>
      <c r="X249" s="34">
        <f>M249-(N249+O249)</f>
        <v>1639723005</v>
      </c>
      <c r="Y249" s="48" t="s">
        <v>382</v>
      </c>
      <c r="Z249" s="48" t="s">
        <v>421</v>
      </c>
      <c r="AA249" s="2" t="e">
        <v>#N/A</v>
      </c>
      <c r="AB249" s="2" t="e">
        <f>VLOOKUP(H249,#REF!,2,FALSE)</f>
        <v>#REF!</v>
      </c>
      <c r="AC249" s="2" t="e">
        <f>VLOOKUP(I249,#REF!,2,FALSE)</f>
        <v>#REF!</v>
      </c>
      <c r="AD249" s="2" t="e">
        <f>VLOOKUP(H249,#REF!,13,FALSE)</f>
        <v>#REF!</v>
      </c>
      <c r="AE249" s="2" t="e">
        <f>VLOOKUP(I249,#REF!,7,FALSE)</f>
        <v>#REF!</v>
      </c>
      <c r="AG249" s="2" t="e">
        <f>VLOOKUP(H249,#REF!,13,FALSE)</f>
        <v>#REF!</v>
      </c>
      <c r="AH249" s="2" t="e">
        <f>VLOOKUP(I249,#REF!,2,FALSE)</f>
        <v>#REF!</v>
      </c>
      <c r="AJ249" s="185" t="e">
        <f>VLOOKUP(H249,#REF!,3,FALSE)</f>
        <v>#REF!</v>
      </c>
      <c r="AK249" s="185"/>
      <c r="AL249" s="185" t="e">
        <f>VLOOKUP(H249,#REF!,13,FALSE)</f>
        <v>#REF!</v>
      </c>
      <c r="AM249" s="185" t="e">
        <f>VLOOKUP(CLEAN(H249),#REF!,7,FALSE)</f>
        <v>#REF!</v>
      </c>
      <c r="AN249" s="2" t="e">
        <f>VLOOKUP(H249,#REF!,8,FALSE)</f>
        <v>#REF!</v>
      </c>
      <c r="AO249" s="189" t="e">
        <f>VLOOKUP(H249,#REF!,2,FALSE)</f>
        <v>#REF!</v>
      </c>
      <c r="AP249" s="189" t="e">
        <f>VLOOKUP(H249,#REF!,2,FALSE)</f>
        <v>#REF!</v>
      </c>
      <c r="AQ249" s="189"/>
      <c r="AR249" s="2" t="e">
        <f>VLOOKUP(CLEAN(H249),#REF!,2,FALSE)</f>
        <v>#REF!</v>
      </c>
      <c r="AT249" s="2" t="e">
        <f>VLOOKUP(H249,#REF!,13,FALSE)</f>
        <v>#REF!</v>
      </c>
      <c r="AU249" s="2" t="e">
        <f>VLOOKUP(H249,#REF!,13,FALSE)</f>
        <v>#REF!</v>
      </c>
      <c r="AV249" s="2" t="e">
        <f>VLOOKUP(H249,#REF!,13,FALSE)</f>
        <v>#REF!</v>
      </c>
      <c r="AW249" s="2" t="e">
        <f>VLOOKUP(H249,#REF!,13,FALSE)</f>
        <v>#REF!</v>
      </c>
      <c r="AX249" s="2" t="e">
        <f>VLOOKUP(H249,#REF!,9,FALSE)</f>
        <v>#REF!</v>
      </c>
      <c r="AZ249" s="2" t="e">
        <f>VLOOKUP(H249,#REF!,2,FALSE)</f>
        <v>#REF!</v>
      </c>
      <c r="BF249" s="189" t="e">
        <f>VLOOKUP(CLEAN(H249),#REF!,2,FALSE)</f>
        <v>#REF!</v>
      </c>
      <c r="BG249" s="189" t="e">
        <f>T249-BF249</f>
        <v>#REF!</v>
      </c>
      <c r="BO249" s="2" t="e">
        <f>VLOOKUP(H249,#REF!,13,FALSE)</f>
        <v>#REF!</v>
      </c>
      <c r="BP249" s="2" t="e">
        <f>VLOOKUP(H249,#REF!,2,FALSE)</f>
        <v>#REF!</v>
      </c>
      <c r="BQ249" s="2" t="e">
        <f>VLOOKUP(H249,#REF!,13,FALSE)</f>
        <v>#REF!</v>
      </c>
      <c r="BR249" s="2" t="e">
        <f>VLOOKUP(H249,#REF!,3,FALSE)</f>
        <v>#REF!</v>
      </c>
    </row>
    <row r="250" spans="1:70" ht="15" customHeight="1" outlineLevel="2">
      <c r="A250" s="7"/>
      <c r="B250" s="7"/>
      <c r="C250" s="7"/>
      <c r="D250" s="7"/>
      <c r="E250" s="7"/>
      <c r="F250" s="7"/>
      <c r="G250" s="7"/>
      <c r="H250" s="11"/>
      <c r="I250" s="11"/>
      <c r="J250" s="11"/>
      <c r="K250" s="11"/>
      <c r="L250" s="17" t="s">
        <v>693</v>
      </c>
      <c r="M250" s="27">
        <f t="shared" ref="M250:X250" si="142">SUBTOTAL(9,M244:M249)</f>
        <v>8788418000</v>
      </c>
      <c r="N250" s="27">
        <f t="shared" si="142"/>
        <v>0</v>
      </c>
      <c r="O250" s="27">
        <f t="shared" si="142"/>
        <v>189286695</v>
      </c>
      <c r="P250" s="24">
        <f t="shared" si="142"/>
        <v>0</v>
      </c>
      <c r="Q250" s="24">
        <f t="shared" si="142"/>
        <v>0</v>
      </c>
      <c r="R250" s="24">
        <f t="shared" si="142"/>
        <v>0</v>
      </c>
      <c r="S250" s="27">
        <f t="shared" si="142"/>
        <v>0</v>
      </c>
      <c r="T250" s="27">
        <f t="shared" si="142"/>
        <v>0</v>
      </c>
      <c r="U250" s="27">
        <f t="shared" si="142"/>
        <v>0</v>
      </c>
      <c r="V250" s="27">
        <f t="shared" si="142"/>
        <v>0</v>
      </c>
      <c r="W250" s="27">
        <f t="shared" si="142"/>
        <v>189286695</v>
      </c>
      <c r="X250" s="27">
        <f t="shared" si="142"/>
        <v>8599131305</v>
      </c>
      <c r="Y250" s="47"/>
      <c r="Z250" s="47"/>
      <c r="AM250" s="185" t="e">
        <f>VLOOKUP(CLEAN(H250),#REF!,7,FALSE)</f>
        <v>#REF!</v>
      </c>
      <c r="AO250"/>
      <c r="AP250"/>
      <c r="AQ250"/>
      <c r="AR250" s="2" t="e">
        <f>VLOOKUP(CLEAN(H250),#REF!,2,FALSE)</f>
        <v>#REF!</v>
      </c>
      <c r="AZ250" s="2" t="e">
        <f>VLOOKUP(H250,#REF!,2,FALSE)</f>
        <v>#REF!</v>
      </c>
      <c r="BO250" s="2" t="e">
        <f>VLOOKUP(H250,#REF!,13,FALSE)</f>
        <v>#REF!</v>
      </c>
      <c r="BQ250" s="2" t="e">
        <f>VLOOKUP(H250,#REF!,13,FALSE)</f>
        <v>#REF!</v>
      </c>
    </row>
    <row r="251" spans="1:70" ht="15" customHeight="1" outlineLevel="2">
      <c r="A251" s="7"/>
      <c r="B251" s="7"/>
      <c r="C251" s="7"/>
      <c r="D251" s="7"/>
      <c r="E251" s="7"/>
      <c r="F251" s="7"/>
      <c r="G251" s="7"/>
      <c r="H251" s="11"/>
      <c r="I251" s="11"/>
      <c r="J251" s="11"/>
      <c r="K251" s="11"/>
      <c r="L251" s="292"/>
      <c r="M251" s="22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47"/>
      <c r="Z251" s="47"/>
      <c r="AM251" s="185" t="e">
        <f>VLOOKUP(CLEAN(H251),#REF!,7,FALSE)</f>
        <v>#REF!</v>
      </c>
      <c r="AO251"/>
      <c r="AP251"/>
      <c r="AQ251"/>
      <c r="AR251" s="2" t="e">
        <f>VLOOKUP(CLEAN(H251),#REF!,2,FALSE)</f>
        <v>#REF!</v>
      </c>
      <c r="AZ251" s="2" t="e">
        <f>VLOOKUP(H251,#REF!,2,FALSE)</f>
        <v>#REF!</v>
      </c>
      <c r="BO251" s="2" t="e">
        <f>VLOOKUP(H251,#REF!,13,FALSE)</f>
        <v>#REF!</v>
      </c>
      <c r="BP251" s="293"/>
      <c r="BQ251" s="2" t="e">
        <f>VLOOKUP(H251,#REF!,13,FALSE)</f>
        <v>#REF!</v>
      </c>
    </row>
    <row r="252" spans="1:70" ht="18.75" customHeight="1" outlineLevel="1">
      <c r="A252" s="7"/>
      <c r="B252" s="7"/>
      <c r="C252" s="7"/>
      <c r="D252" s="7"/>
      <c r="E252" s="8"/>
      <c r="F252" s="7"/>
      <c r="G252" s="7"/>
      <c r="H252" s="11"/>
      <c r="I252" s="11"/>
      <c r="J252" s="11"/>
      <c r="K252" s="11"/>
      <c r="L252" s="45" t="s">
        <v>154</v>
      </c>
      <c r="M252" s="46">
        <f t="shared" ref="M252:X252" si="143">M250+M241+M220+M232+M225</f>
        <v>46258118299</v>
      </c>
      <c r="N252" s="46">
        <f t="shared" si="143"/>
        <v>21081043620</v>
      </c>
      <c r="O252" s="46">
        <f t="shared" si="143"/>
        <v>5028738404</v>
      </c>
      <c r="P252" s="46">
        <f t="shared" si="143"/>
        <v>13163116</v>
      </c>
      <c r="Q252" s="46">
        <f t="shared" si="143"/>
        <v>180842917</v>
      </c>
      <c r="R252" s="46">
        <f t="shared" si="143"/>
        <v>175986453</v>
      </c>
      <c r="S252" s="46">
        <f t="shared" si="143"/>
        <v>369992486</v>
      </c>
      <c r="T252" s="46">
        <f t="shared" si="143"/>
        <v>181290316</v>
      </c>
      <c r="U252" s="46">
        <f t="shared" si="143"/>
        <v>627404294</v>
      </c>
      <c r="V252" s="46">
        <f t="shared" si="143"/>
        <v>1178687096</v>
      </c>
      <c r="W252" s="46">
        <f t="shared" si="143"/>
        <v>3850051308</v>
      </c>
      <c r="X252" s="46">
        <f t="shared" si="143"/>
        <v>20148336275</v>
      </c>
      <c r="Y252" s="47"/>
      <c r="Z252" s="47"/>
      <c r="AM252" s="185" t="e">
        <f>VLOOKUP(CLEAN(H252),#REF!,7,FALSE)</f>
        <v>#REF!</v>
      </c>
      <c r="AO252"/>
      <c r="AP252"/>
      <c r="AQ252"/>
      <c r="AR252" s="2" t="e">
        <f>VLOOKUP(CLEAN(H252),#REF!,2,FALSE)</f>
        <v>#REF!</v>
      </c>
      <c r="AZ252" s="2" t="e">
        <f>VLOOKUP(H252,#REF!,2,FALSE)</f>
        <v>#REF!</v>
      </c>
      <c r="BO252" s="2" t="e">
        <f>VLOOKUP(H252,#REF!,13,FALSE)</f>
        <v>#REF!</v>
      </c>
      <c r="BQ252" s="2" t="e">
        <f>VLOOKUP(H252,#REF!,13,FALSE)</f>
        <v>#REF!</v>
      </c>
    </row>
    <row r="253" spans="1:70" s="2" customFormat="1" ht="15" customHeight="1" outlineLevel="1">
      <c r="A253" s="7"/>
      <c r="B253" s="7"/>
      <c r="C253" s="7"/>
      <c r="D253" s="7"/>
      <c r="E253" s="8"/>
      <c r="F253" s="7"/>
      <c r="G253" s="7"/>
      <c r="H253" s="11"/>
      <c r="I253" s="11"/>
      <c r="J253" s="11"/>
      <c r="K253" s="11"/>
      <c r="L253" s="294"/>
      <c r="M253" s="26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47"/>
      <c r="Z253" s="47"/>
      <c r="AJ253" s="185"/>
      <c r="AK253" s="185"/>
      <c r="AL253" s="185"/>
      <c r="AM253" s="185" t="e">
        <f>VLOOKUP(CLEAN(H253),#REF!,7,FALSE)</f>
        <v>#REF!</v>
      </c>
      <c r="AR253" s="2" t="e">
        <f>VLOOKUP(CLEAN(H253),#REF!,2,FALSE)</f>
        <v>#REF!</v>
      </c>
      <c r="AZ253" s="2" t="e">
        <f>VLOOKUP(H253,#REF!,2,FALSE)</f>
        <v>#REF!</v>
      </c>
      <c r="BF253" s="189"/>
      <c r="BO253" s="2" t="e">
        <f>VLOOKUP(H253,#REF!,13,FALSE)</f>
        <v>#REF!</v>
      </c>
      <c r="BP253" s="293"/>
      <c r="BQ253" s="2" t="e">
        <f>VLOOKUP(H253,#REF!,13,FALSE)</f>
        <v>#REF!</v>
      </c>
    </row>
    <row r="254" spans="1:70" ht="26.25" customHeight="1" outlineLevel="1">
      <c r="A254" s="7"/>
      <c r="B254" s="7"/>
      <c r="C254" s="7"/>
      <c r="D254" s="7"/>
      <c r="E254" s="8"/>
      <c r="F254" s="7"/>
      <c r="G254" s="7"/>
      <c r="H254" s="11"/>
      <c r="I254" s="11"/>
      <c r="J254" s="11"/>
      <c r="K254" s="11"/>
      <c r="L254" s="57" t="s">
        <v>188</v>
      </c>
      <c r="M254" s="26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49"/>
      <c r="Z254" s="49"/>
      <c r="AM254" s="185" t="e">
        <f>VLOOKUP(CLEAN(H254),#REF!,7,FALSE)</f>
        <v>#REF!</v>
      </c>
      <c r="AO254"/>
      <c r="AP254"/>
      <c r="AQ254"/>
      <c r="AR254" s="2" t="e">
        <f>VLOOKUP(CLEAN(H254),#REF!,2,FALSE)</f>
        <v>#REF!</v>
      </c>
      <c r="AZ254" s="2" t="e">
        <f>VLOOKUP(H254,#REF!,2,FALSE)</f>
        <v>#REF!</v>
      </c>
      <c r="BO254" s="2" t="e">
        <f>VLOOKUP(H254,#REF!,13,FALSE)</f>
        <v>#REF!</v>
      </c>
      <c r="BQ254" s="2" t="e">
        <f>VLOOKUP(H254,#REF!,13,FALSE)</f>
        <v>#REF!</v>
      </c>
    </row>
    <row r="255" spans="1:70" ht="15" customHeight="1" outlineLevel="1">
      <c r="A255" s="7"/>
      <c r="B255" s="7"/>
      <c r="C255" s="7"/>
      <c r="D255" s="7"/>
      <c r="E255" s="8"/>
      <c r="F255" s="7"/>
      <c r="G255" s="7"/>
      <c r="H255" s="11"/>
      <c r="I255" s="11"/>
      <c r="J255" s="11"/>
      <c r="K255" s="11"/>
      <c r="L255" s="18" t="s">
        <v>695</v>
      </c>
      <c r="M255" s="26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47"/>
      <c r="Z255" s="47"/>
      <c r="AM255" s="185" t="e">
        <f>VLOOKUP(CLEAN(H255),#REF!,7,FALSE)</f>
        <v>#REF!</v>
      </c>
      <c r="AO255"/>
      <c r="AP255"/>
      <c r="AQ255"/>
      <c r="AR255" s="2" t="e">
        <f>VLOOKUP(CLEAN(H255),#REF!,2,FALSE)</f>
        <v>#REF!</v>
      </c>
      <c r="AZ255" s="2" t="e">
        <f>VLOOKUP(H255,#REF!,2,FALSE)</f>
        <v>#REF!</v>
      </c>
      <c r="BO255" s="2" t="e">
        <f>VLOOKUP(H255,#REF!,13,FALSE)</f>
        <v>#REF!</v>
      </c>
      <c r="BQ255" s="2" t="e">
        <f>VLOOKUP(H255,#REF!,13,FALSE)</f>
        <v>#REF!</v>
      </c>
    </row>
    <row r="256" spans="1:70" s="2" customFormat="1" ht="15" customHeight="1" outlineLevel="2">
      <c r="A256" s="5">
        <v>31</v>
      </c>
      <c r="B256" s="5" t="s">
        <v>5</v>
      </c>
      <c r="C256" s="5" t="s">
        <v>238</v>
      </c>
      <c r="D256" s="5" t="s">
        <v>22</v>
      </c>
      <c r="E256" s="5" t="s">
        <v>24</v>
      </c>
      <c r="F256" s="5" t="s">
        <v>457</v>
      </c>
      <c r="G256" s="5" t="s">
        <v>144</v>
      </c>
      <c r="H256" s="12">
        <v>20086686</v>
      </c>
      <c r="I256" s="42" t="str">
        <f t="shared" ref="I256:I259" si="144">CONCATENATE(H256,"-",G256)</f>
        <v>20086686-EJECUCION</v>
      </c>
      <c r="J256" s="12"/>
      <c r="K256" s="307" t="str">
        <f t="shared" ref="K256:K259" si="145">CLEAN(H256)</f>
        <v>20086686</v>
      </c>
      <c r="L256" s="15" t="s">
        <v>746</v>
      </c>
      <c r="M256" s="23">
        <v>7033944000</v>
      </c>
      <c r="N256" s="34">
        <v>95882250</v>
      </c>
      <c r="O256" s="34">
        <f>352882250-65212000</f>
        <v>287670250</v>
      </c>
      <c r="P256" s="310">
        <v>0</v>
      </c>
      <c r="Q256" s="34">
        <v>0</v>
      </c>
      <c r="R256" s="308">
        <v>0</v>
      </c>
      <c r="S256" s="34">
        <f t="shared" ref="S256:S259" si="146">P256+Q256+R256</f>
        <v>0</v>
      </c>
      <c r="T256" s="34">
        <v>0</v>
      </c>
      <c r="U256" s="34">
        <v>0</v>
      </c>
      <c r="V256" s="34">
        <f>P256+Q256+R256+T256+U256</f>
        <v>0</v>
      </c>
      <c r="W256" s="34">
        <f>O256-V256</f>
        <v>287670250</v>
      </c>
      <c r="X256" s="34">
        <f>M256-(N256+O256)</f>
        <v>6650391500</v>
      </c>
      <c r="Y256" s="48" t="s">
        <v>703</v>
      </c>
      <c r="Z256" s="48" t="s">
        <v>8</v>
      </c>
      <c r="AA256" s="2" t="s">
        <v>843</v>
      </c>
      <c r="AB256" s="2" t="e">
        <f>VLOOKUP(H256,#REF!,2,FALSE)</f>
        <v>#REF!</v>
      </c>
      <c r="AC256" s="2" t="e">
        <f>VLOOKUP(I256,#REF!,2,FALSE)</f>
        <v>#REF!</v>
      </c>
      <c r="AD256" s="2" t="e">
        <f>VLOOKUP(H256,#REF!,13,FALSE)</f>
        <v>#REF!</v>
      </c>
      <c r="AE256" s="2" t="e">
        <f>VLOOKUP(I256,#REF!,7,FALSE)</f>
        <v>#REF!</v>
      </c>
      <c r="AG256" s="2" t="e">
        <f>VLOOKUP(H256,#REF!,13,FALSE)</f>
        <v>#REF!</v>
      </c>
      <c r="AH256" s="2" t="e">
        <f>VLOOKUP(I256,#REF!,2,FALSE)</f>
        <v>#REF!</v>
      </c>
      <c r="AJ256" s="185" t="e">
        <f>VLOOKUP(H256,#REF!,3,FALSE)</f>
        <v>#REF!</v>
      </c>
      <c r="AK256" s="185"/>
      <c r="AL256" s="185" t="e">
        <f>VLOOKUP(H256,#REF!,13,FALSE)</f>
        <v>#REF!</v>
      </c>
      <c r="AM256" s="185" t="e">
        <f>VLOOKUP(CLEAN(H256),#REF!,7,FALSE)</f>
        <v>#REF!</v>
      </c>
      <c r="AN256" s="2" t="e">
        <f>VLOOKUP(H256,#REF!,8,FALSE)</f>
        <v>#REF!</v>
      </c>
      <c r="AO256" s="189" t="e">
        <f>VLOOKUP(H256,#REF!,2,FALSE)</f>
        <v>#REF!</v>
      </c>
      <c r="AP256" s="189" t="e">
        <f>VLOOKUP(H256,#REF!,2,FALSE)</f>
        <v>#REF!</v>
      </c>
      <c r="AQ256" s="189"/>
      <c r="AR256" s="2" t="e">
        <f>VLOOKUP(CLEAN(H256),#REF!,2,FALSE)</f>
        <v>#REF!</v>
      </c>
      <c r="AT256" s="2" t="e">
        <f>VLOOKUP(H256,#REF!,13,FALSE)</f>
        <v>#REF!</v>
      </c>
      <c r="AU256" s="2" t="e">
        <f>VLOOKUP(H256,#REF!,13,FALSE)</f>
        <v>#REF!</v>
      </c>
      <c r="AV256" s="2" t="e">
        <f>VLOOKUP(H256,#REF!,13,FALSE)</f>
        <v>#REF!</v>
      </c>
      <c r="AW256" s="2" t="e">
        <f>VLOOKUP(H256,#REF!,13,FALSE)</f>
        <v>#REF!</v>
      </c>
      <c r="AX256" s="2" t="e">
        <f>VLOOKUP(H256,#REF!,9,FALSE)</f>
        <v>#REF!</v>
      </c>
      <c r="AZ256" s="189" t="e">
        <f>VLOOKUP(H256,#REF!,2,FALSE)</f>
        <v>#REF!</v>
      </c>
      <c r="BF256" s="189" t="e">
        <f>VLOOKUP(CLEAN(H256),#REF!,2,FALSE)</f>
        <v>#REF!</v>
      </c>
      <c r="BG256" s="189" t="e">
        <f>T256-BF256</f>
        <v>#REF!</v>
      </c>
      <c r="BO256" s="2" t="e">
        <f>VLOOKUP(H256,#REF!,13,FALSE)</f>
        <v>#REF!</v>
      </c>
      <c r="BP256" s="2" t="e">
        <f>VLOOKUP(H256,#REF!,2,FALSE)</f>
        <v>#REF!</v>
      </c>
      <c r="BQ256" s="2" t="e">
        <f>VLOOKUP(H256,#REF!,13,FALSE)</f>
        <v>#REF!</v>
      </c>
      <c r="BR256" s="2" t="e">
        <f>VLOOKUP(H256,#REF!,3,FALSE)</f>
        <v>#REF!</v>
      </c>
    </row>
    <row r="257" spans="1:70" s="2" customFormat="1" ht="15" customHeight="1" outlineLevel="2">
      <c r="A257" s="5">
        <v>31</v>
      </c>
      <c r="B257" s="5" t="s">
        <v>5</v>
      </c>
      <c r="C257" s="5" t="s">
        <v>251</v>
      </c>
      <c r="D257" s="5" t="s">
        <v>22</v>
      </c>
      <c r="E257" s="5" t="s">
        <v>24</v>
      </c>
      <c r="F257" s="5" t="s">
        <v>13</v>
      </c>
      <c r="G257" s="5" t="s">
        <v>9</v>
      </c>
      <c r="H257" s="12">
        <v>30135967</v>
      </c>
      <c r="I257" s="42" t="str">
        <f t="shared" si="144"/>
        <v>30135967-DISEÑO</v>
      </c>
      <c r="J257" s="12"/>
      <c r="K257" s="307" t="str">
        <f t="shared" si="145"/>
        <v>30135967</v>
      </c>
      <c r="L257" s="15" t="s">
        <v>454</v>
      </c>
      <c r="M257" s="23">
        <v>90000000</v>
      </c>
      <c r="N257" s="34">
        <v>67500000</v>
      </c>
      <c r="O257" s="34">
        <v>22500000</v>
      </c>
      <c r="P257" s="310">
        <v>0</v>
      </c>
      <c r="Q257" s="34">
        <v>0</v>
      </c>
      <c r="R257" s="308">
        <v>0</v>
      </c>
      <c r="S257" s="34">
        <f t="shared" si="146"/>
        <v>0</v>
      </c>
      <c r="T257" s="34">
        <v>0</v>
      </c>
      <c r="U257" s="34">
        <v>0</v>
      </c>
      <c r="V257" s="34">
        <f>P257+Q257+R257+T257+U257</f>
        <v>0</v>
      </c>
      <c r="W257" s="34">
        <f>O257-V257</f>
        <v>22500000</v>
      </c>
      <c r="X257" s="34">
        <f>M257-(N257+O257)</f>
        <v>0</v>
      </c>
      <c r="Y257" s="48" t="s">
        <v>239</v>
      </c>
      <c r="Z257" s="48" t="s">
        <v>8</v>
      </c>
      <c r="AA257" s="2" t="e">
        <v>#N/A</v>
      </c>
      <c r="AB257" s="2" t="e">
        <f>VLOOKUP(H257,#REF!,2,FALSE)</f>
        <v>#REF!</v>
      </c>
      <c r="AC257" s="2" t="e">
        <f>VLOOKUP(I257,#REF!,2,FALSE)</f>
        <v>#REF!</v>
      </c>
      <c r="AD257" s="2" t="e">
        <f>VLOOKUP(H257,#REF!,13,FALSE)</f>
        <v>#REF!</v>
      </c>
      <c r="AE257" s="2" t="e">
        <f>VLOOKUP(I257,#REF!,7,FALSE)</f>
        <v>#REF!</v>
      </c>
      <c r="AG257" s="2" t="e">
        <f>VLOOKUP(H257,#REF!,13,FALSE)</f>
        <v>#REF!</v>
      </c>
      <c r="AH257" s="2" t="e">
        <f>VLOOKUP(I257,#REF!,2,FALSE)</f>
        <v>#REF!</v>
      </c>
      <c r="AJ257" s="185" t="e">
        <f>VLOOKUP(H257,#REF!,3,FALSE)</f>
        <v>#REF!</v>
      </c>
      <c r="AK257" s="185"/>
      <c r="AL257" s="185" t="e">
        <f>VLOOKUP(H257,#REF!,13,FALSE)</f>
        <v>#REF!</v>
      </c>
      <c r="AM257" s="185" t="e">
        <f>VLOOKUP(CLEAN(H257),#REF!,7,FALSE)</f>
        <v>#REF!</v>
      </c>
      <c r="AN257" s="2" t="e">
        <f>VLOOKUP(H257,#REF!,8,FALSE)</f>
        <v>#REF!</v>
      </c>
      <c r="AO257" s="189" t="e">
        <f>VLOOKUP(H257,#REF!,2,FALSE)</f>
        <v>#REF!</v>
      </c>
      <c r="AP257" s="189" t="e">
        <f>VLOOKUP(H257,#REF!,2,FALSE)</f>
        <v>#REF!</v>
      </c>
      <c r="AQ257" s="189"/>
      <c r="AR257" s="2" t="e">
        <f>VLOOKUP(CLEAN(H257),#REF!,2,FALSE)</f>
        <v>#REF!</v>
      </c>
      <c r="AT257" s="2" t="e">
        <f>VLOOKUP(H257,#REF!,13,FALSE)</f>
        <v>#REF!</v>
      </c>
      <c r="AU257" s="2" t="e">
        <f>VLOOKUP(H257,#REF!,13,FALSE)</f>
        <v>#REF!</v>
      </c>
      <c r="AV257" s="2" t="e">
        <f>VLOOKUP(H257,#REF!,13,FALSE)</f>
        <v>#REF!</v>
      </c>
      <c r="AW257" s="2" t="e">
        <f>VLOOKUP(H257,#REF!,13,FALSE)</f>
        <v>#REF!</v>
      </c>
      <c r="AX257" s="2" t="e">
        <f>VLOOKUP(H257,#REF!,9,FALSE)</f>
        <v>#REF!</v>
      </c>
      <c r="AZ257" s="189" t="e">
        <f>VLOOKUP(H257,#REF!,2,FALSE)</f>
        <v>#REF!</v>
      </c>
      <c r="BF257" s="189" t="e">
        <f>VLOOKUP(CLEAN(H257),#REF!,2,FALSE)</f>
        <v>#REF!</v>
      </c>
      <c r="BG257" s="189" t="e">
        <f>T257-BF257</f>
        <v>#REF!</v>
      </c>
      <c r="BO257" s="2" t="e">
        <f>VLOOKUP(H257,#REF!,13,FALSE)</f>
        <v>#REF!</v>
      </c>
      <c r="BP257" s="2" t="e">
        <f>VLOOKUP(H257,#REF!,2,FALSE)</f>
        <v>#REF!</v>
      </c>
      <c r="BQ257" s="2" t="e">
        <f>VLOOKUP(H257,#REF!,13,FALSE)</f>
        <v>#REF!</v>
      </c>
      <c r="BR257" s="2" t="e">
        <f>VLOOKUP(H257,#REF!,3,FALSE)</f>
        <v>#REF!</v>
      </c>
    </row>
    <row r="258" spans="1:70" s="2" customFormat="1" ht="15" customHeight="1" outlineLevel="2">
      <c r="A258" s="5">
        <v>31</v>
      </c>
      <c r="B258" s="5" t="s">
        <v>54</v>
      </c>
      <c r="C258" s="5" t="s">
        <v>241</v>
      </c>
      <c r="D258" s="5" t="s">
        <v>22</v>
      </c>
      <c r="E258" s="5" t="s">
        <v>24</v>
      </c>
      <c r="F258" s="5" t="s">
        <v>89</v>
      </c>
      <c r="G258" s="5" t="s">
        <v>144</v>
      </c>
      <c r="H258" s="12">
        <v>30115349</v>
      </c>
      <c r="I258" s="42" t="str">
        <f t="shared" si="144"/>
        <v>30115349-EJECUCION</v>
      </c>
      <c r="J258" s="12"/>
      <c r="K258" s="307" t="str">
        <f t="shared" si="145"/>
        <v>30115349</v>
      </c>
      <c r="L258" s="15" t="s">
        <v>352</v>
      </c>
      <c r="M258" s="23">
        <v>677044000</v>
      </c>
      <c r="N258" s="34">
        <v>3001000</v>
      </c>
      <c r="O258" s="34">
        <v>674043000</v>
      </c>
      <c r="P258" s="310">
        <v>0</v>
      </c>
      <c r="Q258" s="34">
        <v>0</v>
      </c>
      <c r="R258" s="308">
        <v>149999999</v>
      </c>
      <c r="S258" s="34">
        <f t="shared" si="146"/>
        <v>149999999</v>
      </c>
      <c r="T258" s="34">
        <v>142299999</v>
      </c>
      <c r="U258" s="34">
        <v>77990000</v>
      </c>
      <c r="V258" s="34">
        <f>P258+Q258+R258+T258+U258</f>
        <v>370289998</v>
      </c>
      <c r="W258" s="34">
        <f>O258-V258</f>
        <v>303753002</v>
      </c>
      <c r="X258" s="34">
        <f>M258-(N258+O258)</f>
        <v>0</v>
      </c>
      <c r="Y258" s="48" t="s">
        <v>239</v>
      </c>
      <c r="Z258" s="48" t="s">
        <v>8</v>
      </c>
      <c r="AA258" s="2" t="s">
        <v>846</v>
      </c>
      <c r="AB258" s="2" t="e">
        <f>VLOOKUP(H258,#REF!,2,FALSE)</f>
        <v>#REF!</v>
      </c>
      <c r="AC258" s="2" t="e">
        <f>VLOOKUP(I258,#REF!,2,FALSE)</f>
        <v>#REF!</v>
      </c>
      <c r="AD258" s="2" t="e">
        <f>VLOOKUP(H258,#REF!,13,FALSE)</f>
        <v>#REF!</v>
      </c>
      <c r="AE258" s="2" t="e">
        <f>VLOOKUP(I258,#REF!,7,FALSE)</f>
        <v>#REF!</v>
      </c>
      <c r="AG258" s="2" t="e">
        <f>VLOOKUP(H258,#REF!,13,FALSE)</f>
        <v>#REF!</v>
      </c>
      <c r="AH258" s="2" t="e">
        <f>VLOOKUP(I258,#REF!,2,FALSE)</f>
        <v>#REF!</v>
      </c>
      <c r="AJ258" s="185" t="e">
        <f>VLOOKUP(H258,#REF!,3,FALSE)</f>
        <v>#REF!</v>
      </c>
      <c r="AK258" s="185"/>
      <c r="AL258" s="185" t="e">
        <f>VLOOKUP(H258,#REF!,13,FALSE)</f>
        <v>#REF!</v>
      </c>
      <c r="AM258" s="185" t="e">
        <f>VLOOKUP(CLEAN(H258),#REF!,7,FALSE)</f>
        <v>#REF!</v>
      </c>
      <c r="AN258" s="2" t="e">
        <f>VLOOKUP(H258,#REF!,8,FALSE)</f>
        <v>#REF!</v>
      </c>
      <c r="AO258" s="189" t="e">
        <f>VLOOKUP(H258,#REF!,2,FALSE)</f>
        <v>#REF!</v>
      </c>
      <c r="AP258" s="189" t="e">
        <f>VLOOKUP(H258,#REF!,2,FALSE)</f>
        <v>#REF!</v>
      </c>
      <c r="AQ258" s="189" t="e">
        <f>AO258-AP258</f>
        <v>#REF!</v>
      </c>
      <c r="AR258" s="2" t="e">
        <f>VLOOKUP(CLEAN(H258),#REF!,2,FALSE)</f>
        <v>#REF!</v>
      </c>
      <c r="AT258" s="2" t="e">
        <f>VLOOKUP(H258,#REF!,13,FALSE)</f>
        <v>#REF!</v>
      </c>
      <c r="AU258" s="2" t="e">
        <f>VLOOKUP(H258,#REF!,13,FALSE)</f>
        <v>#REF!</v>
      </c>
      <c r="AV258" s="2" t="e">
        <f>VLOOKUP(H258,#REF!,13,FALSE)</f>
        <v>#REF!</v>
      </c>
      <c r="AW258" s="2" t="e">
        <f>VLOOKUP(H258,#REF!,13,FALSE)</f>
        <v>#REF!</v>
      </c>
      <c r="AX258" s="2" t="e">
        <f>VLOOKUP(H258,#REF!,9,FALSE)</f>
        <v>#REF!</v>
      </c>
      <c r="AZ258" s="189" t="e">
        <f>VLOOKUP(H258,#REF!,2,FALSE)</f>
        <v>#REF!</v>
      </c>
      <c r="BF258" s="189" t="e">
        <f>VLOOKUP(CLEAN(H258),#REF!,2,FALSE)</f>
        <v>#REF!</v>
      </c>
      <c r="BG258" s="189" t="e">
        <f>T258-BF258</f>
        <v>#REF!</v>
      </c>
      <c r="BO258" s="2" t="e">
        <f>VLOOKUP(H258,#REF!,13,FALSE)</f>
        <v>#REF!</v>
      </c>
      <c r="BP258" s="2" t="e">
        <f>VLOOKUP(H258,#REF!,2,FALSE)</f>
        <v>#REF!</v>
      </c>
      <c r="BQ258" s="2" t="e">
        <f>VLOOKUP(H258,#REF!,13,FALSE)</f>
        <v>#REF!</v>
      </c>
      <c r="BR258" s="2" t="e">
        <f>VLOOKUP(H258,#REF!,3,FALSE)</f>
        <v>#REF!</v>
      </c>
    </row>
    <row r="259" spans="1:70" s="2" customFormat="1" ht="15" customHeight="1" outlineLevel="2">
      <c r="A259" s="5">
        <v>31</v>
      </c>
      <c r="B259" s="5" t="s">
        <v>5</v>
      </c>
      <c r="C259" s="5" t="s">
        <v>311</v>
      </c>
      <c r="D259" s="5" t="s">
        <v>22</v>
      </c>
      <c r="E259" s="5" t="s">
        <v>24</v>
      </c>
      <c r="F259" s="5" t="s">
        <v>457</v>
      </c>
      <c r="G259" s="5" t="s">
        <v>144</v>
      </c>
      <c r="H259" s="12">
        <v>30087299</v>
      </c>
      <c r="I259" s="42" t="str">
        <f t="shared" si="144"/>
        <v>30087299-EJECUCION</v>
      </c>
      <c r="J259" s="12"/>
      <c r="K259" s="307" t="str">
        <f t="shared" si="145"/>
        <v>30087299</v>
      </c>
      <c r="L259" s="15" t="s">
        <v>134</v>
      </c>
      <c r="M259" s="23">
        <v>1136464000</v>
      </c>
      <c r="N259" s="34">
        <v>0</v>
      </c>
      <c r="O259" s="34">
        <v>901195000</v>
      </c>
      <c r="P259" s="310">
        <v>0</v>
      </c>
      <c r="Q259" s="34">
        <v>0</v>
      </c>
      <c r="R259" s="308">
        <v>0</v>
      </c>
      <c r="S259" s="34">
        <f t="shared" si="146"/>
        <v>0</v>
      </c>
      <c r="T259" s="34">
        <v>0</v>
      </c>
      <c r="U259" s="34">
        <v>75956162</v>
      </c>
      <c r="V259" s="34">
        <f>P259+Q259+R259+T259+U259</f>
        <v>75956162</v>
      </c>
      <c r="W259" s="34">
        <f>O259-V259</f>
        <v>825238838</v>
      </c>
      <c r="X259" s="34">
        <f>M259-(N259+O259)</f>
        <v>235269000</v>
      </c>
      <c r="Y259" s="48" t="s">
        <v>239</v>
      </c>
      <c r="Z259" s="48" t="s">
        <v>8</v>
      </c>
      <c r="AA259" s="2" t="s">
        <v>843</v>
      </c>
      <c r="AB259" s="2" t="e">
        <f>VLOOKUP(H259,#REF!,2,FALSE)</f>
        <v>#REF!</v>
      </c>
      <c r="AC259" s="2" t="e">
        <f>VLOOKUP(I259,#REF!,2,FALSE)</f>
        <v>#REF!</v>
      </c>
      <c r="AD259" s="2" t="e">
        <f>VLOOKUP(H259,#REF!,13,FALSE)</f>
        <v>#REF!</v>
      </c>
      <c r="AE259" s="2" t="e">
        <f>VLOOKUP(I259,#REF!,7,FALSE)</f>
        <v>#REF!</v>
      </c>
      <c r="AG259" s="2" t="e">
        <f>VLOOKUP(H259,#REF!,13,FALSE)</f>
        <v>#REF!</v>
      </c>
      <c r="AH259" s="2" t="e">
        <f>VLOOKUP(I259,#REF!,2,FALSE)</f>
        <v>#REF!</v>
      </c>
      <c r="AJ259" s="2" t="e">
        <f>VLOOKUP(H259,#REF!,3,FALSE)</f>
        <v>#REF!</v>
      </c>
      <c r="AL259" s="2" t="e">
        <f>VLOOKUP(H259,#REF!,13,FALSE)</f>
        <v>#REF!</v>
      </c>
      <c r="AM259" s="2" t="e">
        <f>VLOOKUP(CLEAN(H259),#REF!,7,FALSE)</f>
        <v>#REF!</v>
      </c>
      <c r="AN259" s="2" t="e">
        <f>VLOOKUP(H259,#REF!,8,FALSE)</f>
        <v>#REF!</v>
      </c>
      <c r="AO259" s="189" t="e">
        <f>VLOOKUP(H259,#REF!,2,FALSE)</f>
        <v>#REF!</v>
      </c>
      <c r="AP259" s="189" t="e">
        <f>VLOOKUP(H259,#REF!,2,FALSE)</f>
        <v>#REF!</v>
      </c>
      <c r="AQ259" s="189"/>
      <c r="AR259" s="2" t="e">
        <f>VLOOKUP(CLEAN(H259),#REF!,2,FALSE)</f>
        <v>#REF!</v>
      </c>
      <c r="AT259" s="2" t="e">
        <f>VLOOKUP(H259,#REF!,13,FALSE)</f>
        <v>#REF!</v>
      </c>
      <c r="AU259" s="2" t="e">
        <f>VLOOKUP(H259,#REF!,13,FALSE)</f>
        <v>#REF!</v>
      </c>
      <c r="AV259" s="2" t="e">
        <f>VLOOKUP(H259,#REF!,13,FALSE)</f>
        <v>#REF!</v>
      </c>
      <c r="AW259" s="2" t="e">
        <f>VLOOKUP(H259,#REF!,13,FALSE)</f>
        <v>#REF!</v>
      </c>
      <c r="AX259" s="2" t="e">
        <f>VLOOKUP(H259,#REF!,9,FALSE)</f>
        <v>#REF!</v>
      </c>
      <c r="AZ259" s="189" t="e">
        <f>VLOOKUP(H259,#REF!,2,FALSE)</f>
        <v>#REF!</v>
      </c>
      <c r="BF259" s="189" t="e">
        <f>VLOOKUP(CLEAN(H259),#REF!,2,FALSE)</f>
        <v>#REF!</v>
      </c>
      <c r="BG259" s="189" t="e">
        <f>T259-BF259</f>
        <v>#REF!</v>
      </c>
      <c r="BO259" s="2" t="e">
        <f>VLOOKUP(H259,#REF!,13,FALSE)</f>
        <v>#REF!</v>
      </c>
      <c r="BP259" s="2" t="e">
        <f>VLOOKUP(H259,#REF!,2,FALSE)</f>
        <v>#REF!</v>
      </c>
      <c r="BQ259" s="2" t="e">
        <f>VLOOKUP(H259,#REF!,13,FALSE)</f>
        <v>#REF!</v>
      </c>
      <c r="BR259" s="2" t="e">
        <f>VLOOKUP(H259,#REF!,3,FALSE)</f>
        <v>#REF!</v>
      </c>
    </row>
    <row r="260" spans="1:70" ht="15" customHeight="1" outlineLevel="2">
      <c r="A260" s="7"/>
      <c r="B260" s="7"/>
      <c r="C260" s="7"/>
      <c r="D260" s="7"/>
      <c r="E260" s="7"/>
      <c r="F260" s="7"/>
      <c r="G260" s="7"/>
      <c r="H260" s="11"/>
      <c r="I260" s="11"/>
      <c r="J260" s="11"/>
      <c r="K260" s="11"/>
      <c r="L260" s="17" t="s">
        <v>691</v>
      </c>
      <c r="M260" s="27">
        <f t="shared" ref="M260:X260" si="147">SUBTOTAL(9,M256:M259)</f>
        <v>8937452000</v>
      </c>
      <c r="N260" s="27">
        <f t="shared" si="147"/>
        <v>166383250</v>
      </c>
      <c r="O260" s="27">
        <f t="shared" si="147"/>
        <v>1885408250</v>
      </c>
      <c r="P260" s="24">
        <f t="shared" si="147"/>
        <v>0</v>
      </c>
      <c r="Q260" s="24">
        <f t="shared" si="147"/>
        <v>0</v>
      </c>
      <c r="R260" s="24">
        <f t="shared" si="147"/>
        <v>149999999</v>
      </c>
      <c r="S260" s="27">
        <f t="shared" si="147"/>
        <v>149999999</v>
      </c>
      <c r="T260" s="27">
        <f t="shared" si="147"/>
        <v>142299999</v>
      </c>
      <c r="U260" s="27">
        <f t="shared" si="147"/>
        <v>153946162</v>
      </c>
      <c r="V260" s="27">
        <f t="shared" si="147"/>
        <v>446246160</v>
      </c>
      <c r="W260" s="27">
        <f t="shared" si="147"/>
        <v>1439162090</v>
      </c>
      <c r="X260" s="27">
        <f t="shared" si="147"/>
        <v>6885660500</v>
      </c>
      <c r="Y260" s="47"/>
      <c r="Z260" s="47"/>
      <c r="AM260" s="185" t="e">
        <f>VLOOKUP(CLEAN(H260),#REF!,7,FALSE)</f>
        <v>#REF!</v>
      </c>
      <c r="AO260"/>
      <c r="AP260"/>
      <c r="AQ260"/>
      <c r="AR260" s="2" t="e">
        <f>VLOOKUP(CLEAN(H260),#REF!,2,FALSE)</f>
        <v>#REF!</v>
      </c>
      <c r="AZ260" s="2" t="e">
        <f>VLOOKUP(H260,#REF!,2,FALSE)</f>
        <v>#REF!</v>
      </c>
      <c r="BO260" s="2" t="e">
        <f>VLOOKUP(H260,#REF!,13,FALSE)</f>
        <v>#REF!</v>
      </c>
      <c r="BQ260" s="2" t="e">
        <f>VLOOKUP(H260,#REF!,13,FALSE)</f>
        <v>#REF!</v>
      </c>
    </row>
    <row r="261" spans="1:70" s="2" customFormat="1" ht="15" customHeight="1" outlineLevel="2">
      <c r="A261" s="7"/>
      <c r="B261" s="7"/>
      <c r="C261" s="7"/>
      <c r="D261" s="7"/>
      <c r="E261" s="7"/>
      <c r="F261" s="7"/>
      <c r="G261" s="7"/>
      <c r="H261" s="11"/>
      <c r="I261" s="14"/>
      <c r="J261" s="14"/>
      <c r="K261" s="14"/>
      <c r="L261" s="294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47"/>
      <c r="Z261" s="47"/>
      <c r="AJ261" s="185"/>
      <c r="AK261" s="185"/>
      <c r="AL261" s="185"/>
      <c r="AM261" s="185" t="e">
        <f>VLOOKUP(CLEAN(H261),#REF!,7,FALSE)</f>
        <v>#REF!</v>
      </c>
      <c r="AR261" s="2" t="e">
        <f>VLOOKUP(CLEAN(H261),#REF!,2,FALSE)</f>
        <v>#REF!</v>
      </c>
      <c r="AZ261" s="2" t="e">
        <f>VLOOKUP(H261,#REF!,2,FALSE)</f>
        <v>#REF!</v>
      </c>
      <c r="BF261" s="189"/>
      <c r="BO261" s="2" t="e">
        <f>VLOOKUP(H261,#REF!,13,FALSE)</f>
        <v>#REF!</v>
      </c>
      <c r="BP261" s="293"/>
      <c r="BQ261" s="2" t="e">
        <f>VLOOKUP(H261,#REF!,13,FALSE)</f>
        <v>#REF!</v>
      </c>
    </row>
    <row r="262" spans="1:70" s="2" customFormat="1" ht="15" customHeight="1" outlineLevel="2">
      <c r="A262" s="7"/>
      <c r="B262" s="7"/>
      <c r="C262" s="7"/>
      <c r="D262" s="7"/>
      <c r="E262" s="7"/>
      <c r="F262" s="7"/>
      <c r="G262" s="7"/>
      <c r="H262" s="11"/>
      <c r="I262" s="14"/>
      <c r="J262" s="14"/>
      <c r="K262" s="14"/>
      <c r="L262" s="18" t="s">
        <v>697</v>
      </c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50"/>
      <c r="Z262" s="50"/>
      <c r="AJ262" s="185"/>
      <c r="AK262" s="185"/>
      <c r="AL262" s="185"/>
      <c r="AM262" s="185"/>
      <c r="AR262" s="2" t="e">
        <f>VLOOKUP(CLEAN(H262),#REF!,2,FALSE)</f>
        <v>#REF!</v>
      </c>
      <c r="AZ262" s="2" t="e">
        <f>VLOOKUP(H262,#REF!,2,FALSE)</f>
        <v>#REF!</v>
      </c>
      <c r="BF262" s="189"/>
      <c r="BO262" s="2" t="e">
        <f>VLOOKUP(H262,#REF!,13,FALSE)</f>
        <v>#REF!</v>
      </c>
      <c r="BQ262" s="2" t="e">
        <f>VLOOKUP(H262,#REF!,13,FALSE)</f>
        <v>#REF!</v>
      </c>
    </row>
    <row r="263" spans="1:70" s="2" customFormat="1" ht="15" customHeight="1" outlineLevel="2">
      <c r="A263" s="5">
        <v>31</v>
      </c>
      <c r="B263" s="5" t="s">
        <v>5</v>
      </c>
      <c r="C263" s="5" t="s">
        <v>252</v>
      </c>
      <c r="D263" s="5" t="s">
        <v>22</v>
      </c>
      <c r="E263" s="5" t="s">
        <v>24</v>
      </c>
      <c r="F263" s="5" t="s">
        <v>75</v>
      </c>
      <c r="G263" s="5" t="s">
        <v>144</v>
      </c>
      <c r="H263" s="12">
        <v>30339483</v>
      </c>
      <c r="I263" s="42" t="str">
        <f>CONCATENATE(H263,"-",G263)</f>
        <v>30339483-EJECUCION</v>
      </c>
      <c r="J263" s="12"/>
      <c r="K263" s="307" t="str">
        <f>CLEAN(H263)</f>
        <v>30339483</v>
      </c>
      <c r="L263" s="15" t="s">
        <v>794</v>
      </c>
      <c r="M263" s="23">
        <v>1586863743</v>
      </c>
      <c r="N263" s="34">
        <v>1586863743</v>
      </c>
      <c r="O263" s="34">
        <v>0</v>
      </c>
      <c r="P263" s="310">
        <v>0</v>
      </c>
      <c r="Q263" s="34">
        <v>0</v>
      </c>
      <c r="R263" s="308">
        <v>0</v>
      </c>
      <c r="S263" s="34">
        <f>P263+Q263+R263</f>
        <v>0</v>
      </c>
      <c r="T263" s="34">
        <v>0</v>
      </c>
      <c r="U263" s="34">
        <v>0</v>
      </c>
      <c r="V263" s="34">
        <f>P263+Q263+R263+T263+U263</f>
        <v>0</v>
      </c>
      <c r="W263" s="34">
        <f>O263-V263</f>
        <v>0</v>
      </c>
      <c r="X263" s="34">
        <f>M263-(N263+O263)</f>
        <v>0</v>
      </c>
      <c r="Y263" s="48" t="s">
        <v>460</v>
      </c>
      <c r="Z263" s="48" t="s">
        <v>8</v>
      </c>
      <c r="AA263" s="2" t="e">
        <v>#N/A</v>
      </c>
      <c r="AB263" s="2" t="e">
        <f>VLOOKUP(H263,#REF!,2,FALSE)</f>
        <v>#REF!</v>
      </c>
      <c r="AC263" s="2" t="e">
        <f>VLOOKUP(I263,#REF!,2,FALSE)</f>
        <v>#REF!</v>
      </c>
      <c r="AD263" s="2" t="e">
        <f>VLOOKUP(H263,#REF!,13,FALSE)</f>
        <v>#REF!</v>
      </c>
      <c r="AE263" s="2" t="e">
        <f>VLOOKUP(I263,#REF!,7,FALSE)</f>
        <v>#REF!</v>
      </c>
      <c r="AG263" s="2" t="e">
        <f>VLOOKUP(H263,#REF!,13,FALSE)</f>
        <v>#REF!</v>
      </c>
      <c r="AH263" s="2" t="e">
        <f>VLOOKUP(I263,#REF!,2,FALSE)</f>
        <v>#REF!</v>
      </c>
      <c r="AI263" s="2" t="e">
        <f>VLOOKUP(H263,#REF!,12,FALSE)</f>
        <v>#REF!</v>
      </c>
      <c r="AJ263" s="185" t="e">
        <f>VLOOKUP(H263,#REF!,3,FALSE)</f>
        <v>#REF!</v>
      </c>
      <c r="AK263" s="185" t="s">
        <v>460</v>
      </c>
      <c r="AL263" s="185" t="e">
        <f>VLOOKUP(H263,#REF!,13,FALSE)</f>
        <v>#REF!</v>
      </c>
      <c r="AM263" s="185" t="e">
        <f>VLOOKUP(CLEAN(H263),#REF!,7,FALSE)</f>
        <v>#REF!</v>
      </c>
      <c r="AN263" s="2" t="e">
        <f>VLOOKUP(H263,#REF!,8,FALSE)</f>
        <v>#REF!</v>
      </c>
      <c r="AO263" s="189" t="e">
        <f>VLOOKUP(H263,#REF!,2,FALSE)</f>
        <v>#REF!</v>
      </c>
      <c r="AP263" s="189" t="e">
        <f>VLOOKUP(H263,#REF!,2,FALSE)</f>
        <v>#REF!</v>
      </c>
      <c r="AQ263" s="189"/>
      <c r="AR263" s="2" t="e">
        <f>VLOOKUP(CLEAN(H263),#REF!,2,FALSE)</f>
        <v>#REF!</v>
      </c>
      <c r="AT263" s="2" t="e">
        <f>VLOOKUP(H263,#REF!,13,FALSE)</f>
        <v>#REF!</v>
      </c>
      <c r="AU263" s="2" t="e">
        <f>VLOOKUP(H263,#REF!,13,FALSE)</f>
        <v>#REF!</v>
      </c>
      <c r="AV263" s="2" t="e">
        <f>VLOOKUP(H263,#REF!,13,FALSE)</f>
        <v>#REF!</v>
      </c>
      <c r="AW263" s="2" t="e">
        <f>VLOOKUP(H263,#REF!,13,FALSE)</f>
        <v>#REF!</v>
      </c>
      <c r="AX263" s="2" t="e">
        <f>VLOOKUP(H263,#REF!,9,FALSE)</f>
        <v>#REF!</v>
      </c>
      <c r="AZ263" s="2" t="e">
        <f>VLOOKUP(H263,#REF!,2,FALSE)</f>
        <v>#REF!</v>
      </c>
      <c r="BF263" s="189" t="e">
        <f>VLOOKUP(CLEAN(H263),#REF!,2,FALSE)</f>
        <v>#REF!</v>
      </c>
      <c r="BG263" s="189" t="e">
        <f>T263-BF263</f>
        <v>#REF!</v>
      </c>
      <c r="BO263" s="2" t="e">
        <f>VLOOKUP(H263,#REF!,13,FALSE)</f>
        <v>#REF!</v>
      </c>
      <c r="BP263" s="2" t="e">
        <f>VLOOKUP(H263,#REF!,2,FALSE)</f>
        <v>#REF!</v>
      </c>
      <c r="BQ263" s="2" t="e">
        <f>VLOOKUP(H263,#REF!,13,FALSE)</f>
        <v>#REF!</v>
      </c>
      <c r="BR263" s="2" t="e">
        <f>VLOOKUP(H263,#REF!,3,FALSE)</f>
        <v>#REF!</v>
      </c>
    </row>
    <row r="264" spans="1:70" s="2" customFormat="1" ht="15" customHeight="1" outlineLevel="2">
      <c r="A264" s="7"/>
      <c r="B264" s="7"/>
      <c r="C264" s="7"/>
      <c r="D264" s="7"/>
      <c r="E264" s="7"/>
      <c r="F264" s="7"/>
      <c r="G264" s="7"/>
      <c r="H264" s="11"/>
      <c r="I264" s="14"/>
      <c r="J264" s="14"/>
      <c r="K264" s="14"/>
      <c r="L264" s="17" t="s">
        <v>694</v>
      </c>
      <c r="M264" s="313">
        <f>SUBTOTAL(9,M263)</f>
        <v>1586863743</v>
      </c>
      <c r="N264" s="313">
        <f t="shared" ref="N264:O264" si="148">SUBTOTAL(9,N263)</f>
        <v>1586863743</v>
      </c>
      <c r="O264" s="313">
        <f t="shared" si="148"/>
        <v>0</v>
      </c>
      <c r="P264" s="25">
        <f t="shared" ref="P264:X264" si="149">SUBTOTAL(9,P263)</f>
        <v>0</v>
      </c>
      <c r="Q264" s="25">
        <f t="shared" si="149"/>
        <v>0</v>
      </c>
      <c r="R264" s="25">
        <f t="shared" si="149"/>
        <v>0</v>
      </c>
      <c r="S264" s="313">
        <f t="shared" si="149"/>
        <v>0</v>
      </c>
      <c r="T264" s="313">
        <f t="shared" si="149"/>
        <v>0</v>
      </c>
      <c r="U264" s="313">
        <f t="shared" si="149"/>
        <v>0</v>
      </c>
      <c r="V264" s="313">
        <f t="shared" si="149"/>
        <v>0</v>
      </c>
      <c r="W264" s="313">
        <f t="shared" si="149"/>
        <v>0</v>
      </c>
      <c r="X264" s="313">
        <f t="shared" si="149"/>
        <v>0</v>
      </c>
      <c r="Y264" s="50"/>
      <c r="Z264" s="50"/>
      <c r="AJ264" s="185"/>
      <c r="AK264" s="185"/>
      <c r="AL264" s="185"/>
      <c r="AM264" s="185"/>
      <c r="AR264" s="2" t="e">
        <f>VLOOKUP(CLEAN(H264),#REF!,2,FALSE)</f>
        <v>#REF!</v>
      </c>
      <c r="AZ264" s="2" t="e">
        <f>VLOOKUP(H264,#REF!,2,FALSE)</f>
        <v>#REF!</v>
      </c>
      <c r="BF264" s="189"/>
      <c r="BO264" s="2" t="e">
        <f>VLOOKUP(H264,#REF!,13,FALSE)</f>
        <v>#REF!</v>
      </c>
      <c r="BQ264" s="2" t="e">
        <f>VLOOKUP(H264,#REF!,13,FALSE)</f>
        <v>#REF!</v>
      </c>
    </row>
    <row r="265" spans="1:70" s="2" customFormat="1" ht="15" customHeight="1" outlineLevel="2">
      <c r="A265" s="7"/>
      <c r="B265" s="7"/>
      <c r="C265" s="7"/>
      <c r="D265" s="7"/>
      <c r="E265" s="7"/>
      <c r="F265" s="7"/>
      <c r="G265" s="7"/>
      <c r="H265" s="11"/>
      <c r="I265" s="14"/>
      <c r="J265" s="14"/>
      <c r="K265" s="14"/>
      <c r="L265" s="294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47"/>
      <c r="Z265" s="47"/>
      <c r="AJ265" s="185"/>
      <c r="AK265" s="185"/>
      <c r="AL265" s="185"/>
      <c r="AM265" s="185"/>
      <c r="AR265" s="2" t="e">
        <f>VLOOKUP(CLEAN(H265),#REF!,2,FALSE)</f>
        <v>#REF!</v>
      </c>
      <c r="AZ265" s="2" t="e">
        <f>VLOOKUP(H265,#REF!,2,FALSE)</f>
        <v>#REF!</v>
      </c>
      <c r="BF265" s="189"/>
      <c r="BO265" s="2" t="e">
        <f>VLOOKUP(H265,#REF!,13,FALSE)</f>
        <v>#REF!</v>
      </c>
      <c r="BP265" s="293"/>
      <c r="BQ265" s="2" t="e">
        <f>VLOOKUP(H265,#REF!,13,FALSE)</f>
        <v>#REF!</v>
      </c>
    </row>
    <row r="266" spans="1:70" ht="15" customHeight="1" outlineLevel="2">
      <c r="A266" s="7"/>
      <c r="B266" s="7"/>
      <c r="C266" s="7"/>
      <c r="D266" s="7"/>
      <c r="E266" s="7"/>
      <c r="F266" s="7"/>
      <c r="G266" s="7"/>
      <c r="H266" s="11"/>
      <c r="I266" s="11"/>
      <c r="J266" s="11"/>
      <c r="K266" s="11"/>
      <c r="L266" s="18" t="s">
        <v>701</v>
      </c>
      <c r="M266" s="22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47"/>
      <c r="Z266" s="47"/>
      <c r="AM266" s="185" t="e">
        <f>VLOOKUP(CLEAN(H266),#REF!,7,FALSE)</f>
        <v>#REF!</v>
      </c>
      <c r="AO266"/>
      <c r="AP266"/>
      <c r="AQ266"/>
      <c r="AR266" s="2" t="e">
        <f>VLOOKUP(CLEAN(H266),#REF!,2,FALSE)</f>
        <v>#REF!</v>
      </c>
      <c r="AZ266" s="2" t="e">
        <f>VLOOKUP(H266,#REF!,2,FALSE)</f>
        <v>#REF!</v>
      </c>
      <c r="BO266" s="2" t="e">
        <f>VLOOKUP(H266,#REF!,13,FALSE)</f>
        <v>#REF!</v>
      </c>
      <c r="BQ266" s="2" t="e">
        <f>VLOOKUP(H266,#REF!,13,FALSE)</f>
        <v>#REF!</v>
      </c>
    </row>
    <row r="267" spans="1:70" s="2" customFormat="1" ht="15" customHeight="1" outlineLevel="2">
      <c r="A267" s="5">
        <v>29</v>
      </c>
      <c r="B267" s="5" t="s">
        <v>11</v>
      </c>
      <c r="C267" s="5" t="s">
        <v>240</v>
      </c>
      <c r="D267" s="5" t="s">
        <v>22</v>
      </c>
      <c r="E267" s="5" t="s">
        <v>24</v>
      </c>
      <c r="F267" s="5" t="s">
        <v>457</v>
      </c>
      <c r="G267" s="5" t="s">
        <v>144</v>
      </c>
      <c r="H267" s="12">
        <v>30485663</v>
      </c>
      <c r="I267" s="42" t="str">
        <f t="shared" ref="I267:I269" si="150">CONCATENATE(H267,"-",G267)</f>
        <v>30485663-EJECUCION</v>
      </c>
      <c r="J267" s="12"/>
      <c r="K267" s="307" t="str">
        <f t="shared" ref="K267:K269" si="151">CLEAN(H267)</f>
        <v>30485663</v>
      </c>
      <c r="L267" s="15" t="s">
        <v>635</v>
      </c>
      <c r="M267" s="23">
        <v>65212000</v>
      </c>
      <c r="N267" s="34">
        <v>0</v>
      </c>
      <c r="O267" s="34">
        <v>65212000</v>
      </c>
      <c r="P267" s="310">
        <v>0</v>
      </c>
      <c r="Q267" s="34">
        <v>0</v>
      </c>
      <c r="R267" s="308">
        <v>0</v>
      </c>
      <c r="S267" s="34">
        <f t="shared" ref="S267:S269" si="152">P267+Q267+R267</f>
        <v>0</v>
      </c>
      <c r="T267" s="34">
        <v>0</v>
      </c>
      <c r="U267" s="34">
        <v>0</v>
      </c>
      <c r="V267" s="34">
        <f>P267+Q267+R267+T267+U267</f>
        <v>0</v>
      </c>
      <c r="W267" s="34">
        <f>O267-V267</f>
        <v>65212000</v>
      </c>
      <c r="X267" s="34">
        <f>M267-(N267+O267)</f>
        <v>0</v>
      </c>
      <c r="Y267" s="48" t="s">
        <v>460</v>
      </c>
      <c r="Z267" s="48" t="s">
        <v>10</v>
      </c>
      <c r="AA267" s="2" t="e">
        <v>#N/A</v>
      </c>
      <c r="AB267" s="2" t="e">
        <f>VLOOKUP(H267,#REF!,2,FALSE)</f>
        <v>#REF!</v>
      </c>
      <c r="AD267" s="2" t="e">
        <f>VLOOKUP(H267,#REF!,13,FALSE)</f>
        <v>#REF!</v>
      </c>
      <c r="AE267" s="2" t="e">
        <f>VLOOKUP(I267,#REF!,7,FALSE)</f>
        <v>#REF!</v>
      </c>
      <c r="AG267" s="2" t="e">
        <f>VLOOKUP(H267,#REF!,13,FALSE)</f>
        <v>#REF!</v>
      </c>
      <c r="AH267" s="2" t="e">
        <f>VLOOKUP(I267,#REF!,2,FALSE)</f>
        <v>#REF!</v>
      </c>
      <c r="AJ267" s="2" t="e">
        <f>VLOOKUP(H267,#REF!,3,FALSE)</f>
        <v>#REF!</v>
      </c>
      <c r="AL267" s="2" t="e">
        <f>VLOOKUP(H267,#REF!,13,FALSE)</f>
        <v>#REF!</v>
      </c>
      <c r="AM267" s="2" t="e">
        <f>VLOOKUP(CLEAN(H267),#REF!,7,FALSE)</f>
        <v>#REF!</v>
      </c>
      <c r="AN267" s="2" t="e">
        <f>VLOOKUP(H267,#REF!,8,FALSE)</f>
        <v>#REF!</v>
      </c>
      <c r="AO267" s="189" t="e">
        <f>VLOOKUP(H267,#REF!,2,FALSE)</f>
        <v>#REF!</v>
      </c>
      <c r="AP267" s="189" t="e">
        <f>VLOOKUP(H267,#REF!,2,FALSE)</f>
        <v>#REF!</v>
      </c>
      <c r="AQ267" s="189"/>
      <c r="AR267" s="2" t="e">
        <f>VLOOKUP(CLEAN(H267),#REF!,2,FALSE)</f>
        <v>#REF!</v>
      </c>
      <c r="AT267" s="2" t="e">
        <f>VLOOKUP(H267,#REF!,13,FALSE)</f>
        <v>#REF!</v>
      </c>
      <c r="AU267" s="2" t="e">
        <f>VLOOKUP(H267,#REF!,13,FALSE)</f>
        <v>#REF!</v>
      </c>
      <c r="AV267" s="2" t="e">
        <f>VLOOKUP(H267,#REF!,13,FALSE)</f>
        <v>#REF!</v>
      </c>
      <c r="AW267" s="2" t="e">
        <f>VLOOKUP(H267,#REF!,13,FALSE)</f>
        <v>#REF!</v>
      </c>
      <c r="AX267" s="2" t="e">
        <f>VLOOKUP(H267,#REF!,9,FALSE)</f>
        <v>#REF!</v>
      </c>
      <c r="AY267" s="2" t="e">
        <f>VLOOKUP(H267,#REF!,2,FALSE)</f>
        <v>#REF!</v>
      </c>
      <c r="AZ267" s="189" t="e">
        <f>VLOOKUP(H267,#REF!,2,FALSE)</f>
        <v>#REF!</v>
      </c>
      <c r="BF267" s="189" t="e">
        <f>VLOOKUP(CLEAN(H267),#REF!,2,FALSE)</f>
        <v>#REF!</v>
      </c>
      <c r="BG267" s="189" t="e">
        <f>T267-BF267</f>
        <v>#REF!</v>
      </c>
      <c r="BO267" s="2" t="e">
        <f>VLOOKUP(H267,#REF!,13,FALSE)</f>
        <v>#REF!</v>
      </c>
      <c r="BP267" s="2" t="e">
        <f>VLOOKUP(H267,#REF!,2,FALSE)</f>
        <v>#REF!</v>
      </c>
      <c r="BQ267" s="2" t="e">
        <f>VLOOKUP(H267,#REF!,13,FALSE)</f>
        <v>#REF!</v>
      </c>
      <c r="BR267" s="2" t="e">
        <f>VLOOKUP(H267,#REF!,3,FALSE)</f>
        <v>#REF!</v>
      </c>
    </row>
    <row r="268" spans="1:70" s="2" customFormat="1" ht="15" customHeight="1" outlineLevel="2">
      <c r="A268" s="5">
        <v>29</v>
      </c>
      <c r="B268" s="5" t="s">
        <v>11</v>
      </c>
      <c r="C268" s="5" t="s">
        <v>251</v>
      </c>
      <c r="D268" s="5" t="s">
        <v>22</v>
      </c>
      <c r="E268" s="5" t="s">
        <v>24</v>
      </c>
      <c r="F268" s="5" t="s">
        <v>457</v>
      </c>
      <c r="G268" s="5" t="s">
        <v>144</v>
      </c>
      <c r="H268" s="12">
        <v>30465002</v>
      </c>
      <c r="I268" s="42" t="str">
        <f t="shared" si="150"/>
        <v>30465002-EJECUCION</v>
      </c>
      <c r="J268" s="12"/>
      <c r="K268" s="307" t="str">
        <f t="shared" si="151"/>
        <v>30465002</v>
      </c>
      <c r="L268" s="15" t="s">
        <v>756</v>
      </c>
      <c r="M268" s="23">
        <v>218961000</v>
      </c>
      <c r="N268" s="34">
        <v>0</v>
      </c>
      <c r="O268" s="34">
        <v>218961000</v>
      </c>
      <c r="P268" s="310">
        <v>0</v>
      </c>
      <c r="Q268" s="34">
        <v>0</v>
      </c>
      <c r="R268" s="308">
        <v>0</v>
      </c>
      <c r="S268" s="34">
        <f t="shared" si="152"/>
        <v>0</v>
      </c>
      <c r="T268" s="34">
        <v>0</v>
      </c>
      <c r="U268" s="34">
        <v>0</v>
      </c>
      <c r="V268" s="34">
        <f>P268+Q268+R268+T268+U268</f>
        <v>0</v>
      </c>
      <c r="W268" s="34">
        <f>O268-V268</f>
        <v>218961000</v>
      </c>
      <c r="X268" s="34">
        <f>M268-(N268+O268)</f>
        <v>0</v>
      </c>
      <c r="Y268" s="48" t="s">
        <v>460</v>
      </c>
      <c r="Z268" s="48" t="s">
        <v>10</v>
      </c>
      <c r="AA268" s="2" t="e">
        <v>#N/A</v>
      </c>
      <c r="AB268" s="2" t="e">
        <f>VLOOKUP(H268,#REF!,2,FALSE)</f>
        <v>#REF!</v>
      </c>
      <c r="AC268" s="2" t="e">
        <f>VLOOKUP(I268,#REF!,2,FALSE)</f>
        <v>#REF!</v>
      </c>
      <c r="AD268" s="2" t="e">
        <f>VLOOKUP(H268,#REF!,13,FALSE)</f>
        <v>#REF!</v>
      </c>
      <c r="AE268" s="2" t="e">
        <f>VLOOKUP(I268,#REF!,7,FALSE)</f>
        <v>#REF!</v>
      </c>
      <c r="AG268" s="2" t="e">
        <f>VLOOKUP(H268,#REF!,13,FALSE)</f>
        <v>#REF!</v>
      </c>
      <c r="AH268" s="2" t="e">
        <f>VLOOKUP(I268,#REF!,2,FALSE)</f>
        <v>#REF!</v>
      </c>
      <c r="AJ268" s="185" t="e">
        <f>VLOOKUP(H268,#REF!,3,FALSE)</f>
        <v>#REF!</v>
      </c>
      <c r="AK268" s="185" t="s">
        <v>686</v>
      </c>
      <c r="AL268" s="185" t="e">
        <f>VLOOKUP(H268,#REF!,13,FALSE)</f>
        <v>#REF!</v>
      </c>
      <c r="AM268" s="185" t="e">
        <f>VLOOKUP(CLEAN(H268),#REF!,7,FALSE)</f>
        <v>#REF!</v>
      </c>
      <c r="AN268" s="2" t="e">
        <f>VLOOKUP(H268,#REF!,8,FALSE)</f>
        <v>#REF!</v>
      </c>
      <c r="AO268" s="189" t="e">
        <f>VLOOKUP(H268,#REF!,2,FALSE)</f>
        <v>#REF!</v>
      </c>
      <c r="AP268" s="189" t="e">
        <f>VLOOKUP(H268,#REF!,2,FALSE)</f>
        <v>#REF!</v>
      </c>
      <c r="AQ268" s="189"/>
      <c r="AR268" s="2" t="e">
        <f>VLOOKUP(CLEAN(H268),#REF!,2,FALSE)</f>
        <v>#REF!</v>
      </c>
      <c r="AT268" s="2" t="e">
        <f>VLOOKUP(H268,#REF!,13,FALSE)</f>
        <v>#REF!</v>
      </c>
      <c r="AU268" s="2" t="e">
        <f>VLOOKUP(H268,#REF!,13,FALSE)</f>
        <v>#REF!</v>
      </c>
      <c r="AV268" s="2" t="e">
        <f>VLOOKUP(H268,#REF!,13,FALSE)</f>
        <v>#REF!</v>
      </c>
      <c r="AW268" s="2" t="e">
        <f>VLOOKUP(H268,#REF!,13,FALSE)</f>
        <v>#REF!</v>
      </c>
      <c r="AX268" s="2" t="e">
        <f>VLOOKUP(H268,#REF!,9,FALSE)</f>
        <v>#REF!</v>
      </c>
      <c r="AZ268" s="2" t="e">
        <f>VLOOKUP(H268,#REF!,2,FALSE)</f>
        <v>#REF!</v>
      </c>
      <c r="BF268" s="189" t="e">
        <f>VLOOKUP(CLEAN(H268),#REF!,2,FALSE)</f>
        <v>#REF!</v>
      </c>
      <c r="BG268" s="189" t="e">
        <f>T268-BF268</f>
        <v>#REF!</v>
      </c>
      <c r="BO268" s="2" t="e">
        <f>VLOOKUP(H268,#REF!,13,FALSE)</f>
        <v>#REF!</v>
      </c>
      <c r="BP268" s="2" t="e">
        <f>VLOOKUP(H268,#REF!,2,FALSE)</f>
        <v>#REF!</v>
      </c>
      <c r="BQ268" s="2" t="e">
        <f>VLOOKUP(H268,#REF!,13,FALSE)</f>
        <v>#REF!</v>
      </c>
      <c r="BR268" s="2" t="e">
        <f>VLOOKUP(H268,#REF!,3,FALSE)</f>
        <v>#REF!</v>
      </c>
    </row>
    <row r="269" spans="1:70" s="2" customFormat="1" ht="15" customHeight="1" outlineLevel="2">
      <c r="A269" s="5">
        <v>31</v>
      </c>
      <c r="B269" s="5" t="s">
        <v>11</v>
      </c>
      <c r="C269" s="5" t="s">
        <v>240</v>
      </c>
      <c r="D269" s="5" t="s">
        <v>22</v>
      </c>
      <c r="E269" s="5" t="s">
        <v>24</v>
      </c>
      <c r="F269" s="5" t="s">
        <v>457</v>
      </c>
      <c r="G269" s="5" t="s">
        <v>144</v>
      </c>
      <c r="H269" s="12">
        <v>30380331</v>
      </c>
      <c r="I269" s="42" t="str">
        <f t="shared" si="150"/>
        <v>30380331-EJECUCION</v>
      </c>
      <c r="J269" s="12"/>
      <c r="K269" s="307" t="str">
        <f t="shared" si="151"/>
        <v>30380331</v>
      </c>
      <c r="L269" s="15" t="s">
        <v>699</v>
      </c>
      <c r="M269" s="23">
        <v>1802409000</v>
      </c>
      <c r="N269" s="34">
        <v>0</v>
      </c>
      <c r="O269" s="34">
        <v>0</v>
      </c>
      <c r="P269" s="310">
        <v>0</v>
      </c>
      <c r="Q269" s="34">
        <v>0</v>
      </c>
      <c r="R269" s="308">
        <v>0</v>
      </c>
      <c r="S269" s="34">
        <f t="shared" si="152"/>
        <v>0</v>
      </c>
      <c r="T269" s="34">
        <v>0</v>
      </c>
      <c r="U269" s="34">
        <v>0</v>
      </c>
      <c r="V269" s="34">
        <f>P269+Q269+R269+T269+U269</f>
        <v>0</v>
      </c>
      <c r="W269" s="34">
        <f>O269-V269</f>
        <v>0</v>
      </c>
      <c r="X269" s="34">
        <f>M269-(N269+O269)</f>
        <v>1802409000</v>
      </c>
      <c r="Y269" s="48" t="s">
        <v>418</v>
      </c>
      <c r="Z269" s="48" t="s">
        <v>8</v>
      </c>
      <c r="AA269" s="2" t="e">
        <v>#N/A</v>
      </c>
      <c r="AB269" s="2" t="e">
        <f>VLOOKUP(H269,#REF!,2,FALSE)</f>
        <v>#REF!</v>
      </c>
      <c r="AJ269" s="185"/>
      <c r="AK269" s="185"/>
      <c r="AL269" s="185"/>
      <c r="AM269" s="185"/>
      <c r="AN269" s="2" t="e">
        <f>VLOOKUP(H269,#REF!,8,FALSE)</f>
        <v>#REF!</v>
      </c>
      <c r="AO269" s="189" t="e">
        <f>VLOOKUP(H269,#REF!,2,FALSE)</f>
        <v>#REF!</v>
      </c>
      <c r="AP269" s="189" t="e">
        <f>VLOOKUP(H269,#REF!,2,FALSE)</f>
        <v>#REF!</v>
      </c>
      <c r="AQ269" s="189"/>
      <c r="AR269" s="2" t="e">
        <f>VLOOKUP(CLEAN(H269),#REF!,2,FALSE)</f>
        <v>#REF!</v>
      </c>
      <c r="AT269" s="2" t="e">
        <f>VLOOKUP(H269,#REF!,13,FALSE)</f>
        <v>#REF!</v>
      </c>
      <c r="AU269" s="2" t="e">
        <f>VLOOKUP(H269,#REF!,13,FALSE)</f>
        <v>#REF!</v>
      </c>
      <c r="AV269" s="2" t="e">
        <f>VLOOKUP(H269,#REF!,13,FALSE)</f>
        <v>#REF!</v>
      </c>
      <c r="AW269" s="2" t="e">
        <f>VLOOKUP(H269,#REF!,13,FALSE)</f>
        <v>#REF!</v>
      </c>
      <c r="AX269" s="2" t="e">
        <f>VLOOKUP(H269,#REF!,9,FALSE)</f>
        <v>#REF!</v>
      </c>
      <c r="AZ269" s="2" t="e">
        <f>VLOOKUP(H269,#REF!,2,FALSE)</f>
        <v>#REF!</v>
      </c>
      <c r="BF269" s="189" t="e">
        <f>VLOOKUP(CLEAN(H269),#REF!,2,FALSE)</f>
        <v>#REF!</v>
      </c>
      <c r="BG269" s="189" t="e">
        <f>T269-BF269</f>
        <v>#REF!</v>
      </c>
      <c r="BO269" s="2" t="e">
        <f>VLOOKUP(H269,#REF!,13,FALSE)</f>
        <v>#REF!</v>
      </c>
      <c r="BP269" s="2" t="e">
        <f>VLOOKUP(H269,#REF!,2,FALSE)</f>
        <v>#REF!</v>
      </c>
      <c r="BQ269" s="2" t="e">
        <f>VLOOKUP(H269,#REF!,13,FALSE)</f>
        <v>#REF!</v>
      </c>
      <c r="BR269" s="2" t="e">
        <f>VLOOKUP(H269,#REF!,3,FALSE)</f>
        <v>#REF!</v>
      </c>
    </row>
    <row r="270" spans="1:70" ht="15" customHeight="1" outlineLevel="2">
      <c r="A270" s="7"/>
      <c r="B270" s="7"/>
      <c r="C270" s="7"/>
      <c r="D270" s="7"/>
      <c r="E270" s="7"/>
      <c r="F270" s="7"/>
      <c r="G270" s="7"/>
      <c r="H270" s="11"/>
      <c r="I270" s="11"/>
      <c r="J270" s="11"/>
      <c r="K270" s="11"/>
      <c r="L270" s="17" t="s">
        <v>702</v>
      </c>
      <c r="M270" s="27">
        <f>SUBTOTAL(9,M267:M269)</f>
        <v>2086582000</v>
      </c>
      <c r="N270" s="27">
        <f t="shared" ref="N270:O270" si="153">SUBTOTAL(9,N267:N269)</f>
        <v>0</v>
      </c>
      <c r="O270" s="27">
        <f t="shared" si="153"/>
        <v>284173000</v>
      </c>
      <c r="P270" s="24">
        <f t="shared" ref="P270:X270" si="154">SUBTOTAL(9,P267:P269)</f>
        <v>0</v>
      </c>
      <c r="Q270" s="24">
        <f t="shared" si="154"/>
        <v>0</v>
      </c>
      <c r="R270" s="24">
        <f t="shared" si="154"/>
        <v>0</v>
      </c>
      <c r="S270" s="27">
        <f t="shared" si="154"/>
        <v>0</v>
      </c>
      <c r="T270" s="27">
        <f t="shared" si="154"/>
        <v>0</v>
      </c>
      <c r="U270" s="27">
        <f t="shared" si="154"/>
        <v>0</v>
      </c>
      <c r="V270" s="27">
        <f t="shared" si="154"/>
        <v>0</v>
      </c>
      <c r="W270" s="27">
        <f t="shared" si="154"/>
        <v>284173000</v>
      </c>
      <c r="X270" s="27">
        <f t="shared" si="154"/>
        <v>1802409000</v>
      </c>
      <c r="Y270" s="47"/>
      <c r="Z270" s="47"/>
      <c r="AM270" s="185" t="e">
        <f>VLOOKUP(CLEAN(H270),#REF!,7,FALSE)</f>
        <v>#REF!</v>
      </c>
      <c r="AO270"/>
      <c r="AP270"/>
      <c r="AQ270"/>
      <c r="AR270" s="2" t="e">
        <f>VLOOKUP(CLEAN(H270),#REF!,2,FALSE)</f>
        <v>#REF!</v>
      </c>
      <c r="AZ270" s="2" t="e">
        <f>VLOOKUP(H270,#REF!,2,FALSE)</f>
        <v>#REF!</v>
      </c>
      <c r="BO270" s="2" t="e">
        <f>VLOOKUP(H270,#REF!,13,FALSE)</f>
        <v>#REF!</v>
      </c>
      <c r="BQ270" s="2" t="e">
        <f>VLOOKUP(H270,#REF!,13,FALSE)</f>
        <v>#REF!</v>
      </c>
    </row>
    <row r="271" spans="1:70" ht="15" customHeight="1" outlineLevel="2">
      <c r="A271" s="7"/>
      <c r="B271" s="7"/>
      <c r="C271" s="7"/>
      <c r="D271" s="7"/>
      <c r="E271" s="7"/>
      <c r="F271" s="7"/>
      <c r="G271" s="7"/>
      <c r="H271" s="11"/>
      <c r="I271" s="11"/>
      <c r="J271" s="11"/>
      <c r="K271" s="11"/>
      <c r="L271" s="292"/>
      <c r="M271" s="22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47"/>
      <c r="Z271" s="47"/>
      <c r="AM271" s="185" t="e">
        <f>VLOOKUP(CLEAN(H271),#REF!,7,FALSE)</f>
        <v>#REF!</v>
      </c>
      <c r="AO271"/>
      <c r="AP271"/>
      <c r="AQ271"/>
      <c r="AR271" s="2" t="e">
        <f>VLOOKUP(CLEAN(H271),#REF!,2,FALSE)</f>
        <v>#REF!</v>
      </c>
      <c r="AZ271" s="2" t="e">
        <f>VLOOKUP(H271,#REF!,2,FALSE)</f>
        <v>#REF!</v>
      </c>
      <c r="BO271" s="2" t="e">
        <f>VLOOKUP(H271,#REF!,13,FALSE)</f>
        <v>#REF!</v>
      </c>
      <c r="BP271" s="293"/>
      <c r="BQ271" s="2" t="e">
        <f>VLOOKUP(H271,#REF!,13,FALSE)</f>
        <v>#REF!</v>
      </c>
    </row>
    <row r="272" spans="1:70" ht="15" customHeight="1" outlineLevel="2">
      <c r="A272" s="7"/>
      <c r="B272" s="7"/>
      <c r="C272" s="7"/>
      <c r="D272" s="7"/>
      <c r="E272" s="7"/>
      <c r="F272" s="7"/>
      <c r="G272" s="7"/>
      <c r="H272" s="11"/>
      <c r="I272" s="11"/>
      <c r="J272" s="11"/>
      <c r="K272" s="11"/>
      <c r="L272" s="18" t="s">
        <v>696</v>
      </c>
      <c r="M272" s="22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47"/>
      <c r="Z272" s="47"/>
      <c r="AO272"/>
      <c r="AP272"/>
      <c r="AQ272"/>
      <c r="AR272" s="2" t="e">
        <f>VLOOKUP(CLEAN(H272),#REF!,2,FALSE)</f>
        <v>#REF!</v>
      </c>
      <c r="AZ272" s="2" t="e">
        <f>VLOOKUP(H272,#REF!,2,FALSE)</f>
        <v>#REF!</v>
      </c>
      <c r="BO272" s="2" t="e">
        <f>VLOOKUP(H272,#REF!,13,FALSE)</f>
        <v>#REF!</v>
      </c>
      <c r="BQ272" s="2" t="e">
        <f>VLOOKUP(H272,#REF!,13,FALSE)</f>
        <v>#REF!</v>
      </c>
    </row>
    <row r="273" spans="1:70" s="2" customFormat="1" ht="15" customHeight="1" outlineLevel="2">
      <c r="A273" s="5">
        <v>31</v>
      </c>
      <c r="B273" s="5" t="s">
        <v>11</v>
      </c>
      <c r="C273" s="5" t="s">
        <v>241</v>
      </c>
      <c r="D273" s="5" t="s">
        <v>22</v>
      </c>
      <c r="E273" s="5" t="s">
        <v>24</v>
      </c>
      <c r="F273" s="5" t="s">
        <v>89</v>
      </c>
      <c r="G273" s="5" t="s">
        <v>144</v>
      </c>
      <c r="H273" s="12">
        <v>30480531</v>
      </c>
      <c r="I273" s="42" t="str">
        <f t="shared" ref="I273:I276" si="155">CONCATENATE(H273,"-",G273)</f>
        <v>30480531-EJECUCION</v>
      </c>
      <c r="J273" s="12"/>
      <c r="K273" s="307" t="str">
        <f t="shared" ref="K273:K276" si="156">CLEAN(H273)</f>
        <v>30480531</v>
      </c>
      <c r="L273" s="15" t="s">
        <v>323</v>
      </c>
      <c r="M273" s="23">
        <v>469704000</v>
      </c>
      <c r="N273" s="34">
        <v>0</v>
      </c>
      <c r="O273" s="34">
        <v>200000000</v>
      </c>
      <c r="P273" s="310">
        <v>0</v>
      </c>
      <c r="Q273" s="34">
        <v>0</v>
      </c>
      <c r="R273" s="308">
        <v>0</v>
      </c>
      <c r="S273" s="34">
        <f t="shared" ref="S273:S276" si="157">P273+Q273+R273</f>
        <v>0</v>
      </c>
      <c r="T273" s="34">
        <v>0</v>
      </c>
      <c r="U273" s="34">
        <v>0</v>
      </c>
      <c r="V273" s="34">
        <f>P273+Q273+R273+T273+U273</f>
        <v>0</v>
      </c>
      <c r="W273" s="34">
        <f>O273-V273</f>
        <v>200000000</v>
      </c>
      <c r="X273" s="34">
        <f>M273-(N273+O273)</f>
        <v>269704000</v>
      </c>
      <c r="Y273" s="48" t="s">
        <v>418</v>
      </c>
      <c r="Z273" s="48" t="s">
        <v>8</v>
      </c>
      <c r="AA273" s="2" t="e">
        <v>#N/A</v>
      </c>
      <c r="AB273" s="2" t="e">
        <f>VLOOKUP(H273,#REF!,2,FALSE)</f>
        <v>#REF!</v>
      </c>
      <c r="AC273" s="2" t="e">
        <f>VLOOKUP(I273,#REF!,2,FALSE)</f>
        <v>#REF!</v>
      </c>
      <c r="AD273" s="2" t="e">
        <f>VLOOKUP(H273,#REF!,13,FALSE)</f>
        <v>#REF!</v>
      </c>
      <c r="AE273" s="2" t="e">
        <f>VLOOKUP(I273,#REF!,7,FALSE)</f>
        <v>#REF!</v>
      </c>
      <c r="AG273" s="2" t="e">
        <f>VLOOKUP(H273,#REF!,13,FALSE)</f>
        <v>#REF!</v>
      </c>
      <c r="AH273" s="2" t="e">
        <f>VLOOKUP(I273,#REF!,2,FALSE)</f>
        <v>#REF!</v>
      </c>
      <c r="AJ273" s="185" t="e">
        <f>VLOOKUP(H273,#REF!,3,FALSE)</f>
        <v>#REF!</v>
      </c>
      <c r="AK273" s="185"/>
      <c r="AL273" s="185" t="e">
        <f>VLOOKUP(H273,#REF!,13,FALSE)</f>
        <v>#REF!</v>
      </c>
      <c r="AM273" s="185" t="e">
        <f>VLOOKUP(CLEAN(H273),#REF!,7,FALSE)</f>
        <v>#REF!</v>
      </c>
      <c r="AN273" s="2" t="e">
        <f>VLOOKUP(H273,#REF!,8,FALSE)</f>
        <v>#REF!</v>
      </c>
      <c r="AO273" s="189" t="e">
        <f>VLOOKUP(H273,#REF!,2,FALSE)</f>
        <v>#REF!</v>
      </c>
      <c r="AP273" s="189" t="e">
        <f>VLOOKUP(H273,#REF!,2,FALSE)</f>
        <v>#REF!</v>
      </c>
      <c r="AQ273" s="189"/>
      <c r="AR273" s="2" t="e">
        <f>VLOOKUP(CLEAN(H273),#REF!,2,FALSE)</f>
        <v>#REF!</v>
      </c>
      <c r="AT273" s="2" t="e">
        <f>VLOOKUP(H273,#REF!,13,FALSE)</f>
        <v>#REF!</v>
      </c>
      <c r="AU273" s="2" t="e">
        <f>VLOOKUP(H273,#REF!,13,FALSE)</f>
        <v>#REF!</v>
      </c>
      <c r="AV273" s="2" t="e">
        <f>VLOOKUP(H273,#REF!,13,FALSE)</f>
        <v>#REF!</v>
      </c>
      <c r="AW273" s="2" t="e">
        <f>VLOOKUP(H273,#REF!,13,FALSE)</f>
        <v>#REF!</v>
      </c>
      <c r="AX273" s="2" t="e">
        <f>VLOOKUP(H273,#REF!,9,FALSE)</f>
        <v>#REF!</v>
      </c>
      <c r="AZ273" s="2" t="e">
        <f>VLOOKUP(H273,#REF!,2,FALSE)</f>
        <v>#REF!</v>
      </c>
      <c r="BF273" s="189" t="e">
        <f>VLOOKUP(CLEAN(H273),#REF!,2,FALSE)</f>
        <v>#REF!</v>
      </c>
      <c r="BG273" s="189" t="e">
        <f>T273-BF273</f>
        <v>#REF!</v>
      </c>
      <c r="BO273" s="2" t="e">
        <f>VLOOKUP(H273,#REF!,13,FALSE)</f>
        <v>#REF!</v>
      </c>
      <c r="BP273" s="2" t="e">
        <f>VLOOKUP(H273,#REF!,2,FALSE)</f>
        <v>#REF!</v>
      </c>
      <c r="BQ273" s="2" t="e">
        <f>VLOOKUP(H273,#REF!,13,FALSE)</f>
        <v>#REF!</v>
      </c>
      <c r="BR273" s="2" t="e">
        <f>VLOOKUP(H273,#REF!,3,FALSE)</f>
        <v>#REF!</v>
      </c>
    </row>
    <row r="274" spans="1:70" s="2" customFormat="1" ht="15" customHeight="1" outlineLevel="2">
      <c r="A274" s="5">
        <v>31</v>
      </c>
      <c r="B274" s="5" t="s">
        <v>11</v>
      </c>
      <c r="C274" s="5" t="s">
        <v>248</v>
      </c>
      <c r="D274" s="5" t="s">
        <v>22</v>
      </c>
      <c r="E274" s="5" t="s">
        <v>24</v>
      </c>
      <c r="F274" s="5" t="s">
        <v>14</v>
      </c>
      <c r="G274" s="5" t="s">
        <v>144</v>
      </c>
      <c r="H274" s="12">
        <v>30427273</v>
      </c>
      <c r="I274" s="42" t="str">
        <f t="shared" si="155"/>
        <v>30427273-EJECUCION</v>
      </c>
      <c r="J274" s="12"/>
      <c r="K274" s="307" t="str">
        <f t="shared" si="156"/>
        <v>30427273</v>
      </c>
      <c r="L274" s="15" t="s">
        <v>313</v>
      </c>
      <c r="M274" s="23">
        <v>1073021000</v>
      </c>
      <c r="N274" s="34">
        <v>0</v>
      </c>
      <c r="O274" s="34">
        <v>10000000</v>
      </c>
      <c r="P274" s="310">
        <v>0</v>
      </c>
      <c r="Q274" s="34">
        <v>0</v>
      </c>
      <c r="R274" s="308">
        <v>0</v>
      </c>
      <c r="S274" s="34">
        <f t="shared" si="157"/>
        <v>0</v>
      </c>
      <c r="T274" s="34">
        <v>0</v>
      </c>
      <c r="U274" s="34">
        <v>0</v>
      </c>
      <c r="V274" s="34">
        <f>P274+Q274+R274+T274+U274</f>
        <v>0</v>
      </c>
      <c r="W274" s="34">
        <f>O274-V274</f>
        <v>10000000</v>
      </c>
      <c r="X274" s="34">
        <f>M274-(N274+O274)</f>
        <v>1063021000</v>
      </c>
      <c r="Y274" s="48" t="s">
        <v>246</v>
      </c>
      <c r="Z274" s="48" t="s">
        <v>357</v>
      </c>
      <c r="AA274" s="2" t="e">
        <v>#N/A</v>
      </c>
      <c r="AB274" s="2" t="e">
        <f>VLOOKUP(H274,#REF!,2,FALSE)</f>
        <v>#REF!</v>
      </c>
      <c r="AC274" s="2" t="e">
        <f>VLOOKUP(I274,#REF!,2,FALSE)</f>
        <v>#REF!</v>
      </c>
      <c r="AD274" s="2" t="e">
        <f>VLOOKUP(H274,#REF!,13,FALSE)</f>
        <v>#REF!</v>
      </c>
      <c r="AE274" s="2" t="e">
        <f>VLOOKUP(I274,#REF!,7,FALSE)</f>
        <v>#REF!</v>
      </c>
      <c r="AG274" s="2" t="e">
        <f>VLOOKUP(H274,#REF!,13,FALSE)</f>
        <v>#REF!</v>
      </c>
      <c r="AH274" s="2" t="e">
        <f>VLOOKUP(I274,#REF!,2,FALSE)</f>
        <v>#REF!</v>
      </c>
      <c r="AJ274" s="185" t="e">
        <f>VLOOKUP(H274,#REF!,3,FALSE)</f>
        <v>#REF!</v>
      </c>
      <c r="AK274" s="185"/>
      <c r="AL274" s="185" t="e">
        <f>VLOOKUP(H274,#REF!,13,FALSE)</f>
        <v>#REF!</v>
      </c>
      <c r="AM274" s="185" t="e">
        <f>VLOOKUP(CLEAN(H274),#REF!,7,FALSE)</f>
        <v>#REF!</v>
      </c>
      <c r="AN274" s="2" t="e">
        <f>VLOOKUP(H274,#REF!,8,FALSE)</f>
        <v>#REF!</v>
      </c>
      <c r="AO274" s="189" t="e">
        <f>VLOOKUP(H274,#REF!,2,FALSE)</f>
        <v>#REF!</v>
      </c>
      <c r="AP274" s="189" t="e">
        <f>VLOOKUP(H274,#REF!,2,FALSE)</f>
        <v>#REF!</v>
      </c>
      <c r="AQ274" s="189"/>
      <c r="AR274" s="2" t="e">
        <f>VLOOKUP(CLEAN(H274),#REF!,2,FALSE)</f>
        <v>#REF!</v>
      </c>
      <c r="AT274" s="2" t="e">
        <f>VLOOKUP(H274,#REF!,13,FALSE)</f>
        <v>#REF!</v>
      </c>
      <c r="AU274" s="2" t="e">
        <f>VLOOKUP(H274,#REF!,13,FALSE)</f>
        <v>#REF!</v>
      </c>
      <c r="AV274" s="2" t="e">
        <f>VLOOKUP(H274,#REF!,13,FALSE)</f>
        <v>#REF!</v>
      </c>
      <c r="AW274" s="2" t="e">
        <f>VLOOKUP(H274,#REF!,13,FALSE)</f>
        <v>#REF!</v>
      </c>
      <c r="AX274" s="2" t="e">
        <f>VLOOKUP(H274,#REF!,9,FALSE)</f>
        <v>#REF!</v>
      </c>
      <c r="AZ274" s="2" t="e">
        <f>VLOOKUP(H274,#REF!,2,FALSE)</f>
        <v>#REF!</v>
      </c>
      <c r="BF274" s="189" t="e">
        <f>VLOOKUP(CLEAN(H274),#REF!,2,FALSE)</f>
        <v>#REF!</v>
      </c>
      <c r="BG274" s="189" t="e">
        <f>T274-BF274</f>
        <v>#REF!</v>
      </c>
      <c r="BO274" s="2" t="e">
        <f>VLOOKUP(H274,#REF!,13,FALSE)</f>
        <v>#REF!</v>
      </c>
      <c r="BP274" s="2" t="e">
        <f>VLOOKUP(H274,#REF!,2,FALSE)</f>
        <v>#REF!</v>
      </c>
      <c r="BQ274" s="2" t="e">
        <f>VLOOKUP(H274,#REF!,13,FALSE)</f>
        <v>#REF!</v>
      </c>
      <c r="BR274" s="2" t="e">
        <f>VLOOKUP(H274,#REF!,3,FALSE)</f>
        <v>#REF!</v>
      </c>
    </row>
    <row r="275" spans="1:70" s="2" customFormat="1" ht="15" customHeight="1" outlineLevel="2">
      <c r="A275" s="5">
        <v>31</v>
      </c>
      <c r="B275" s="5" t="s">
        <v>11</v>
      </c>
      <c r="C275" s="5" t="s">
        <v>242</v>
      </c>
      <c r="D275" s="5" t="s">
        <v>22</v>
      </c>
      <c r="E275" s="5" t="s">
        <v>24</v>
      </c>
      <c r="F275" s="5" t="s">
        <v>457</v>
      </c>
      <c r="G275" s="5" t="s">
        <v>144</v>
      </c>
      <c r="H275" s="12">
        <v>30472587</v>
      </c>
      <c r="I275" s="42" t="str">
        <f t="shared" si="155"/>
        <v>30472587-EJECUCION</v>
      </c>
      <c r="J275" s="12"/>
      <c r="K275" s="307" t="str">
        <f t="shared" si="156"/>
        <v>30472587</v>
      </c>
      <c r="L275" s="15" t="s">
        <v>777</v>
      </c>
      <c r="M275" s="23">
        <v>617565000</v>
      </c>
      <c r="N275" s="34">
        <v>0</v>
      </c>
      <c r="O275" s="34">
        <v>10000000</v>
      </c>
      <c r="P275" s="310">
        <v>0</v>
      </c>
      <c r="Q275" s="34">
        <v>0</v>
      </c>
      <c r="R275" s="308">
        <v>0</v>
      </c>
      <c r="S275" s="34">
        <f t="shared" si="157"/>
        <v>0</v>
      </c>
      <c r="T275" s="34">
        <v>0</v>
      </c>
      <c r="U275" s="34">
        <v>0</v>
      </c>
      <c r="V275" s="34">
        <f>P275+Q275+R275+T275+U275</f>
        <v>0</v>
      </c>
      <c r="W275" s="34">
        <f>O275-V275</f>
        <v>10000000</v>
      </c>
      <c r="X275" s="34">
        <f>M275-(N275+O275)</f>
        <v>607565000</v>
      </c>
      <c r="Y275" s="48" t="s">
        <v>246</v>
      </c>
      <c r="Z275" s="48" t="s">
        <v>357</v>
      </c>
      <c r="AA275" s="2" t="e">
        <v>#N/A</v>
      </c>
      <c r="AB275" s="2" t="e">
        <f>VLOOKUP(H275,#REF!,2,FALSE)</f>
        <v>#REF!</v>
      </c>
      <c r="AC275" s="2" t="e">
        <f>VLOOKUP(I275,#REF!,2,FALSE)</f>
        <v>#REF!</v>
      </c>
      <c r="AD275" s="2" t="e">
        <f>VLOOKUP(H275,#REF!,13,FALSE)</f>
        <v>#REF!</v>
      </c>
      <c r="AE275" s="2" t="e">
        <f>VLOOKUP(I275,#REF!,7,FALSE)</f>
        <v>#REF!</v>
      </c>
      <c r="AG275" s="2" t="e">
        <f>VLOOKUP(H275,#REF!,13,FALSE)</f>
        <v>#REF!</v>
      </c>
      <c r="AH275" s="2" t="e">
        <f>VLOOKUP(I275,#REF!,2,FALSE)</f>
        <v>#REF!</v>
      </c>
      <c r="AJ275" s="185" t="e">
        <f>VLOOKUP(H275,#REF!,3,FALSE)</f>
        <v>#REF!</v>
      </c>
      <c r="AK275" s="185"/>
      <c r="AL275" s="185" t="e">
        <f>VLOOKUP(H275,#REF!,13,FALSE)</f>
        <v>#REF!</v>
      </c>
      <c r="AM275" s="185" t="e">
        <f>VLOOKUP(CLEAN(H275),#REF!,7,FALSE)</f>
        <v>#REF!</v>
      </c>
      <c r="AN275" s="2" t="e">
        <f>VLOOKUP(H275,#REF!,8,FALSE)</f>
        <v>#REF!</v>
      </c>
      <c r="AO275" s="189" t="e">
        <f>VLOOKUP(H275,#REF!,2,FALSE)</f>
        <v>#REF!</v>
      </c>
      <c r="AP275" s="189" t="e">
        <f>VLOOKUP(H275,#REF!,2,FALSE)</f>
        <v>#REF!</v>
      </c>
      <c r="AQ275" s="189"/>
      <c r="AR275" s="2" t="e">
        <f>VLOOKUP(CLEAN(H275),#REF!,2,FALSE)</f>
        <v>#REF!</v>
      </c>
      <c r="AT275" s="2" t="e">
        <f>VLOOKUP(H275,#REF!,13,FALSE)</f>
        <v>#REF!</v>
      </c>
      <c r="AU275" s="2" t="e">
        <f>VLOOKUP(H275,#REF!,13,FALSE)</f>
        <v>#REF!</v>
      </c>
      <c r="AV275" s="2" t="e">
        <f>VLOOKUP(H275,#REF!,13,FALSE)</f>
        <v>#REF!</v>
      </c>
      <c r="AW275" s="2" t="e">
        <f>VLOOKUP(H275,#REF!,13,FALSE)</f>
        <v>#REF!</v>
      </c>
      <c r="AX275" s="2" t="e">
        <f>VLOOKUP(H275,#REF!,9,FALSE)</f>
        <v>#REF!</v>
      </c>
      <c r="AZ275" s="2" t="e">
        <f>VLOOKUP(H275,#REF!,2,FALSE)</f>
        <v>#REF!</v>
      </c>
      <c r="BF275" s="189" t="e">
        <f>VLOOKUP(CLEAN(H275),#REF!,2,FALSE)</f>
        <v>#REF!</v>
      </c>
      <c r="BG275" s="189" t="e">
        <f>T275-BF275</f>
        <v>#REF!</v>
      </c>
      <c r="BO275" s="2" t="e">
        <f>VLOOKUP(H275,#REF!,13,FALSE)</f>
        <v>#REF!</v>
      </c>
      <c r="BP275" s="2" t="e">
        <f>VLOOKUP(H275,#REF!,2,FALSE)</f>
        <v>#REF!</v>
      </c>
      <c r="BQ275" s="2" t="e">
        <f>VLOOKUP(H275,#REF!,13,FALSE)</f>
        <v>#REF!</v>
      </c>
      <c r="BR275" s="2" t="e">
        <f>VLOOKUP(H275,#REF!,3,FALSE)</f>
        <v>#REF!</v>
      </c>
    </row>
    <row r="276" spans="1:70" s="2" customFormat="1" ht="15" customHeight="1" outlineLevel="2">
      <c r="A276" s="5">
        <v>31</v>
      </c>
      <c r="B276" s="5" t="s">
        <v>11</v>
      </c>
      <c r="C276" s="5" t="s">
        <v>240</v>
      </c>
      <c r="D276" s="5" t="s">
        <v>22</v>
      </c>
      <c r="E276" s="5" t="s">
        <v>24</v>
      </c>
      <c r="F276" s="5" t="s">
        <v>457</v>
      </c>
      <c r="G276" s="5" t="s">
        <v>144</v>
      </c>
      <c r="H276" s="12">
        <v>20181416</v>
      </c>
      <c r="I276" s="42" t="str">
        <f t="shared" si="155"/>
        <v>20181416-EJECUCION</v>
      </c>
      <c r="J276" s="12"/>
      <c r="K276" s="307" t="str">
        <f t="shared" si="156"/>
        <v>20181416</v>
      </c>
      <c r="L276" s="15" t="s">
        <v>391</v>
      </c>
      <c r="M276" s="23">
        <v>391426000</v>
      </c>
      <c r="N276" s="34">
        <v>0</v>
      </c>
      <c r="O276" s="34">
        <v>10000000</v>
      </c>
      <c r="P276" s="310">
        <v>0</v>
      </c>
      <c r="Q276" s="34">
        <v>0</v>
      </c>
      <c r="R276" s="308">
        <v>0</v>
      </c>
      <c r="S276" s="34">
        <f t="shared" si="157"/>
        <v>0</v>
      </c>
      <c r="T276" s="34">
        <v>0</v>
      </c>
      <c r="U276" s="34">
        <v>0</v>
      </c>
      <c r="V276" s="34">
        <f>P276+Q276+R276+T276+U276</f>
        <v>0</v>
      </c>
      <c r="W276" s="34">
        <f>O276-V276</f>
        <v>10000000</v>
      </c>
      <c r="X276" s="34">
        <f>M276-(N276+O276)</f>
        <v>381426000</v>
      </c>
      <c r="Y276" s="48" t="s">
        <v>246</v>
      </c>
      <c r="Z276" s="48" t="s">
        <v>357</v>
      </c>
      <c r="AA276" s="2" t="e">
        <v>#N/A</v>
      </c>
      <c r="AB276" s="2" t="e">
        <f>VLOOKUP(H276,#REF!,2,FALSE)</f>
        <v>#REF!</v>
      </c>
      <c r="AC276" s="2" t="e">
        <f>VLOOKUP(I276,#REF!,2,FALSE)</f>
        <v>#REF!</v>
      </c>
      <c r="AD276" s="2" t="e">
        <f>VLOOKUP(H276,#REF!,13,FALSE)</f>
        <v>#REF!</v>
      </c>
      <c r="AE276" s="2" t="e">
        <f>VLOOKUP(I276,#REF!,7,FALSE)</f>
        <v>#REF!</v>
      </c>
      <c r="AG276" s="2" t="e">
        <f>VLOOKUP(H276,#REF!,13,FALSE)</f>
        <v>#REF!</v>
      </c>
      <c r="AH276" s="2" t="e">
        <f>VLOOKUP(I276,#REF!,2,FALSE)</f>
        <v>#REF!</v>
      </c>
      <c r="AJ276" s="185" t="e">
        <f>VLOOKUP(H276,#REF!,3,FALSE)</f>
        <v>#REF!</v>
      </c>
      <c r="AK276" s="185"/>
      <c r="AL276" s="185" t="e">
        <f>VLOOKUP(H276,#REF!,13,FALSE)</f>
        <v>#REF!</v>
      </c>
      <c r="AM276" s="185" t="e">
        <f>VLOOKUP(CLEAN(H276),#REF!,7,FALSE)</f>
        <v>#REF!</v>
      </c>
      <c r="AN276" s="2" t="e">
        <f>VLOOKUP(H276,#REF!,8,FALSE)</f>
        <v>#REF!</v>
      </c>
      <c r="AO276" s="189" t="e">
        <f>VLOOKUP(H276,#REF!,2,FALSE)</f>
        <v>#REF!</v>
      </c>
      <c r="AP276" s="189" t="e">
        <f>VLOOKUP(H276,#REF!,2,FALSE)</f>
        <v>#REF!</v>
      </c>
      <c r="AQ276" s="189"/>
      <c r="AR276" s="2" t="e">
        <f>VLOOKUP(CLEAN(H276),#REF!,2,FALSE)</f>
        <v>#REF!</v>
      </c>
      <c r="AT276" s="2" t="e">
        <f>VLOOKUP(H276,#REF!,13,FALSE)</f>
        <v>#REF!</v>
      </c>
      <c r="AU276" s="2" t="e">
        <f>VLOOKUP(H276,#REF!,13,FALSE)</f>
        <v>#REF!</v>
      </c>
      <c r="AV276" s="2" t="e">
        <f>VLOOKUP(H276,#REF!,13,FALSE)</f>
        <v>#REF!</v>
      </c>
      <c r="AW276" s="2" t="e">
        <f>VLOOKUP(H276,#REF!,13,FALSE)</f>
        <v>#REF!</v>
      </c>
      <c r="AX276" s="2" t="e">
        <f>VLOOKUP(H276,#REF!,9,FALSE)</f>
        <v>#REF!</v>
      </c>
      <c r="AZ276" s="2" t="e">
        <f>VLOOKUP(H276,#REF!,2,FALSE)</f>
        <v>#REF!</v>
      </c>
      <c r="BF276" s="189" t="e">
        <f>VLOOKUP(CLEAN(H276),#REF!,2,FALSE)</f>
        <v>#REF!</v>
      </c>
      <c r="BG276" s="189" t="e">
        <f>T276-BF276</f>
        <v>#REF!</v>
      </c>
      <c r="BO276" s="2" t="e">
        <f>VLOOKUP(H276,#REF!,13,FALSE)</f>
        <v>#REF!</v>
      </c>
      <c r="BP276" s="2" t="e">
        <f>VLOOKUP(H276,#REF!,2,FALSE)</f>
        <v>#REF!</v>
      </c>
      <c r="BQ276" s="2" t="e">
        <f>VLOOKUP(H276,#REF!,13,FALSE)</f>
        <v>#REF!</v>
      </c>
      <c r="BR276" s="2" t="e">
        <f>VLOOKUP(H276,#REF!,3,FALSE)</f>
        <v>#REF!</v>
      </c>
    </row>
    <row r="277" spans="1:70" ht="15" customHeight="1" outlineLevel="2">
      <c r="A277" s="7"/>
      <c r="B277" s="7"/>
      <c r="C277" s="7"/>
      <c r="D277" s="7"/>
      <c r="E277" s="7"/>
      <c r="F277" s="7"/>
      <c r="G277" s="7"/>
      <c r="H277" s="11"/>
      <c r="I277" s="11"/>
      <c r="J277" s="11"/>
      <c r="K277" s="11"/>
      <c r="L277" s="17" t="s">
        <v>693</v>
      </c>
      <c r="M277" s="27">
        <f>SUBTOTAL(9,M273:M276)</f>
        <v>2551716000</v>
      </c>
      <c r="N277" s="27">
        <f t="shared" ref="N277:O277" si="158">SUBTOTAL(9,N273:N276)</f>
        <v>0</v>
      </c>
      <c r="O277" s="27">
        <f t="shared" si="158"/>
        <v>230000000</v>
      </c>
      <c r="P277" s="24">
        <f t="shared" ref="P277:X277" si="159">SUBTOTAL(9,P273:P276)</f>
        <v>0</v>
      </c>
      <c r="Q277" s="24">
        <f t="shared" si="159"/>
        <v>0</v>
      </c>
      <c r="R277" s="24">
        <f t="shared" si="159"/>
        <v>0</v>
      </c>
      <c r="S277" s="27">
        <f t="shared" si="159"/>
        <v>0</v>
      </c>
      <c r="T277" s="27">
        <f t="shared" si="159"/>
        <v>0</v>
      </c>
      <c r="U277" s="27">
        <f t="shared" si="159"/>
        <v>0</v>
      </c>
      <c r="V277" s="27">
        <f t="shared" si="159"/>
        <v>0</v>
      </c>
      <c r="W277" s="27">
        <f t="shared" si="159"/>
        <v>230000000</v>
      </c>
      <c r="X277" s="27">
        <f t="shared" si="159"/>
        <v>2321716000</v>
      </c>
      <c r="Y277" s="47"/>
      <c r="Z277" s="47"/>
      <c r="AO277"/>
      <c r="AP277"/>
      <c r="AQ277"/>
      <c r="AR277" s="2" t="e">
        <f>VLOOKUP(CLEAN(H277),#REF!,2,FALSE)</f>
        <v>#REF!</v>
      </c>
      <c r="AZ277" s="2" t="e">
        <f>VLOOKUP(H277,#REF!,2,FALSE)</f>
        <v>#REF!</v>
      </c>
      <c r="BO277" s="2" t="e">
        <f>VLOOKUP(H277,#REF!,13,FALSE)</f>
        <v>#REF!</v>
      </c>
      <c r="BQ277" s="2" t="e">
        <f>VLOOKUP(H277,#REF!,13,FALSE)</f>
        <v>#REF!</v>
      </c>
    </row>
    <row r="278" spans="1:70" ht="15" customHeight="1" outlineLevel="2">
      <c r="A278" s="7"/>
      <c r="B278" s="7"/>
      <c r="C278" s="7"/>
      <c r="D278" s="7"/>
      <c r="E278" s="7"/>
      <c r="F278" s="7"/>
      <c r="G278" s="7"/>
      <c r="H278" s="11"/>
      <c r="I278" s="11"/>
      <c r="J278" s="11"/>
      <c r="K278" s="11"/>
      <c r="L278" s="292"/>
      <c r="M278" s="22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47"/>
      <c r="Z278" s="47"/>
      <c r="AO278"/>
      <c r="AP278"/>
      <c r="AQ278"/>
      <c r="AR278" s="2" t="e">
        <f>VLOOKUP(CLEAN(H278),#REF!,2,FALSE)</f>
        <v>#REF!</v>
      </c>
      <c r="AZ278" s="2" t="e">
        <f>VLOOKUP(H278,#REF!,2,FALSE)</f>
        <v>#REF!</v>
      </c>
      <c r="BO278" s="2" t="e">
        <f>VLOOKUP(H278,#REF!,13,FALSE)</f>
        <v>#REF!</v>
      </c>
      <c r="BP278" s="293"/>
      <c r="BQ278" s="2" t="e">
        <f>VLOOKUP(H278,#REF!,13,FALSE)</f>
        <v>#REF!</v>
      </c>
    </row>
    <row r="279" spans="1:70" ht="18.75" customHeight="1" outlineLevel="1">
      <c r="A279" s="7"/>
      <c r="B279" s="7"/>
      <c r="C279" s="7"/>
      <c r="D279" s="7"/>
      <c r="E279" s="8"/>
      <c r="F279" s="7"/>
      <c r="G279" s="7"/>
      <c r="H279" s="11"/>
      <c r="I279" s="11"/>
      <c r="J279" s="11"/>
      <c r="K279" s="11"/>
      <c r="L279" s="45" t="s">
        <v>155</v>
      </c>
      <c r="M279" s="46">
        <f>M277+M270+M260+M264</f>
        <v>15162613743</v>
      </c>
      <c r="N279" s="46">
        <f t="shared" ref="N279:O279" si="160">N277+N270+N260+N264</f>
        <v>1753246993</v>
      </c>
      <c r="O279" s="46">
        <f t="shared" si="160"/>
        <v>2399581250</v>
      </c>
      <c r="P279" s="46">
        <f t="shared" ref="P279:X279" si="161">P277+P270+P260+P264</f>
        <v>0</v>
      </c>
      <c r="Q279" s="46">
        <f t="shared" si="161"/>
        <v>0</v>
      </c>
      <c r="R279" s="46">
        <f t="shared" si="161"/>
        <v>149999999</v>
      </c>
      <c r="S279" s="46">
        <f t="shared" si="161"/>
        <v>149999999</v>
      </c>
      <c r="T279" s="46">
        <f t="shared" si="161"/>
        <v>142299999</v>
      </c>
      <c r="U279" s="46">
        <f t="shared" si="161"/>
        <v>153946162</v>
      </c>
      <c r="V279" s="46">
        <f t="shared" si="161"/>
        <v>446246160</v>
      </c>
      <c r="W279" s="46">
        <f t="shared" si="161"/>
        <v>1953335090</v>
      </c>
      <c r="X279" s="46">
        <f t="shared" si="161"/>
        <v>11009785500</v>
      </c>
      <c r="Y279" s="47"/>
      <c r="Z279" s="47"/>
      <c r="AM279" s="185" t="e">
        <f>VLOOKUP(CLEAN(H279),#REF!,7,FALSE)</f>
        <v>#REF!</v>
      </c>
      <c r="AO279"/>
      <c r="AP279"/>
      <c r="AQ279"/>
      <c r="AR279" s="2" t="e">
        <f>VLOOKUP(CLEAN(H279),#REF!,2,FALSE)</f>
        <v>#REF!</v>
      </c>
      <c r="AZ279" s="2" t="e">
        <f>VLOOKUP(H279,#REF!,2,FALSE)</f>
        <v>#REF!</v>
      </c>
      <c r="BO279" s="2" t="e">
        <f>VLOOKUP(H279,#REF!,13,FALSE)</f>
        <v>#REF!</v>
      </c>
      <c r="BQ279" s="2" t="e">
        <f>VLOOKUP(H279,#REF!,13,FALSE)</f>
        <v>#REF!</v>
      </c>
    </row>
    <row r="280" spans="1:70" s="3" customFormat="1" ht="15" customHeight="1" outlineLevel="1">
      <c r="A280" s="7"/>
      <c r="B280" s="7"/>
      <c r="C280" s="7"/>
      <c r="D280" s="7"/>
      <c r="E280" s="8"/>
      <c r="F280" s="7"/>
      <c r="G280" s="7"/>
      <c r="H280" s="11"/>
      <c r="I280" s="11"/>
      <c r="J280" s="11"/>
      <c r="K280" s="11"/>
      <c r="L280" s="294"/>
      <c r="M280" s="26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47"/>
      <c r="Z280" s="47"/>
      <c r="AJ280" s="186"/>
      <c r="AK280" s="186"/>
      <c r="AL280" s="186"/>
      <c r="AM280" s="185" t="e">
        <f>VLOOKUP(CLEAN(H280),#REF!,7,FALSE)</f>
        <v>#REF!</v>
      </c>
      <c r="AR280" s="2" t="e">
        <f>VLOOKUP(CLEAN(H280),#REF!,2,FALSE)</f>
        <v>#REF!</v>
      </c>
      <c r="AZ280" s="2" t="e">
        <f>VLOOKUP(H280,#REF!,2,FALSE)</f>
        <v>#REF!</v>
      </c>
      <c r="BF280" s="193"/>
      <c r="BO280" s="2" t="e">
        <f>VLOOKUP(H280,#REF!,13,FALSE)</f>
        <v>#REF!</v>
      </c>
      <c r="BP280" s="7"/>
      <c r="BQ280" s="2" t="e">
        <f>VLOOKUP(H280,#REF!,13,FALSE)</f>
        <v>#REF!</v>
      </c>
    </row>
    <row r="281" spans="1:70" ht="26.25" customHeight="1" outlineLevel="1">
      <c r="A281" s="7"/>
      <c r="B281" s="7"/>
      <c r="C281" s="7"/>
      <c r="D281" s="7"/>
      <c r="E281" s="8"/>
      <c r="F281" s="7"/>
      <c r="G281" s="7"/>
      <c r="H281" s="11"/>
      <c r="I281" s="11"/>
      <c r="J281" s="11"/>
      <c r="K281" s="11"/>
      <c r="L281" s="57" t="s">
        <v>189</v>
      </c>
      <c r="M281" s="26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47"/>
      <c r="Z281" s="47"/>
      <c r="AM281" s="185" t="e">
        <f>VLOOKUP(CLEAN(H281),#REF!,7,FALSE)</f>
        <v>#REF!</v>
      </c>
      <c r="AO281"/>
      <c r="AP281"/>
      <c r="AQ281"/>
      <c r="AR281" s="2" t="e">
        <f>VLOOKUP(CLEAN(H281),#REF!,2,FALSE)</f>
        <v>#REF!</v>
      </c>
      <c r="AZ281" s="2" t="e">
        <f>VLOOKUP(H281,#REF!,2,FALSE)</f>
        <v>#REF!</v>
      </c>
      <c r="BO281" s="2" t="e">
        <f>VLOOKUP(H281,#REF!,13,FALSE)</f>
        <v>#REF!</v>
      </c>
      <c r="BQ281" s="2" t="e">
        <f>VLOOKUP(H281,#REF!,13,FALSE)</f>
        <v>#REF!</v>
      </c>
    </row>
    <row r="282" spans="1:70" ht="15" customHeight="1" outlineLevel="1">
      <c r="A282" s="7"/>
      <c r="B282" s="7"/>
      <c r="C282" s="7"/>
      <c r="D282" s="7"/>
      <c r="E282" s="8"/>
      <c r="F282" s="7"/>
      <c r="G282" s="7"/>
      <c r="H282" s="11"/>
      <c r="I282" s="11"/>
      <c r="J282" s="11"/>
      <c r="K282" s="11"/>
      <c r="L282" s="18" t="s">
        <v>695</v>
      </c>
      <c r="M282" s="26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47"/>
      <c r="Z282" s="47"/>
      <c r="AM282" s="185" t="e">
        <f>VLOOKUP(CLEAN(H282),#REF!,7,FALSE)</f>
        <v>#REF!</v>
      </c>
      <c r="AO282"/>
      <c r="AP282"/>
      <c r="AQ282"/>
      <c r="AR282" s="2" t="e">
        <f>VLOOKUP(CLEAN(H282),#REF!,2,FALSE)</f>
        <v>#REF!</v>
      </c>
      <c r="AZ282" s="2" t="e">
        <f>VLOOKUP(H282,#REF!,2,FALSE)</f>
        <v>#REF!</v>
      </c>
      <c r="BO282" s="2" t="e">
        <f>VLOOKUP(H282,#REF!,13,FALSE)</f>
        <v>#REF!</v>
      </c>
      <c r="BQ282" s="2" t="e">
        <f>VLOOKUP(H282,#REF!,13,FALSE)</f>
        <v>#REF!</v>
      </c>
    </row>
    <row r="283" spans="1:70" s="2" customFormat="1" ht="15" customHeight="1" outlineLevel="2">
      <c r="A283" s="5">
        <v>31</v>
      </c>
      <c r="B283" s="5" t="s">
        <v>5</v>
      </c>
      <c r="C283" s="5" t="s">
        <v>248</v>
      </c>
      <c r="D283" s="5" t="s">
        <v>22</v>
      </c>
      <c r="E283" s="5" t="s">
        <v>25</v>
      </c>
      <c r="F283" s="5" t="s">
        <v>77</v>
      </c>
      <c r="G283" s="5" t="s">
        <v>9</v>
      </c>
      <c r="H283" s="12">
        <v>30131517</v>
      </c>
      <c r="I283" s="42" t="str">
        <f t="shared" ref="I283:I286" si="162">CONCATENATE(H283,"-",G283)</f>
        <v>30131517-DISEÑO</v>
      </c>
      <c r="J283" s="12"/>
      <c r="K283" s="307" t="str">
        <f t="shared" ref="K283:K286" si="163">CLEAN(H283)</f>
        <v>30131517</v>
      </c>
      <c r="L283" s="15" t="s">
        <v>830</v>
      </c>
      <c r="M283" s="23">
        <v>27000000</v>
      </c>
      <c r="N283" s="34">
        <v>5400000</v>
      </c>
      <c r="O283" s="34">
        <v>21600000</v>
      </c>
      <c r="P283" s="310">
        <v>0</v>
      </c>
      <c r="Q283" s="34">
        <v>0</v>
      </c>
      <c r="R283" s="308">
        <v>0</v>
      </c>
      <c r="S283" s="34">
        <f t="shared" ref="S283:S288" si="164">P283+Q283+R283</f>
        <v>0</v>
      </c>
      <c r="T283" s="34">
        <v>0</v>
      </c>
      <c r="U283" s="34">
        <v>0</v>
      </c>
      <c r="V283" s="34">
        <f>P283+Q283+R283+T283+U283</f>
        <v>0</v>
      </c>
      <c r="W283" s="34">
        <f>O283-V283</f>
        <v>21600000</v>
      </c>
      <c r="X283" s="34">
        <f>M283-(N283+O283)</f>
        <v>0</v>
      </c>
      <c r="Y283" s="48" t="s">
        <v>239</v>
      </c>
      <c r="Z283" s="48" t="s">
        <v>8</v>
      </c>
      <c r="AA283" s="2" t="s">
        <v>846</v>
      </c>
      <c r="AB283" s="2" t="e">
        <f>VLOOKUP(H283,#REF!,2,FALSE)</f>
        <v>#REF!</v>
      </c>
      <c r="AC283" s="2" t="e">
        <f>VLOOKUP(I283,#REF!,2,FALSE)</f>
        <v>#REF!</v>
      </c>
      <c r="AD283" s="2" t="e">
        <f>VLOOKUP(H283,#REF!,13,FALSE)</f>
        <v>#REF!</v>
      </c>
      <c r="AE283" s="2" t="e">
        <f>VLOOKUP(I283,#REF!,7,FALSE)</f>
        <v>#REF!</v>
      </c>
      <c r="AG283" s="2" t="e">
        <f>VLOOKUP(H283,#REF!,13,FALSE)</f>
        <v>#REF!</v>
      </c>
      <c r="AH283" s="2" t="e">
        <f>VLOOKUP(I283,#REF!,2,FALSE)</f>
        <v>#REF!</v>
      </c>
      <c r="AJ283" s="185" t="e">
        <f>VLOOKUP(H283,#REF!,3,FALSE)</f>
        <v>#REF!</v>
      </c>
      <c r="AK283" s="185"/>
      <c r="AL283" s="185" t="e">
        <f>VLOOKUP(H283,#REF!,13,FALSE)</f>
        <v>#REF!</v>
      </c>
      <c r="AM283" s="185" t="e">
        <f>VLOOKUP(CLEAN(H283),#REF!,7,FALSE)</f>
        <v>#REF!</v>
      </c>
      <c r="AN283" s="2" t="e">
        <f>VLOOKUP(H283,#REF!,8,FALSE)</f>
        <v>#REF!</v>
      </c>
      <c r="AO283" s="189" t="e">
        <f>VLOOKUP(H283,#REF!,2,FALSE)</f>
        <v>#REF!</v>
      </c>
      <c r="AP283" s="189" t="e">
        <f>VLOOKUP(H283,#REF!,2,FALSE)</f>
        <v>#REF!</v>
      </c>
      <c r="AQ283" s="189"/>
      <c r="AR283" s="2" t="e">
        <f>VLOOKUP(CLEAN(H283),#REF!,2,FALSE)</f>
        <v>#REF!</v>
      </c>
      <c r="AT283" s="2" t="e">
        <f>VLOOKUP(H283,#REF!,13,FALSE)</f>
        <v>#REF!</v>
      </c>
      <c r="AU283" s="2" t="e">
        <f>VLOOKUP(H283,#REF!,13,FALSE)</f>
        <v>#REF!</v>
      </c>
      <c r="AV283" s="2" t="e">
        <f>VLOOKUP(H283,#REF!,13,FALSE)</f>
        <v>#REF!</v>
      </c>
      <c r="AW283" s="2" t="e">
        <f>VLOOKUP(H283,#REF!,13,FALSE)</f>
        <v>#REF!</v>
      </c>
      <c r="AX283" s="2" t="e">
        <f>VLOOKUP(H283,#REF!,9,FALSE)</f>
        <v>#REF!</v>
      </c>
      <c r="AZ283" s="2" t="e">
        <f>VLOOKUP(H283,#REF!,2,FALSE)</f>
        <v>#REF!</v>
      </c>
      <c r="BF283" s="189" t="e">
        <f>VLOOKUP(CLEAN(H283),#REF!,2,FALSE)</f>
        <v>#REF!</v>
      </c>
      <c r="BG283" s="189" t="e">
        <f>T283-BF283</f>
        <v>#REF!</v>
      </c>
      <c r="BO283" s="2" t="e">
        <f>VLOOKUP(H283,#REF!,13,FALSE)</f>
        <v>#REF!</v>
      </c>
      <c r="BP283" s="2" t="e">
        <f>VLOOKUP(H283,#REF!,2,FALSE)</f>
        <v>#REF!</v>
      </c>
      <c r="BQ283" s="2" t="e">
        <f>VLOOKUP(H283,#REF!,13,FALSE)</f>
        <v>#REF!</v>
      </c>
      <c r="BR283" s="2" t="e">
        <f>VLOOKUP(H283,#REF!,3,FALSE)</f>
        <v>#REF!</v>
      </c>
    </row>
    <row r="284" spans="1:70" s="2" customFormat="1" ht="15" customHeight="1" outlineLevel="2">
      <c r="A284" s="5">
        <v>31</v>
      </c>
      <c r="B284" s="5" t="s">
        <v>5</v>
      </c>
      <c r="C284" s="5" t="s">
        <v>240</v>
      </c>
      <c r="D284" s="5" t="s">
        <v>22</v>
      </c>
      <c r="E284" s="5" t="s">
        <v>25</v>
      </c>
      <c r="F284" s="5" t="s">
        <v>457</v>
      </c>
      <c r="G284" s="5" t="s">
        <v>144</v>
      </c>
      <c r="H284" s="12">
        <v>30047349</v>
      </c>
      <c r="I284" s="42" t="str">
        <f t="shared" si="162"/>
        <v>30047349-EJECUCION</v>
      </c>
      <c r="J284" s="12"/>
      <c r="K284" s="307" t="str">
        <f t="shared" si="163"/>
        <v>30047349</v>
      </c>
      <c r="L284" s="15" t="s">
        <v>490</v>
      </c>
      <c r="M284" s="23">
        <v>1975000000</v>
      </c>
      <c r="N284" s="34">
        <v>1946992316</v>
      </c>
      <c r="O284" s="34">
        <v>14455056</v>
      </c>
      <c r="P284" s="310">
        <v>0</v>
      </c>
      <c r="Q284" s="34">
        <v>0</v>
      </c>
      <c r="R284" s="308">
        <v>0</v>
      </c>
      <c r="S284" s="34">
        <f t="shared" si="164"/>
        <v>0</v>
      </c>
      <c r="T284" s="34">
        <v>0</v>
      </c>
      <c r="U284" s="34">
        <v>0</v>
      </c>
      <c r="V284" s="34">
        <f>P284+Q284+R284+T284+U284</f>
        <v>0</v>
      </c>
      <c r="W284" s="34">
        <f>O284-V284</f>
        <v>14455056</v>
      </c>
      <c r="X284" s="34">
        <f>M284-(N284+O284)</f>
        <v>13552628</v>
      </c>
      <c r="Y284" s="48" t="s">
        <v>239</v>
      </c>
      <c r="Z284" s="48" t="s">
        <v>8</v>
      </c>
      <c r="AA284" s="2" t="s">
        <v>846</v>
      </c>
      <c r="AB284" s="2" t="e">
        <f>VLOOKUP(H284,#REF!,2,FALSE)</f>
        <v>#REF!</v>
      </c>
      <c r="AC284" s="2" t="e">
        <f>VLOOKUP(I284,#REF!,2,FALSE)</f>
        <v>#REF!</v>
      </c>
      <c r="AD284" s="2" t="e">
        <f>VLOOKUP(H284,#REF!,13,FALSE)</f>
        <v>#REF!</v>
      </c>
      <c r="AE284" s="2" t="e">
        <f>VLOOKUP(I284,#REF!,7,FALSE)</f>
        <v>#REF!</v>
      </c>
      <c r="AG284" s="2" t="e">
        <f>VLOOKUP(H284,#REF!,13,FALSE)</f>
        <v>#REF!</v>
      </c>
      <c r="AH284" s="2" t="e">
        <f>VLOOKUP(I284,#REF!,2,FALSE)</f>
        <v>#REF!</v>
      </c>
      <c r="AJ284" s="185" t="e">
        <f>VLOOKUP(H284,#REF!,3,FALSE)</f>
        <v>#REF!</v>
      </c>
      <c r="AK284" s="185"/>
      <c r="AL284" s="185" t="e">
        <f>VLOOKUP(H284,#REF!,13,FALSE)</f>
        <v>#REF!</v>
      </c>
      <c r="AM284" s="185" t="e">
        <f>VLOOKUP(CLEAN(H284),#REF!,7,FALSE)</f>
        <v>#REF!</v>
      </c>
      <c r="AN284" s="2" t="e">
        <f>VLOOKUP(H284,#REF!,8,FALSE)</f>
        <v>#REF!</v>
      </c>
      <c r="AO284" s="189" t="e">
        <f>VLOOKUP(H284,#REF!,2,FALSE)</f>
        <v>#REF!</v>
      </c>
      <c r="AP284" s="189" t="e">
        <f>VLOOKUP(H284,#REF!,2,FALSE)</f>
        <v>#REF!</v>
      </c>
      <c r="AQ284" s="189"/>
      <c r="AR284" s="2" t="e">
        <f>VLOOKUP(CLEAN(H284),#REF!,2,FALSE)</f>
        <v>#REF!</v>
      </c>
      <c r="AT284" s="2" t="e">
        <f>VLOOKUP(H284,#REF!,13,FALSE)</f>
        <v>#REF!</v>
      </c>
      <c r="AU284" s="2" t="e">
        <f>VLOOKUP(H284,#REF!,13,FALSE)</f>
        <v>#REF!</v>
      </c>
      <c r="AV284" s="2" t="e">
        <f>VLOOKUP(H284,#REF!,13,FALSE)</f>
        <v>#REF!</v>
      </c>
      <c r="AW284" s="2" t="e">
        <f>VLOOKUP(H284,#REF!,13,FALSE)</f>
        <v>#REF!</v>
      </c>
      <c r="AX284" s="2" t="e">
        <f>VLOOKUP(H284,#REF!,9,FALSE)</f>
        <v>#REF!</v>
      </c>
      <c r="AZ284" s="189" t="e">
        <f>VLOOKUP(H284,#REF!,2,FALSE)</f>
        <v>#REF!</v>
      </c>
      <c r="BF284" s="189" t="e">
        <f>VLOOKUP(CLEAN(H284),#REF!,2,FALSE)</f>
        <v>#REF!</v>
      </c>
      <c r="BG284" s="189" t="e">
        <f>T284-BF284</f>
        <v>#REF!</v>
      </c>
      <c r="BO284" s="2" t="e">
        <f>VLOOKUP(H284,#REF!,13,FALSE)</f>
        <v>#REF!</v>
      </c>
      <c r="BP284" s="2" t="e">
        <f>VLOOKUP(H284,#REF!,2,FALSE)</f>
        <v>#REF!</v>
      </c>
      <c r="BQ284" s="2" t="e">
        <f>VLOOKUP(H284,#REF!,13,FALSE)</f>
        <v>#REF!</v>
      </c>
      <c r="BR284" s="2" t="e">
        <f>VLOOKUP(H284,#REF!,3,FALSE)</f>
        <v>#REF!</v>
      </c>
    </row>
    <row r="285" spans="1:70" s="2" customFormat="1" ht="15" customHeight="1" outlineLevel="2">
      <c r="A285" s="5">
        <v>31</v>
      </c>
      <c r="B285" s="5" t="s">
        <v>5</v>
      </c>
      <c r="C285" s="5" t="s">
        <v>242</v>
      </c>
      <c r="D285" s="5" t="s">
        <v>22</v>
      </c>
      <c r="E285" s="5" t="s">
        <v>25</v>
      </c>
      <c r="F285" s="5" t="s">
        <v>77</v>
      </c>
      <c r="G285" s="5" t="s">
        <v>144</v>
      </c>
      <c r="H285" s="12">
        <v>30046830</v>
      </c>
      <c r="I285" s="42" t="str">
        <f t="shared" si="162"/>
        <v>30046830-EJECUCION</v>
      </c>
      <c r="J285" s="12"/>
      <c r="K285" s="307" t="str">
        <f t="shared" si="163"/>
        <v>30046830</v>
      </c>
      <c r="L285" s="12" t="s">
        <v>470</v>
      </c>
      <c r="M285" s="23">
        <v>748449085</v>
      </c>
      <c r="N285" s="34">
        <v>713793031</v>
      </c>
      <c r="O285" s="34">
        <v>34656054</v>
      </c>
      <c r="P285" s="310">
        <v>0</v>
      </c>
      <c r="Q285" s="34">
        <v>0</v>
      </c>
      <c r="R285" s="308">
        <v>4877054</v>
      </c>
      <c r="S285" s="34">
        <f t="shared" si="164"/>
        <v>4877054</v>
      </c>
      <c r="T285" s="34">
        <v>0</v>
      </c>
      <c r="U285" s="34">
        <v>0</v>
      </c>
      <c r="V285" s="34">
        <f>P285+Q285+R285+T285+U285</f>
        <v>4877054</v>
      </c>
      <c r="W285" s="34">
        <f>O285-V285</f>
        <v>29779000</v>
      </c>
      <c r="X285" s="34">
        <f>M285-(N285+O285)</f>
        <v>0</v>
      </c>
      <c r="Y285" s="48" t="s">
        <v>239</v>
      </c>
      <c r="Z285" s="48" t="s">
        <v>8</v>
      </c>
      <c r="AA285" s="2" t="e">
        <v>#N/A</v>
      </c>
      <c r="AB285" s="2" t="e">
        <f>VLOOKUP(H285,#REF!,2,FALSE)</f>
        <v>#REF!</v>
      </c>
      <c r="AC285" s="2" t="e">
        <f>VLOOKUP(I285,#REF!,2,FALSE)</f>
        <v>#REF!</v>
      </c>
      <c r="AD285" s="2" t="e">
        <f>VLOOKUP(H285,#REF!,13,FALSE)</f>
        <v>#REF!</v>
      </c>
      <c r="AE285" s="2" t="e">
        <f>VLOOKUP(I285,#REF!,7,FALSE)</f>
        <v>#REF!</v>
      </c>
      <c r="AG285" s="2" t="e">
        <f>VLOOKUP(H285,#REF!,13,FALSE)</f>
        <v>#REF!</v>
      </c>
      <c r="AH285" s="2" t="e">
        <f>VLOOKUP(I285,#REF!,2,FALSE)</f>
        <v>#REF!</v>
      </c>
      <c r="AJ285" s="185" t="e">
        <f>VLOOKUP(H285,#REF!,3,FALSE)</f>
        <v>#REF!</v>
      </c>
      <c r="AK285" s="185"/>
      <c r="AL285" s="185" t="e">
        <f>VLOOKUP(H285,#REF!,13,FALSE)</f>
        <v>#REF!</v>
      </c>
      <c r="AM285" s="185" t="e">
        <f>VLOOKUP(CLEAN(H285),#REF!,7,FALSE)</f>
        <v>#REF!</v>
      </c>
      <c r="AN285" s="2" t="e">
        <f>VLOOKUP(H285,#REF!,8,FALSE)</f>
        <v>#REF!</v>
      </c>
      <c r="AO285" s="189" t="e">
        <f>VLOOKUP(H285,#REF!,2,FALSE)</f>
        <v>#REF!</v>
      </c>
      <c r="AP285" s="189" t="e">
        <f>VLOOKUP(H285,#REF!,2,FALSE)</f>
        <v>#REF!</v>
      </c>
      <c r="AQ285" s="189"/>
      <c r="AR285" s="2" t="e">
        <f>VLOOKUP(CLEAN(H285),#REF!,2,FALSE)</f>
        <v>#REF!</v>
      </c>
      <c r="AT285" s="2" t="e">
        <f>VLOOKUP(H285,#REF!,13,FALSE)</f>
        <v>#REF!</v>
      </c>
      <c r="AU285" s="2" t="e">
        <f>VLOOKUP(H285,#REF!,13,FALSE)</f>
        <v>#REF!</v>
      </c>
      <c r="AV285" s="2" t="e">
        <f>VLOOKUP(H285,#REF!,13,FALSE)</f>
        <v>#REF!</v>
      </c>
      <c r="AW285" s="2" t="e">
        <f>VLOOKUP(H285,#REF!,13,FALSE)</f>
        <v>#REF!</v>
      </c>
      <c r="AX285" s="2" t="e">
        <f>VLOOKUP(H285,#REF!,9,FALSE)</f>
        <v>#REF!</v>
      </c>
      <c r="AZ285" s="189" t="e">
        <f>VLOOKUP(H285,#REF!,2,FALSE)</f>
        <v>#REF!</v>
      </c>
      <c r="BF285" s="189" t="e">
        <f>VLOOKUP(CLEAN(H285),#REF!,2,FALSE)</f>
        <v>#REF!</v>
      </c>
      <c r="BG285" s="189" t="e">
        <f>T285-BF285</f>
        <v>#REF!</v>
      </c>
      <c r="BO285" s="2" t="e">
        <f>VLOOKUP(H285,#REF!,13,FALSE)</f>
        <v>#REF!</v>
      </c>
      <c r="BP285" s="2" t="e">
        <f>VLOOKUP(H285,#REF!,2,FALSE)</f>
        <v>#REF!</v>
      </c>
      <c r="BQ285" s="2" t="e">
        <f>VLOOKUP(H285,#REF!,13,FALSE)</f>
        <v>#REF!</v>
      </c>
      <c r="BR285" s="2" t="e">
        <f>VLOOKUP(H285,#REF!,3,FALSE)</f>
        <v>#REF!</v>
      </c>
    </row>
    <row r="286" spans="1:70" s="2" customFormat="1" ht="15" customHeight="1" outlineLevel="2">
      <c r="A286" s="5">
        <v>29</v>
      </c>
      <c r="B286" s="5" t="s">
        <v>11</v>
      </c>
      <c r="C286" s="5" t="s">
        <v>251</v>
      </c>
      <c r="D286" s="5" t="s">
        <v>22</v>
      </c>
      <c r="E286" s="5" t="s">
        <v>25</v>
      </c>
      <c r="F286" s="5" t="s">
        <v>457</v>
      </c>
      <c r="G286" s="5" t="s">
        <v>144</v>
      </c>
      <c r="H286" s="12">
        <v>30329325</v>
      </c>
      <c r="I286" s="42" t="str">
        <f t="shared" si="162"/>
        <v>30329325-EJECUCION</v>
      </c>
      <c r="J286" s="12"/>
      <c r="K286" s="307" t="str">
        <f t="shared" si="163"/>
        <v>30329325</v>
      </c>
      <c r="L286" s="12" t="s">
        <v>673</v>
      </c>
      <c r="M286" s="23">
        <v>292147000</v>
      </c>
      <c r="N286" s="34">
        <v>0</v>
      </c>
      <c r="O286" s="34">
        <v>292147000</v>
      </c>
      <c r="P286" s="310">
        <v>0</v>
      </c>
      <c r="Q286" s="34">
        <v>0</v>
      </c>
      <c r="R286" s="308">
        <v>0</v>
      </c>
      <c r="S286" s="34">
        <f t="shared" si="164"/>
        <v>0</v>
      </c>
      <c r="T286" s="34">
        <v>0</v>
      </c>
      <c r="U286" s="34">
        <v>0</v>
      </c>
      <c r="V286" s="34">
        <f>P286+Q286+R286+T286+U286</f>
        <v>0</v>
      </c>
      <c r="W286" s="34">
        <f>O286-V286</f>
        <v>292147000</v>
      </c>
      <c r="X286" s="34">
        <f>M286-(N286+O286)</f>
        <v>0</v>
      </c>
      <c r="Y286" s="48" t="s">
        <v>460</v>
      </c>
      <c r="Z286" s="48" t="s">
        <v>10</v>
      </c>
      <c r="AO286" s="189"/>
      <c r="AP286" s="189"/>
      <c r="AQ286" s="189"/>
      <c r="AZ286" s="189"/>
      <c r="BF286" s="189"/>
      <c r="BG286" s="189"/>
      <c r="BP286" s="2" t="e">
        <f>VLOOKUP(H286,#REF!,2,FALSE)</f>
        <v>#REF!</v>
      </c>
      <c r="BQ286" s="2" t="e">
        <f>VLOOKUP(H286,#REF!,13,FALSE)</f>
        <v>#REF!</v>
      </c>
      <c r="BR286" s="2" t="e">
        <f>VLOOKUP(H286,#REF!,3,FALSE)</f>
        <v>#REF!</v>
      </c>
    </row>
    <row r="287" spans="1:70" s="2" customFormat="1" ht="15" customHeight="1" outlineLevel="2">
      <c r="A287" s="5">
        <v>31</v>
      </c>
      <c r="B287" s="5" t="s">
        <v>5</v>
      </c>
      <c r="C287" s="5" t="s">
        <v>241</v>
      </c>
      <c r="D287" s="5" t="s">
        <v>22</v>
      </c>
      <c r="E287" s="5" t="s">
        <v>25</v>
      </c>
      <c r="F287" s="5" t="s">
        <v>77</v>
      </c>
      <c r="G287" s="5" t="s">
        <v>144</v>
      </c>
      <c r="H287" s="12">
        <v>30342773</v>
      </c>
      <c r="I287" s="42" t="str">
        <f>CONCATENATE(H287,"-",G287)</f>
        <v>30342773-EJECUCION</v>
      </c>
      <c r="J287" s="12"/>
      <c r="K287" s="307" t="str">
        <f>CLEAN(H287)</f>
        <v>30342773</v>
      </c>
      <c r="L287" s="15" t="s">
        <v>94</v>
      </c>
      <c r="M287" s="23">
        <v>7077310000</v>
      </c>
      <c r="N287" s="34">
        <v>135002990</v>
      </c>
      <c r="O287" s="34">
        <f>2039420023-34656054-42054838-292147000</f>
        <v>1670562131</v>
      </c>
      <c r="P287" s="310">
        <v>0</v>
      </c>
      <c r="Q287" s="34">
        <v>6698601</v>
      </c>
      <c r="R287" s="308">
        <v>614217</v>
      </c>
      <c r="S287" s="34">
        <f t="shared" si="164"/>
        <v>7312818</v>
      </c>
      <c r="T287" s="34">
        <v>677550</v>
      </c>
      <c r="U287" s="34">
        <v>0</v>
      </c>
      <c r="V287" s="34">
        <f>P287+Q287+R287+T287+U287</f>
        <v>7990368</v>
      </c>
      <c r="W287" s="34">
        <f>O287-V287</f>
        <v>1662571763</v>
      </c>
      <c r="X287" s="34">
        <f>M287-(N287+O287)</f>
        <v>5271744879</v>
      </c>
      <c r="Y287" s="48" t="s">
        <v>239</v>
      </c>
      <c r="Z287" s="48" t="s">
        <v>8</v>
      </c>
      <c r="AA287" s="2" t="s">
        <v>843</v>
      </c>
      <c r="AB287" s="2" t="e">
        <f>VLOOKUP(H287,#REF!,2,FALSE)</f>
        <v>#REF!</v>
      </c>
      <c r="AC287" s="2" t="e">
        <f>VLOOKUP(I287,#REF!,2,FALSE)</f>
        <v>#REF!</v>
      </c>
      <c r="AD287" s="2" t="e">
        <f>VLOOKUP(H287,#REF!,13,FALSE)</f>
        <v>#REF!</v>
      </c>
      <c r="AE287" s="2" t="e">
        <f>VLOOKUP(I287,#REF!,7,FALSE)</f>
        <v>#REF!</v>
      </c>
      <c r="AG287" s="180" t="e">
        <f>VLOOKUP(H287,#REF!,13,FALSE)</f>
        <v>#REF!</v>
      </c>
      <c r="AH287" s="180" t="e">
        <f>VLOOKUP(I287,#REF!,2,FALSE)</f>
        <v>#REF!</v>
      </c>
      <c r="AJ287" s="185" t="e">
        <f>VLOOKUP(H287,#REF!,3,FALSE)</f>
        <v>#REF!</v>
      </c>
      <c r="AK287" s="185"/>
      <c r="AL287" s="185" t="e">
        <f>VLOOKUP(H287,#REF!,13,FALSE)</f>
        <v>#REF!</v>
      </c>
      <c r="AM287" s="185" t="e">
        <f>VLOOKUP(CLEAN(H287),#REF!,7,FALSE)</f>
        <v>#REF!</v>
      </c>
      <c r="AN287" s="2" t="e">
        <f>VLOOKUP(H287,#REF!,8,FALSE)</f>
        <v>#REF!</v>
      </c>
      <c r="AO287" s="189" t="e">
        <f>VLOOKUP(H287,#REF!,2,FALSE)</f>
        <v>#REF!</v>
      </c>
      <c r="AP287" s="189" t="e">
        <f>VLOOKUP(H287,#REF!,2,FALSE)</f>
        <v>#REF!</v>
      </c>
      <c r="AQ287" s="189" t="e">
        <f>AO287-AP287</f>
        <v>#REF!</v>
      </c>
      <c r="AR287" s="189" t="e">
        <f>VLOOKUP(CLEAN(H287),#REF!,2,FALSE)</f>
        <v>#REF!</v>
      </c>
      <c r="AS287" s="189" t="e">
        <f>T287-AR287</f>
        <v>#REF!</v>
      </c>
      <c r="AT287" s="2" t="e">
        <f>VLOOKUP(H287,#REF!,13,FALSE)</f>
        <v>#REF!</v>
      </c>
      <c r="AU287" s="2" t="e">
        <f>VLOOKUP(H287,#REF!,13,FALSE)</f>
        <v>#REF!</v>
      </c>
      <c r="AV287" s="2" t="e">
        <f>VLOOKUP(H287,#REF!,13,FALSE)</f>
        <v>#REF!</v>
      </c>
      <c r="AW287" s="2" t="e">
        <f>VLOOKUP(H287,#REF!,13,FALSE)</f>
        <v>#REF!</v>
      </c>
      <c r="AX287" s="2" t="e">
        <f>VLOOKUP(H287,#REF!,9,FALSE)</f>
        <v>#REF!</v>
      </c>
      <c r="AZ287" s="189" t="e">
        <f>VLOOKUP(H287,#REF!,2,FALSE)</f>
        <v>#REF!</v>
      </c>
      <c r="BF287" s="189" t="e">
        <f>VLOOKUP(CLEAN(H287),#REF!,2,FALSE)</f>
        <v>#REF!</v>
      </c>
      <c r="BG287" s="189" t="e">
        <f>T287-BF287</f>
        <v>#REF!</v>
      </c>
      <c r="BO287" s="2" t="e">
        <f>VLOOKUP(H287,#REF!,13,FALSE)</f>
        <v>#REF!</v>
      </c>
      <c r="BP287" s="2" t="e">
        <f>VLOOKUP(H287,#REF!,2,FALSE)</f>
        <v>#REF!</v>
      </c>
      <c r="BQ287" s="2" t="e">
        <f>VLOOKUP(H287,#REF!,13,FALSE)</f>
        <v>#REF!</v>
      </c>
      <c r="BR287" s="2" t="e">
        <f>VLOOKUP(H287,#REF!,3,FALSE)</f>
        <v>#REF!</v>
      </c>
    </row>
    <row r="288" spans="1:70" s="2" customFormat="1" ht="15" customHeight="1" outlineLevel="2">
      <c r="A288" s="5">
        <v>31</v>
      </c>
      <c r="B288" s="5" t="s">
        <v>54</v>
      </c>
      <c r="C288" s="5" t="s">
        <v>253</v>
      </c>
      <c r="D288" s="5" t="s">
        <v>22</v>
      </c>
      <c r="E288" s="5" t="s">
        <v>25</v>
      </c>
      <c r="F288" s="5" t="s">
        <v>77</v>
      </c>
      <c r="G288" s="5" t="s">
        <v>144</v>
      </c>
      <c r="H288" s="12">
        <v>30248522</v>
      </c>
      <c r="I288" s="42" t="str">
        <f>CONCATENATE(H288,"-",G288)</f>
        <v>30248522-EJECUCION</v>
      </c>
      <c r="J288" s="12"/>
      <c r="K288" s="307" t="str">
        <f>CLEAN(H288)</f>
        <v>30248522</v>
      </c>
      <c r="L288" s="15" t="s">
        <v>267</v>
      </c>
      <c r="M288" s="23">
        <v>1053374000</v>
      </c>
      <c r="N288" s="34">
        <v>2500000</v>
      </c>
      <c r="O288" s="34">
        <v>200000000</v>
      </c>
      <c r="P288" s="310">
        <v>0</v>
      </c>
      <c r="Q288" s="34">
        <v>0</v>
      </c>
      <c r="R288" s="308">
        <v>0</v>
      </c>
      <c r="S288" s="34">
        <f t="shared" si="164"/>
        <v>0</v>
      </c>
      <c r="T288" s="34">
        <v>0</v>
      </c>
      <c r="U288" s="34">
        <v>0</v>
      </c>
      <c r="V288" s="34">
        <f>P288+Q288+R288+T288+U288</f>
        <v>0</v>
      </c>
      <c r="W288" s="34">
        <f>O288-V288</f>
        <v>200000000</v>
      </c>
      <c r="X288" s="34">
        <f>M288-(N288+O288)</f>
        <v>850874000</v>
      </c>
      <c r="Y288" s="48" t="s">
        <v>675</v>
      </c>
      <c r="Z288" s="48" t="s">
        <v>123</v>
      </c>
      <c r="AA288" s="2" t="s">
        <v>843</v>
      </c>
      <c r="AB288" s="2" t="e">
        <f>VLOOKUP(H288,#REF!,2,FALSE)</f>
        <v>#REF!</v>
      </c>
      <c r="AC288" s="2" t="e">
        <f>VLOOKUP(I288,#REF!,2,FALSE)</f>
        <v>#REF!</v>
      </c>
      <c r="AD288" s="2" t="e">
        <f>VLOOKUP(H288,#REF!,13,FALSE)</f>
        <v>#REF!</v>
      </c>
      <c r="AE288" s="2" t="e">
        <f>VLOOKUP(I288,#REF!,7,FALSE)</f>
        <v>#REF!</v>
      </c>
      <c r="AG288" s="180" t="e">
        <f>VLOOKUP(H288,#REF!,13,FALSE)</f>
        <v>#REF!</v>
      </c>
      <c r="AH288" s="180" t="e">
        <f>VLOOKUP(I288,#REF!,2,FALSE)</f>
        <v>#REF!</v>
      </c>
      <c r="AJ288" s="185" t="e">
        <f>VLOOKUP(H288,#REF!,3,FALSE)</f>
        <v>#REF!</v>
      </c>
      <c r="AK288" s="185"/>
      <c r="AL288" s="185" t="e">
        <f>VLOOKUP(H288,#REF!,13,FALSE)</f>
        <v>#REF!</v>
      </c>
      <c r="AM288" s="185" t="e">
        <f>VLOOKUP(CLEAN(H288),#REF!,7,FALSE)</f>
        <v>#REF!</v>
      </c>
      <c r="AN288" s="2" t="e">
        <f>VLOOKUP(H288,#REF!,8,FALSE)</f>
        <v>#REF!</v>
      </c>
      <c r="AO288" s="189" t="e">
        <f>VLOOKUP(H288,#REF!,2,FALSE)</f>
        <v>#REF!</v>
      </c>
      <c r="AP288" s="189" t="e">
        <f>VLOOKUP(H288,#REF!,2,FALSE)</f>
        <v>#REF!</v>
      </c>
      <c r="AQ288" s="189"/>
      <c r="AR288" s="2" t="e">
        <f>VLOOKUP(CLEAN(H288),#REF!,2,FALSE)</f>
        <v>#REF!</v>
      </c>
      <c r="AT288" s="2" t="e">
        <f>VLOOKUP(H288,#REF!,13,FALSE)</f>
        <v>#REF!</v>
      </c>
      <c r="AU288" s="2" t="e">
        <f>VLOOKUP(H288,#REF!,13,FALSE)</f>
        <v>#REF!</v>
      </c>
      <c r="AV288" s="2" t="e">
        <f>VLOOKUP(H288,#REF!,13,FALSE)</f>
        <v>#REF!</v>
      </c>
      <c r="AW288" s="2" t="e">
        <f>VLOOKUP(H288,#REF!,13,FALSE)</f>
        <v>#REF!</v>
      </c>
      <c r="AX288" s="2" t="e">
        <f>VLOOKUP(H288,#REF!,9,FALSE)</f>
        <v>#REF!</v>
      </c>
      <c r="AY288" s="2" t="s">
        <v>649</v>
      </c>
      <c r="AZ288" s="189" t="e">
        <f>VLOOKUP(H288,#REF!,2,FALSE)</f>
        <v>#REF!</v>
      </c>
      <c r="BF288" s="189" t="e">
        <f>VLOOKUP(CLEAN(H288),#REF!,2,FALSE)</f>
        <v>#REF!</v>
      </c>
      <c r="BG288" s="189" t="e">
        <f>T288-BF288</f>
        <v>#REF!</v>
      </c>
      <c r="BO288" s="2" t="e">
        <f>VLOOKUP(H288,#REF!,13,FALSE)</f>
        <v>#REF!</v>
      </c>
      <c r="BP288" s="2" t="e">
        <f>VLOOKUP(H288,#REF!,2,FALSE)</f>
        <v>#REF!</v>
      </c>
      <c r="BQ288" s="2" t="e">
        <f>VLOOKUP(H288,#REF!,13,FALSE)</f>
        <v>#REF!</v>
      </c>
      <c r="BR288" s="2" t="e">
        <f>VLOOKUP(H288,#REF!,3,FALSE)</f>
        <v>#REF!</v>
      </c>
    </row>
    <row r="289" spans="1:70" ht="15" customHeight="1" outlineLevel="2">
      <c r="A289" s="7"/>
      <c r="B289" s="7"/>
      <c r="C289" s="7"/>
      <c r="D289" s="7"/>
      <c r="E289" s="7"/>
      <c r="F289" s="7"/>
      <c r="G289" s="7"/>
      <c r="H289" s="11"/>
      <c r="I289" s="11"/>
      <c r="J289" s="11"/>
      <c r="K289" s="11"/>
      <c r="L289" s="17" t="s">
        <v>691</v>
      </c>
      <c r="M289" s="27">
        <f t="shared" ref="M289:X289" si="165">SUBTOTAL(9,M283:M288)</f>
        <v>11173280085</v>
      </c>
      <c r="N289" s="27">
        <f t="shared" si="165"/>
        <v>2803688337</v>
      </c>
      <c r="O289" s="27">
        <f t="shared" si="165"/>
        <v>2233420241</v>
      </c>
      <c r="P289" s="24">
        <f t="shared" si="165"/>
        <v>0</v>
      </c>
      <c r="Q289" s="24">
        <f t="shared" si="165"/>
        <v>6698601</v>
      </c>
      <c r="R289" s="24">
        <f t="shared" si="165"/>
        <v>5491271</v>
      </c>
      <c r="S289" s="27">
        <f t="shared" si="165"/>
        <v>12189872</v>
      </c>
      <c r="T289" s="27">
        <f t="shared" si="165"/>
        <v>677550</v>
      </c>
      <c r="U289" s="27">
        <f t="shared" si="165"/>
        <v>0</v>
      </c>
      <c r="V289" s="27">
        <f t="shared" si="165"/>
        <v>12867422</v>
      </c>
      <c r="W289" s="27">
        <f t="shared" si="165"/>
        <v>2220552819</v>
      </c>
      <c r="X289" s="27">
        <f t="shared" si="165"/>
        <v>6136171507</v>
      </c>
      <c r="Y289" s="47"/>
      <c r="Z289" s="47"/>
      <c r="AM289" s="185" t="e">
        <f>VLOOKUP(CLEAN(H289),#REF!,7,FALSE)</f>
        <v>#REF!</v>
      </c>
      <c r="AO289"/>
      <c r="AP289"/>
      <c r="AQ289"/>
      <c r="AR289" s="2" t="e">
        <f>VLOOKUP(CLEAN(H289),#REF!,2,FALSE)</f>
        <v>#REF!</v>
      </c>
      <c r="AZ289" s="2" t="e">
        <f>VLOOKUP(H289,#REF!,2,FALSE)</f>
        <v>#REF!</v>
      </c>
      <c r="BO289" s="2" t="e">
        <f>VLOOKUP(H289,#REF!,13,FALSE)</f>
        <v>#REF!</v>
      </c>
      <c r="BQ289" s="2" t="e">
        <f>VLOOKUP(H289,#REF!,13,FALSE)</f>
        <v>#REF!</v>
      </c>
    </row>
    <row r="290" spans="1:70" ht="15" customHeight="1" outlineLevel="2">
      <c r="A290" s="7"/>
      <c r="B290" s="7"/>
      <c r="C290" s="7"/>
      <c r="D290" s="7"/>
      <c r="E290" s="7"/>
      <c r="F290" s="7"/>
      <c r="G290" s="7"/>
      <c r="H290" s="11"/>
      <c r="I290" s="11"/>
      <c r="J290" s="11"/>
      <c r="K290" s="11"/>
      <c r="L290" s="292"/>
      <c r="M290" s="22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47"/>
      <c r="Z290" s="47"/>
      <c r="AM290" s="185" t="e">
        <f>VLOOKUP(CLEAN(H290),#REF!,7,FALSE)</f>
        <v>#REF!</v>
      </c>
      <c r="AO290"/>
      <c r="AP290"/>
      <c r="AQ290"/>
      <c r="AR290" s="2" t="e">
        <f>VLOOKUP(CLEAN(H290),#REF!,2,FALSE)</f>
        <v>#REF!</v>
      </c>
      <c r="AZ290" s="2" t="e">
        <f>VLOOKUP(H290,#REF!,2,FALSE)</f>
        <v>#REF!</v>
      </c>
      <c r="BO290" s="2" t="e">
        <f>VLOOKUP(H290,#REF!,13,FALSE)</f>
        <v>#REF!</v>
      </c>
      <c r="BP290" s="293"/>
      <c r="BQ290" s="2" t="e">
        <f>VLOOKUP(H290,#REF!,13,FALSE)</f>
        <v>#REF!</v>
      </c>
    </row>
    <row r="291" spans="1:70" ht="15" customHeight="1" outlineLevel="2">
      <c r="A291" s="7"/>
      <c r="B291" s="7"/>
      <c r="C291" s="7"/>
      <c r="D291" s="7"/>
      <c r="E291" s="7"/>
      <c r="F291" s="7"/>
      <c r="G291" s="7"/>
      <c r="H291" s="11"/>
      <c r="I291" s="11"/>
      <c r="J291" s="11"/>
      <c r="K291" s="11"/>
      <c r="L291" s="18" t="s">
        <v>697</v>
      </c>
      <c r="M291" s="22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47"/>
      <c r="Z291" s="47"/>
      <c r="AO291"/>
      <c r="AP291"/>
      <c r="AQ291"/>
      <c r="AR291" s="2"/>
      <c r="AZ291" s="2"/>
      <c r="BO291" s="2" t="e">
        <f>VLOOKUP(H291,#REF!,13,FALSE)</f>
        <v>#REF!</v>
      </c>
      <c r="BQ291" s="2" t="e">
        <f>VLOOKUP(H291,#REF!,13,FALSE)</f>
        <v>#REF!</v>
      </c>
    </row>
    <row r="292" spans="1:70" s="2" customFormat="1" ht="15" customHeight="1" outlineLevel="2">
      <c r="A292" s="5">
        <v>29</v>
      </c>
      <c r="B292" s="5" t="s">
        <v>54</v>
      </c>
      <c r="C292" s="5" t="s">
        <v>251</v>
      </c>
      <c r="D292" s="5" t="s">
        <v>22</v>
      </c>
      <c r="E292" s="5" t="s">
        <v>25</v>
      </c>
      <c r="F292" s="5" t="s">
        <v>457</v>
      </c>
      <c r="G292" s="5" t="s">
        <v>144</v>
      </c>
      <c r="H292" s="12">
        <v>30188272</v>
      </c>
      <c r="I292" s="42" t="str">
        <f t="shared" ref="I292" si="166">CONCATENATE(H292,"-",G292)</f>
        <v>30188272-EJECUCION</v>
      </c>
      <c r="J292" s="12"/>
      <c r="K292" s="307" t="str">
        <f t="shared" ref="K292" si="167">CLEAN(H292)</f>
        <v>30188272</v>
      </c>
      <c r="L292" s="15" t="s">
        <v>266</v>
      </c>
      <c r="M292" s="23">
        <v>115506498</v>
      </c>
      <c r="N292" s="34">
        <v>0</v>
      </c>
      <c r="O292" s="34">
        <f>115506500-2</f>
        <v>115506498</v>
      </c>
      <c r="P292" s="310">
        <v>0</v>
      </c>
      <c r="Q292" s="34">
        <v>0</v>
      </c>
      <c r="R292" s="308">
        <v>0</v>
      </c>
      <c r="S292" s="34">
        <f t="shared" ref="S292:S294" si="168">P292+Q292+R292</f>
        <v>0</v>
      </c>
      <c r="T292" s="34">
        <v>115506498</v>
      </c>
      <c r="U292" s="34">
        <v>0</v>
      </c>
      <c r="V292" s="34">
        <f>P292+Q292+R292+T292+U292</f>
        <v>115506498</v>
      </c>
      <c r="W292" s="34">
        <f>O292-V292</f>
        <v>0</v>
      </c>
      <c r="X292" s="34">
        <f>M292-(N292+O292)</f>
        <v>0</v>
      </c>
      <c r="Y292" s="48" t="s">
        <v>460</v>
      </c>
      <c r="Z292" s="48" t="s">
        <v>10</v>
      </c>
      <c r="AA292" s="2" t="s">
        <v>847</v>
      </c>
      <c r="AB292" s="2" t="e">
        <f>VLOOKUP(H292,#REF!,2,FALSE)</f>
        <v>#REF!</v>
      </c>
      <c r="AC292" s="2" t="e">
        <f>VLOOKUP(I292,#REF!,2,FALSE)</f>
        <v>#REF!</v>
      </c>
      <c r="AD292" s="2" t="e">
        <f>VLOOKUP(H292,#REF!,13,FALSE)</f>
        <v>#REF!</v>
      </c>
      <c r="AE292" s="2" t="e">
        <f>VLOOKUP(I292,#REF!,7,FALSE)</f>
        <v>#REF!</v>
      </c>
      <c r="AG292" s="2" t="e">
        <f>VLOOKUP(H292,#REF!,13,FALSE)</f>
        <v>#REF!</v>
      </c>
      <c r="AH292" s="2" t="e">
        <f>VLOOKUP(I292,#REF!,2,FALSE)</f>
        <v>#REF!</v>
      </c>
      <c r="AJ292" s="185" t="e">
        <f>VLOOKUP(H292,#REF!,3,FALSE)</f>
        <v>#REF!</v>
      </c>
      <c r="AK292" s="185"/>
      <c r="AL292" s="185" t="e">
        <f>VLOOKUP(H292,#REF!,13,FALSE)</f>
        <v>#REF!</v>
      </c>
      <c r="AM292" s="185" t="e">
        <f>VLOOKUP(CLEAN(H292),#REF!,7,FALSE)</f>
        <v>#REF!</v>
      </c>
      <c r="AN292" s="2" t="e">
        <f>VLOOKUP(H292,#REF!,8,FALSE)</f>
        <v>#REF!</v>
      </c>
      <c r="AO292" s="189" t="e">
        <f>VLOOKUP(H292,#REF!,2,FALSE)</f>
        <v>#REF!</v>
      </c>
      <c r="AP292" s="189" t="e">
        <f>VLOOKUP(H292,#REF!,2,FALSE)</f>
        <v>#REF!</v>
      </c>
      <c r="AQ292" s="189"/>
      <c r="AR292" s="2" t="e">
        <f>VLOOKUP(CLEAN(H292),#REF!,2,FALSE)</f>
        <v>#REF!</v>
      </c>
      <c r="AT292" s="2" t="e">
        <f>VLOOKUP(H292,#REF!,13,FALSE)</f>
        <v>#REF!</v>
      </c>
      <c r="AU292" s="2" t="e">
        <f>VLOOKUP(H292,#REF!,13,FALSE)</f>
        <v>#REF!</v>
      </c>
      <c r="AV292" s="2" t="e">
        <f>VLOOKUP(H292,#REF!,13,FALSE)</f>
        <v>#REF!</v>
      </c>
      <c r="AW292" s="2" t="e">
        <f>VLOOKUP(H292,#REF!,13,FALSE)</f>
        <v>#REF!</v>
      </c>
      <c r="AX292" s="2" t="e">
        <f>VLOOKUP(H292,#REF!,9,FALSE)</f>
        <v>#REF!</v>
      </c>
      <c r="AZ292" s="189" t="e">
        <f>VLOOKUP(H292,#REF!,2,FALSE)</f>
        <v>#REF!</v>
      </c>
      <c r="BF292" s="189" t="e">
        <f>VLOOKUP(CLEAN(H292),#REF!,2,FALSE)</f>
        <v>#REF!</v>
      </c>
      <c r="BG292" s="189" t="e">
        <f>T292-BF292</f>
        <v>#REF!</v>
      </c>
      <c r="BO292" s="2" t="e">
        <f>VLOOKUP(H292,#REF!,13,FALSE)</f>
        <v>#REF!</v>
      </c>
      <c r="BP292" s="2" t="e">
        <f>VLOOKUP(H292,#REF!,2,FALSE)</f>
        <v>#REF!</v>
      </c>
      <c r="BQ292" s="2" t="e">
        <f>VLOOKUP(H292,#REF!,13,FALSE)</f>
        <v>#REF!</v>
      </c>
      <c r="BR292" s="2" t="e">
        <f>VLOOKUP(H292,#REF!,3,FALSE)</f>
        <v>#REF!</v>
      </c>
    </row>
    <row r="293" spans="1:70" s="2" customFormat="1" ht="15" customHeight="1" outlineLevel="2">
      <c r="A293" s="5">
        <v>29</v>
      </c>
      <c r="B293" s="5" t="s">
        <v>11</v>
      </c>
      <c r="C293" s="5" t="s">
        <v>251</v>
      </c>
      <c r="D293" s="5" t="s">
        <v>22</v>
      </c>
      <c r="E293" s="5" t="s">
        <v>25</v>
      </c>
      <c r="F293" s="5" t="s">
        <v>457</v>
      </c>
      <c r="G293" s="5" t="s">
        <v>144</v>
      </c>
      <c r="H293" s="12">
        <v>40002212</v>
      </c>
      <c r="I293" s="42" t="str">
        <f>CONCATENATE(H293,"-",G293)</f>
        <v>40002212-EJECUCION</v>
      </c>
      <c r="J293" s="12"/>
      <c r="K293" s="307" t="str">
        <f>CLEAN(H293)</f>
        <v>40002212</v>
      </c>
      <c r="L293" s="15" t="s">
        <v>751</v>
      </c>
      <c r="M293" s="23">
        <v>420650000</v>
      </c>
      <c r="N293" s="34">
        <v>0</v>
      </c>
      <c r="O293" s="34">
        <v>42054838</v>
      </c>
      <c r="P293" s="310">
        <v>0</v>
      </c>
      <c r="Q293" s="34">
        <v>0</v>
      </c>
      <c r="R293" s="308">
        <v>0</v>
      </c>
      <c r="S293" s="34">
        <f t="shared" si="168"/>
        <v>0</v>
      </c>
      <c r="T293" s="34">
        <v>0</v>
      </c>
      <c r="U293" s="34">
        <v>42054838</v>
      </c>
      <c r="V293" s="34">
        <f>P293+Q293+R293+T293+U293</f>
        <v>42054838</v>
      </c>
      <c r="W293" s="34">
        <f>O293-V293</f>
        <v>0</v>
      </c>
      <c r="X293" s="34">
        <f>M293-(N293+O293)</f>
        <v>378595162</v>
      </c>
      <c r="Y293" s="48" t="s">
        <v>239</v>
      </c>
      <c r="Z293" s="48" t="s">
        <v>10</v>
      </c>
      <c r="AA293" s="2" t="e">
        <v>#N/A</v>
      </c>
      <c r="AB293" s="2" t="e">
        <f>VLOOKUP(H293,#REF!,2,FALSE)</f>
        <v>#REF!</v>
      </c>
      <c r="AD293" s="2" t="e">
        <f>VLOOKUP(H293,#REF!,13,FALSE)</f>
        <v>#REF!</v>
      </c>
      <c r="AE293" s="2" t="e">
        <f>VLOOKUP(I293,#REF!,7,FALSE)</f>
        <v>#REF!</v>
      </c>
      <c r="AG293" s="2" t="e">
        <f>VLOOKUP(H293,#REF!,13,FALSE)</f>
        <v>#REF!</v>
      </c>
      <c r="AH293" s="2" t="e">
        <f>VLOOKUP(I293,#REF!,2,FALSE)</f>
        <v>#REF!</v>
      </c>
      <c r="AJ293" s="185" t="e">
        <f>VLOOKUP(H293,#REF!,3,FALSE)</f>
        <v>#REF!</v>
      </c>
      <c r="AK293" s="185"/>
      <c r="AL293" s="185" t="e">
        <f>VLOOKUP(H293,#REF!,13,FALSE)</f>
        <v>#REF!</v>
      </c>
      <c r="AM293" s="185" t="e">
        <f>VLOOKUP(CLEAN(H293),#REF!,7,FALSE)</f>
        <v>#REF!</v>
      </c>
      <c r="AN293" s="2" t="e">
        <f>VLOOKUP(H293,#REF!,8,FALSE)</f>
        <v>#REF!</v>
      </c>
      <c r="AO293" s="189" t="e">
        <f>VLOOKUP(H293,#REF!,2,FALSE)</f>
        <v>#REF!</v>
      </c>
      <c r="AP293" s="189" t="e">
        <f>VLOOKUP(H293,#REF!,2,FALSE)</f>
        <v>#REF!</v>
      </c>
      <c r="AQ293" s="189"/>
      <c r="AR293" s="2" t="e">
        <f>VLOOKUP(CLEAN(H293),#REF!,2,FALSE)</f>
        <v>#REF!</v>
      </c>
      <c r="AT293" s="2" t="e">
        <f>VLOOKUP(H293,#REF!,13,FALSE)</f>
        <v>#REF!</v>
      </c>
      <c r="AU293" s="2" t="e">
        <f>VLOOKUP(H293,#REF!,13,FALSE)</f>
        <v>#REF!</v>
      </c>
      <c r="AV293" s="2" t="e">
        <f>VLOOKUP(H293,#REF!,13,FALSE)</f>
        <v>#REF!</v>
      </c>
      <c r="AW293" s="2" t="e">
        <f>VLOOKUP(H293,#REF!,13,FALSE)</f>
        <v>#REF!</v>
      </c>
      <c r="AX293" s="2" t="e">
        <f>VLOOKUP(H293,#REF!,9,FALSE)</f>
        <v>#REF!</v>
      </c>
      <c r="AY293" s="2" t="e">
        <f>VLOOKUP(H293,#REF!,2,FALSE)</f>
        <v>#REF!</v>
      </c>
      <c r="AZ293" s="189" t="e">
        <f>VLOOKUP(H293,#REF!,2,FALSE)</f>
        <v>#REF!</v>
      </c>
      <c r="BF293" s="189" t="e">
        <f>VLOOKUP(CLEAN(H293),#REF!,2,FALSE)</f>
        <v>#REF!</v>
      </c>
      <c r="BG293" s="189" t="e">
        <f>T293-BF293</f>
        <v>#REF!</v>
      </c>
      <c r="BO293" s="2" t="e">
        <f>VLOOKUP(H293,#REF!,13,FALSE)</f>
        <v>#REF!</v>
      </c>
      <c r="BP293" s="2" t="e">
        <f>VLOOKUP(H293,#REF!,2,FALSE)</f>
        <v>#REF!</v>
      </c>
      <c r="BQ293" s="2" t="e">
        <f>VLOOKUP(H293,#REF!,13,FALSE)</f>
        <v>#REF!</v>
      </c>
      <c r="BR293" s="2" t="e">
        <f>VLOOKUP(H293,#REF!,3,FALSE)</f>
        <v>#REF!</v>
      </c>
    </row>
    <row r="294" spans="1:70" s="2" customFormat="1" ht="15" customHeight="1" outlineLevel="2">
      <c r="A294" s="5">
        <v>24</v>
      </c>
      <c r="B294" s="5" t="s">
        <v>11</v>
      </c>
      <c r="C294" s="5" t="s">
        <v>576</v>
      </c>
      <c r="D294" s="5" t="s">
        <v>22</v>
      </c>
      <c r="E294" s="5" t="s">
        <v>25</v>
      </c>
      <c r="F294" s="5" t="s">
        <v>75</v>
      </c>
      <c r="G294" s="5" t="s">
        <v>144</v>
      </c>
      <c r="H294" s="12">
        <v>40005022</v>
      </c>
      <c r="I294" s="42" t="str">
        <f t="shared" ref="I294" si="169">CONCATENATE(H294,"-",G294)</f>
        <v>40005022-EJECUCION</v>
      </c>
      <c r="J294" s="12"/>
      <c r="K294" s="307"/>
      <c r="L294" s="15" t="s">
        <v>1001</v>
      </c>
      <c r="M294" s="23">
        <v>49762122</v>
      </c>
      <c r="N294" s="34">
        <v>0</v>
      </c>
      <c r="O294" s="34">
        <v>49762122</v>
      </c>
      <c r="P294" s="310"/>
      <c r="Q294" s="34"/>
      <c r="R294" s="308"/>
      <c r="S294" s="34">
        <f t="shared" si="168"/>
        <v>0</v>
      </c>
      <c r="T294" s="34">
        <v>0</v>
      </c>
      <c r="U294" s="34">
        <v>49762122</v>
      </c>
      <c r="V294" s="34">
        <f>P294+Q294+R294+T294+U294</f>
        <v>49762122</v>
      </c>
      <c r="W294" s="34">
        <f>O294-V294</f>
        <v>0</v>
      </c>
      <c r="X294" s="34">
        <f>M294-(N294+O294)</f>
        <v>0</v>
      </c>
      <c r="Y294" s="48" t="s">
        <v>239</v>
      </c>
      <c r="Z294" s="48" t="s">
        <v>10</v>
      </c>
      <c r="AO294" s="189"/>
      <c r="AP294" s="189"/>
      <c r="AQ294" s="189"/>
      <c r="AZ294" s="189"/>
      <c r="BF294" s="189"/>
      <c r="BG294" s="189"/>
    </row>
    <row r="295" spans="1:70" s="2" customFormat="1" ht="15" customHeight="1" outlineLevel="2">
      <c r="A295" s="7"/>
      <c r="B295" s="7"/>
      <c r="C295" s="7"/>
      <c r="D295" s="7"/>
      <c r="E295" s="7"/>
      <c r="F295" s="7"/>
      <c r="G295" s="7"/>
      <c r="H295" s="11"/>
      <c r="I295" s="14"/>
      <c r="J295" s="14"/>
      <c r="K295" s="14"/>
      <c r="L295" s="17" t="s">
        <v>694</v>
      </c>
      <c r="M295" s="27">
        <f>SUBTOTAL(9,M292:M294)</f>
        <v>585918620</v>
      </c>
      <c r="N295" s="27">
        <f t="shared" ref="N295:X295" si="170">SUBTOTAL(9,N292:N294)</f>
        <v>0</v>
      </c>
      <c r="O295" s="27">
        <f t="shared" si="170"/>
        <v>207323458</v>
      </c>
      <c r="P295" s="27">
        <f t="shared" si="170"/>
        <v>0</v>
      </c>
      <c r="Q295" s="27">
        <f t="shared" si="170"/>
        <v>0</v>
      </c>
      <c r="R295" s="27">
        <f t="shared" si="170"/>
        <v>0</v>
      </c>
      <c r="S295" s="27">
        <f t="shared" si="170"/>
        <v>0</v>
      </c>
      <c r="T295" s="27">
        <f t="shared" si="170"/>
        <v>115506498</v>
      </c>
      <c r="U295" s="27">
        <f t="shared" si="170"/>
        <v>91816960</v>
      </c>
      <c r="V295" s="27">
        <f t="shared" si="170"/>
        <v>207323458</v>
      </c>
      <c r="W295" s="27">
        <f t="shared" si="170"/>
        <v>0</v>
      </c>
      <c r="X295" s="27">
        <f t="shared" si="170"/>
        <v>378595162</v>
      </c>
      <c r="Y295" s="50"/>
      <c r="Z295" s="50"/>
      <c r="BF295" s="189"/>
      <c r="BO295" s="2" t="e">
        <f>VLOOKUP(H295,#REF!,13,FALSE)</f>
        <v>#REF!</v>
      </c>
      <c r="BQ295" s="2" t="e">
        <f>VLOOKUP(H295,#REF!,13,FALSE)</f>
        <v>#REF!</v>
      </c>
    </row>
    <row r="296" spans="1:70" ht="15" customHeight="1" outlineLevel="2">
      <c r="A296" s="7"/>
      <c r="B296" s="7"/>
      <c r="C296" s="7"/>
      <c r="D296" s="7"/>
      <c r="E296" s="7"/>
      <c r="F296" s="7"/>
      <c r="G296" s="7"/>
      <c r="H296" s="11"/>
      <c r="I296" s="11"/>
      <c r="J296" s="11"/>
      <c r="K296" s="11"/>
      <c r="L296" s="292"/>
      <c r="M296" s="22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47"/>
      <c r="Z296" s="47"/>
      <c r="AM296" s="185" t="e">
        <f>VLOOKUP(CLEAN(H296),#REF!,7,FALSE)</f>
        <v>#REF!</v>
      </c>
      <c r="AO296"/>
      <c r="AP296"/>
      <c r="AQ296"/>
      <c r="AR296" s="2" t="e">
        <f>VLOOKUP(CLEAN(H296),#REF!,2,FALSE)</f>
        <v>#REF!</v>
      </c>
      <c r="AZ296" s="2" t="e">
        <f>VLOOKUP(H296,#REF!,2,FALSE)</f>
        <v>#REF!</v>
      </c>
      <c r="BO296" s="2" t="e">
        <f>VLOOKUP(H296,#REF!,13,FALSE)</f>
        <v>#REF!</v>
      </c>
      <c r="BP296" s="293"/>
      <c r="BQ296" s="2" t="e">
        <f>VLOOKUP(H296,#REF!,13,FALSE)</f>
        <v>#REF!</v>
      </c>
    </row>
    <row r="297" spans="1:70" ht="15" customHeight="1" outlineLevel="2">
      <c r="A297" s="7"/>
      <c r="B297" s="7"/>
      <c r="C297" s="7"/>
      <c r="D297" s="7"/>
      <c r="E297" s="7"/>
      <c r="F297" s="7"/>
      <c r="G297" s="7"/>
      <c r="H297" s="11"/>
      <c r="I297" s="11"/>
      <c r="J297" s="11"/>
      <c r="K297" s="11"/>
      <c r="L297" s="18" t="s">
        <v>696</v>
      </c>
      <c r="M297" s="22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47"/>
      <c r="Z297" s="47"/>
      <c r="AO297"/>
      <c r="AP297"/>
      <c r="AQ297"/>
      <c r="AR297" s="2" t="e">
        <f>VLOOKUP(CLEAN(H297),#REF!,2,FALSE)</f>
        <v>#REF!</v>
      </c>
      <c r="AZ297" s="2" t="e">
        <f>VLOOKUP(H297,#REF!,2,FALSE)</f>
        <v>#REF!</v>
      </c>
      <c r="BO297" s="2" t="e">
        <f>VLOOKUP(H297,#REF!,13,FALSE)</f>
        <v>#REF!</v>
      </c>
      <c r="BQ297" s="2" t="e">
        <f>VLOOKUP(H297,#REF!,13,FALSE)</f>
        <v>#REF!</v>
      </c>
    </row>
    <row r="298" spans="1:70" s="2" customFormat="1" ht="15" customHeight="1" outlineLevel="2">
      <c r="A298" s="5">
        <v>31</v>
      </c>
      <c r="B298" s="5" t="s">
        <v>11</v>
      </c>
      <c r="C298" s="5" t="s">
        <v>241</v>
      </c>
      <c r="D298" s="5" t="s">
        <v>22</v>
      </c>
      <c r="E298" s="5" t="s">
        <v>25</v>
      </c>
      <c r="F298" s="5" t="s">
        <v>89</v>
      </c>
      <c r="G298" s="5" t="s">
        <v>144</v>
      </c>
      <c r="H298" s="12">
        <v>30459455</v>
      </c>
      <c r="I298" s="42" t="str">
        <f t="shared" ref="I298:I301" si="171">CONCATENATE(H298,"-",G298)</f>
        <v>30459455-EJECUCION</v>
      </c>
      <c r="J298" s="12"/>
      <c r="K298" s="307" t="str">
        <f t="shared" ref="K298:K301" si="172">CLEAN(H298)</f>
        <v>30459455</v>
      </c>
      <c r="L298" s="15" t="s">
        <v>838</v>
      </c>
      <c r="M298" s="23">
        <v>305031000</v>
      </c>
      <c r="N298" s="34">
        <v>0</v>
      </c>
      <c r="O298" s="34">
        <f>50000000-39762122</f>
        <v>10237878</v>
      </c>
      <c r="P298" s="310">
        <v>0</v>
      </c>
      <c r="Q298" s="34">
        <v>0</v>
      </c>
      <c r="R298" s="308">
        <v>0</v>
      </c>
      <c r="S298" s="34">
        <f t="shared" ref="S298:S301" si="173">P298+Q298+R298</f>
        <v>0</v>
      </c>
      <c r="T298" s="34">
        <v>0</v>
      </c>
      <c r="U298" s="34">
        <v>0</v>
      </c>
      <c r="V298" s="34">
        <f>P298+Q298+R298+T298+U298</f>
        <v>0</v>
      </c>
      <c r="W298" s="34">
        <f>O298-V298</f>
        <v>10237878</v>
      </c>
      <c r="X298" s="34">
        <f>M298-(N298+O298)</f>
        <v>294793122</v>
      </c>
      <c r="Y298" s="48" t="s">
        <v>356</v>
      </c>
      <c r="Z298" s="48" t="s">
        <v>10</v>
      </c>
      <c r="AA298" s="2" t="e">
        <v>#N/A</v>
      </c>
      <c r="AB298" s="2" t="e">
        <f>VLOOKUP(H298,#REF!,2,FALSE)</f>
        <v>#REF!</v>
      </c>
      <c r="AC298" s="2" t="e">
        <f>VLOOKUP(I298,#REF!,2,FALSE)</f>
        <v>#REF!</v>
      </c>
      <c r="AD298" s="2" t="e">
        <f>VLOOKUP(H298,#REF!,13,FALSE)</f>
        <v>#REF!</v>
      </c>
      <c r="AE298" s="2" t="e">
        <f>VLOOKUP(I298,#REF!,7,FALSE)</f>
        <v>#REF!</v>
      </c>
      <c r="AG298" s="2" t="e">
        <f>VLOOKUP(H298,#REF!,13,FALSE)</f>
        <v>#REF!</v>
      </c>
      <c r="AH298" s="2" t="e">
        <f>VLOOKUP(I298,#REF!,2,FALSE)</f>
        <v>#REF!</v>
      </c>
      <c r="AJ298" s="185" t="e">
        <f>VLOOKUP(H298,#REF!,3,FALSE)</f>
        <v>#REF!</v>
      </c>
      <c r="AK298" s="185"/>
      <c r="AL298" s="185" t="e">
        <f>VLOOKUP(H298,#REF!,13,FALSE)</f>
        <v>#REF!</v>
      </c>
      <c r="AM298" s="185" t="e">
        <f>VLOOKUP(CLEAN(H298),#REF!,7,FALSE)</f>
        <v>#REF!</v>
      </c>
      <c r="AN298" s="2" t="e">
        <f>VLOOKUP(H298,#REF!,8,FALSE)</f>
        <v>#REF!</v>
      </c>
      <c r="AO298" s="189" t="e">
        <f>VLOOKUP(H298,#REF!,2,FALSE)</f>
        <v>#REF!</v>
      </c>
      <c r="AP298" s="189" t="e">
        <f>VLOOKUP(H298,#REF!,2,FALSE)</f>
        <v>#REF!</v>
      </c>
      <c r="AQ298" s="189"/>
      <c r="AR298" s="2" t="e">
        <f>VLOOKUP(CLEAN(H298),#REF!,2,FALSE)</f>
        <v>#REF!</v>
      </c>
      <c r="AT298" s="2" t="e">
        <f>VLOOKUP(H298,#REF!,13,FALSE)</f>
        <v>#REF!</v>
      </c>
      <c r="AU298" s="2" t="e">
        <f>VLOOKUP(H298,#REF!,13,FALSE)</f>
        <v>#REF!</v>
      </c>
      <c r="AV298" s="2" t="e">
        <f>VLOOKUP(H298,#REF!,13,FALSE)</f>
        <v>#REF!</v>
      </c>
      <c r="AW298" s="2" t="e">
        <f>VLOOKUP(H298,#REF!,13,FALSE)</f>
        <v>#REF!</v>
      </c>
      <c r="AX298" s="2" t="e">
        <f>VLOOKUP(H298,#REF!,9,FALSE)</f>
        <v>#REF!</v>
      </c>
      <c r="AZ298" s="2" t="e">
        <f>VLOOKUP(H298,#REF!,2,FALSE)</f>
        <v>#REF!</v>
      </c>
      <c r="BF298" s="189" t="e">
        <f>VLOOKUP(CLEAN(H298),#REF!,2,FALSE)</f>
        <v>#REF!</v>
      </c>
      <c r="BG298" s="189" t="e">
        <f>T298-BF298</f>
        <v>#REF!</v>
      </c>
      <c r="BO298" s="2" t="e">
        <f>VLOOKUP(H298,#REF!,13,FALSE)</f>
        <v>#REF!</v>
      </c>
      <c r="BP298" s="2" t="e">
        <f>VLOOKUP(H298,#REF!,2,FALSE)</f>
        <v>#REF!</v>
      </c>
      <c r="BQ298" s="2" t="e">
        <f>VLOOKUP(H298,#REF!,13,FALSE)</f>
        <v>#REF!</v>
      </c>
      <c r="BR298" s="2" t="e">
        <f>VLOOKUP(H298,#REF!,3,FALSE)</f>
        <v>#REF!</v>
      </c>
    </row>
    <row r="299" spans="1:70" s="2" customFormat="1" ht="15" customHeight="1" outlineLevel="2">
      <c r="A299" s="5">
        <v>31</v>
      </c>
      <c r="B299" s="5" t="s">
        <v>11</v>
      </c>
      <c r="C299" s="5" t="s">
        <v>248</v>
      </c>
      <c r="D299" s="5" t="s">
        <v>22</v>
      </c>
      <c r="E299" s="5" t="s">
        <v>25</v>
      </c>
      <c r="F299" s="5" t="s">
        <v>77</v>
      </c>
      <c r="G299" s="5" t="s">
        <v>144</v>
      </c>
      <c r="H299" s="12">
        <v>30116480</v>
      </c>
      <c r="I299" s="42" t="str">
        <f t="shared" si="171"/>
        <v>30116480-EJECUCION</v>
      </c>
      <c r="J299" s="12"/>
      <c r="K299" s="307" t="str">
        <f t="shared" si="172"/>
        <v>30116480</v>
      </c>
      <c r="L299" s="15" t="s">
        <v>831</v>
      </c>
      <c r="M299" s="23">
        <v>167764000</v>
      </c>
      <c r="N299" s="34">
        <v>0</v>
      </c>
      <c r="O299" s="34">
        <v>5000000</v>
      </c>
      <c r="P299" s="310">
        <v>0</v>
      </c>
      <c r="Q299" s="34">
        <v>0</v>
      </c>
      <c r="R299" s="308">
        <v>0</v>
      </c>
      <c r="S299" s="34">
        <f t="shared" si="173"/>
        <v>0</v>
      </c>
      <c r="T299" s="34">
        <v>0</v>
      </c>
      <c r="U299" s="34">
        <v>0</v>
      </c>
      <c r="V299" s="34">
        <f>P299+Q299+R299+T299+U299</f>
        <v>0</v>
      </c>
      <c r="W299" s="34">
        <f>O299-V299</f>
        <v>5000000</v>
      </c>
      <c r="X299" s="34">
        <f>M299-(N299+O299)</f>
        <v>162764000</v>
      </c>
      <c r="Y299" s="48" t="s">
        <v>246</v>
      </c>
      <c r="Z299" s="48" t="s">
        <v>357</v>
      </c>
      <c r="AA299" s="2" t="e">
        <v>#N/A</v>
      </c>
      <c r="AB299" s="2" t="e">
        <f>VLOOKUP(H299,#REF!,2,FALSE)</f>
        <v>#REF!</v>
      </c>
      <c r="AC299" s="2" t="e">
        <f>VLOOKUP(I299,#REF!,2,FALSE)</f>
        <v>#REF!</v>
      </c>
      <c r="AD299" s="2" t="e">
        <f>VLOOKUP(H299,#REF!,13,FALSE)</f>
        <v>#REF!</v>
      </c>
      <c r="AE299" s="2" t="e">
        <f>VLOOKUP(I299,#REF!,7,FALSE)</f>
        <v>#REF!</v>
      </c>
      <c r="AG299" s="2" t="e">
        <f>VLOOKUP(H299,#REF!,13,FALSE)</f>
        <v>#REF!</v>
      </c>
      <c r="AH299" s="2" t="e">
        <f>VLOOKUP(I299,#REF!,2,FALSE)</f>
        <v>#REF!</v>
      </c>
      <c r="AJ299" s="185" t="e">
        <f>VLOOKUP(H299,#REF!,3,FALSE)</f>
        <v>#REF!</v>
      </c>
      <c r="AK299" s="185"/>
      <c r="AL299" s="185" t="e">
        <f>VLOOKUP(H299,#REF!,13,FALSE)</f>
        <v>#REF!</v>
      </c>
      <c r="AM299" s="185" t="e">
        <f>VLOOKUP(CLEAN(H299),#REF!,7,FALSE)</f>
        <v>#REF!</v>
      </c>
      <c r="AN299" s="2" t="e">
        <f>VLOOKUP(H299,#REF!,8,FALSE)</f>
        <v>#REF!</v>
      </c>
      <c r="AO299" s="189" t="e">
        <f>VLOOKUP(H299,#REF!,2,FALSE)</f>
        <v>#REF!</v>
      </c>
      <c r="AP299" s="189" t="e">
        <f>VLOOKUP(H299,#REF!,2,FALSE)</f>
        <v>#REF!</v>
      </c>
      <c r="AQ299" s="189"/>
      <c r="AR299" s="2" t="e">
        <f>VLOOKUP(CLEAN(H299),#REF!,2,FALSE)</f>
        <v>#REF!</v>
      </c>
      <c r="AT299" s="2" t="e">
        <f>VLOOKUP(H299,#REF!,13,FALSE)</f>
        <v>#REF!</v>
      </c>
      <c r="AU299" s="2" t="e">
        <f>VLOOKUP(H299,#REF!,13,FALSE)</f>
        <v>#REF!</v>
      </c>
      <c r="AV299" s="2" t="e">
        <f>VLOOKUP(H299,#REF!,13,FALSE)</f>
        <v>#REF!</v>
      </c>
      <c r="AW299" s="2" t="e">
        <f>VLOOKUP(H299,#REF!,13,FALSE)</f>
        <v>#REF!</v>
      </c>
      <c r="AX299" s="2" t="e">
        <f>VLOOKUP(H299,#REF!,9,FALSE)</f>
        <v>#REF!</v>
      </c>
      <c r="AZ299" s="2" t="e">
        <f>VLOOKUP(H299,#REF!,2,FALSE)</f>
        <v>#REF!</v>
      </c>
      <c r="BF299" s="189" t="e">
        <f>VLOOKUP(CLEAN(H299),#REF!,2,FALSE)</f>
        <v>#REF!</v>
      </c>
      <c r="BG299" s="189" t="e">
        <f>T299-BF299</f>
        <v>#REF!</v>
      </c>
      <c r="BO299" s="2" t="e">
        <f>VLOOKUP(H299,#REF!,13,FALSE)</f>
        <v>#REF!</v>
      </c>
      <c r="BP299" s="2" t="e">
        <f>VLOOKUP(H299,#REF!,2,FALSE)</f>
        <v>#REF!</v>
      </c>
      <c r="BQ299" s="2" t="e">
        <f>VLOOKUP(H299,#REF!,13,FALSE)</f>
        <v>#REF!</v>
      </c>
      <c r="BR299" s="2" t="e">
        <f>VLOOKUP(H299,#REF!,3,FALSE)</f>
        <v>#REF!</v>
      </c>
    </row>
    <row r="300" spans="1:70" s="2" customFormat="1" ht="15" customHeight="1" outlineLevel="2">
      <c r="A300" s="5">
        <v>31</v>
      </c>
      <c r="B300" s="5" t="s">
        <v>11</v>
      </c>
      <c r="C300" s="5" t="s">
        <v>252</v>
      </c>
      <c r="D300" s="5" t="s">
        <v>22</v>
      </c>
      <c r="E300" s="5" t="s">
        <v>25</v>
      </c>
      <c r="F300" s="5" t="s">
        <v>77</v>
      </c>
      <c r="G300" s="5" t="s">
        <v>144</v>
      </c>
      <c r="H300" s="12">
        <v>30328273</v>
      </c>
      <c r="I300" s="42" t="str">
        <f t="shared" si="171"/>
        <v>30328273-EJECUCION</v>
      </c>
      <c r="J300" s="12"/>
      <c r="K300" s="307" t="str">
        <f t="shared" si="172"/>
        <v>30328273</v>
      </c>
      <c r="L300" s="15" t="s">
        <v>398</v>
      </c>
      <c r="M300" s="23">
        <v>100500000</v>
      </c>
      <c r="N300" s="34">
        <v>0</v>
      </c>
      <c r="O300" s="34">
        <v>5000000</v>
      </c>
      <c r="P300" s="310">
        <v>0</v>
      </c>
      <c r="Q300" s="34">
        <v>0</v>
      </c>
      <c r="R300" s="308">
        <v>0</v>
      </c>
      <c r="S300" s="34">
        <f t="shared" si="173"/>
        <v>0</v>
      </c>
      <c r="T300" s="34">
        <v>0</v>
      </c>
      <c r="U300" s="34">
        <v>0</v>
      </c>
      <c r="V300" s="34">
        <f>P300+Q300+R300+T300+U300</f>
        <v>0</v>
      </c>
      <c r="W300" s="34">
        <f>O300-V300</f>
        <v>5000000</v>
      </c>
      <c r="X300" s="34">
        <f>M300-(N300+O300)</f>
        <v>95500000</v>
      </c>
      <c r="Y300" s="48" t="s">
        <v>246</v>
      </c>
      <c r="Z300" s="48" t="s">
        <v>357</v>
      </c>
      <c r="AA300" s="2" t="e">
        <v>#N/A</v>
      </c>
      <c r="AB300" s="2" t="e">
        <f>VLOOKUP(H300,#REF!,2,FALSE)</f>
        <v>#REF!</v>
      </c>
      <c r="AC300" s="2" t="e">
        <f>VLOOKUP(I300,#REF!,2,FALSE)</f>
        <v>#REF!</v>
      </c>
      <c r="AD300" s="2" t="e">
        <f>VLOOKUP(H300,#REF!,13,FALSE)</f>
        <v>#REF!</v>
      </c>
      <c r="AE300" s="2" t="e">
        <f>VLOOKUP(I300,#REF!,7,FALSE)</f>
        <v>#REF!</v>
      </c>
      <c r="AG300" s="2" t="e">
        <f>VLOOKUP(H300,#REF!,13,FALSE)</f>
        <v>#REF!</v>
      </c>
      <c r="AH300" s="2" t="e">
        <f>VLOOKUP(I300,#REF!,2,FALSE)</f>
        <v>#REF!</v>
      </c>
      <c r="AJ300" s="185" t="e">
        <f>VLOOKUP(H300,#REF!,3,FALSE)</f>
        <v>#REF!</v>
      </c>
      <c r="AK300" s="185"/>
      <c r="AL300" s="185" t="e">
        <f>VLOOKUP(H300,#REF!,13,FALSE)</f>
        <v>#REF!</v>
      </c>
      <c r="AM300" s="185" t="e">
        <f>VLOOKUP(CLEAN(H300),#REF!,7,FALSE)</f>
        <v>#REF!</v>
      </c>
      <c r="AN300" s="2" t="e">
        <f>VLOOKUP(H300,#REF!,8,FALSE)</f>
        <v>#REF!</v>
      </c>
      <c r="AO300" s="189" t="e">
        <f>VLOOKUP(H300,#REF!,2,FALSE)</f>
        <v>#REF!</v>
      </c>
      <c r="AP300" s="189" t="e">
        <f>VLOOKUP(H300,#REF!,2,FALSE)</f>
        <v>#REF!</v>
      </c>
      <c r="AQ300" s="189"/>
      <c r="AR300" s="2" t="e">
        <f>VLOOKUP(CLEAN(H300),#REF!,2,FALSE)</f>
        <v>#REF!</v>
      </c>
      <c r="AT300" s="2" t="e">
        <f>VLOOKUP(H300,#REF!,13,FALSE)</f>
        <v>#REF!</v>
      </c>
      <c r="AU300" s="2" t="e">
        <f>VLOOKUP(H300,#REF!,13,FALSE)</f>
        <v>#REF!</v>
      </c>
      <c r="AV300" s="2" t="e">
        <f>VLOOKUP(H300,#REF!,13,FALSE)</f>
        <v>#REF!</v>
      </c>
      <c r="AW300" s="2" t="e">
        <f>VLOOKUP(H300,#REF!,13,FALSE)</f>
        <v>#REF!</v>
      </c>
      <c r="AX300" s="2" t="e">
        <f>VLOOKUP(H300,#REF!,9,FALSE)</f>
        <v>#REF!</v>
      </c>
      <c r="AZ300" s="2" t="e">
        <f>VLOOKUP(H300,#REF!,2,FALSE)</f>
        <v>#REF!</v>
      </c>
      <c r="BF300" s="189" t="e">
        <f>VLOOKUP(CLEAN(H300),#REF!,2,FALSE)</f>
        <v>#REF!</v>
      </c>
      <c r="BG300" s="189" t="e">
        <f>T300-BF300</f>
        <v>#REF!</v>
      </c>
      <c r="BO300" s="2" t="e">
        <f>VLOOKUP(H300,#REF!,13,FALSE)</f>
        <v>#REF!</v>
      </c>
      <c r="BP300" s="2" t="e">
        <f>VLOOKUP(H300,#REF!,2,FALSE)</f>
        <v>#REF!</v>
      </c>
      <c r="BQ300" s="2" t="e">
        <f>VLOOKUP(H300,#REF!,13,FALSE)</f>
        <v>#REF!</v>
      </c>
      <c r="BR300" s="2" t="e">
        <f>VLOOKUP(H300,#REF!,3,FALSE)</f>
        <v>#REF!</v>
      </c>
    </row>
    <row r="301" spans="1:70" s="2" customFormat="1" ht="15" customHeight="1" outlineLevel="2">
      <c r="A301" s="5">
        <v>31</v>
      </c>
      <c r="B301" s="5" t="s">
        <v>11</v>
      </c>
      <c r="C301" s="5" t="s">
        <v>248</v>
      </c>
      <c r="D301" s="5" t="s">
        <v>22</v>
      </c>
      <c r="E301" s="5" t="s">
        <v>25</v>
      </c>
      <c r="F301" s="5" t="s">
        <v>77</v>
      </c>
      <c r="G301" s="5" t="s">
        <v>9</v>
      </c>
      <c r="H301" s="12">
        <v>30474433</v>
      </c>
      <c r="I301" s="42" t="str">
        <f t="shared" si="171"/>
        <v>30474433-DISEÑO</v>
      </c>
      <c r="J301" s="12"/>
      <c r="K301" s="307" t="str">
        <f t="shared" si="172"/>
        <v>30474433</v>
      </c>
      <c r="L301" s="15" t="s">
        <v>823</v>
      </c>
      <c r="M301" s="23">
        <v>33856000</v>
      </c>
      <c r="N301" s="34">
        <v>0</v>
      </c>
      <c r="O301" s="34">
        <v>3385600</v>
      </c>
      <c r="P301" s="310">
        <v>0</v>
      </c>
      <c r="Q301" s="34">
        <v>0</v>
      </c>
      <c r="R301" s="308">
        <v>0</v>
      </c>
      <c r="S301" s="34">
        <f t="shared" si="173"/>
        <v>0</v>
      </c>
      <c r="T301" s="34">
        <v>0</v>
      </c>
      <c r="U301" s="34">
        <v>0</v>
      </c>
      <c r="V301" s="34">
        <f>P301+Q301+R301+T301+U301</f>
        <v>0</v>
      </c>
      <c r="W301" s="34">
        <f>O301-V301</f>
        <v>3385600</v>
      </c>
      <c r="X301" s="34">
        <f>M301-(N301+O301)</f>
        <v>30470400</v>
      </c>
      <c r="Y301" s="48" t="s">
        <v>246</v>
      </c>
      <c r="Z301" s="48" t="s">
        <v>357</v>
      </c>
      <c r="AA301" s="2" t="e">
        <v>#N/A</v>
      </c>
      <c r="AB301" s="2" t="e">
        <f>VLOOKUP(H301,#REF!,2,FALSE)</f>
        <v>#REF!</v>
      </c>
      <c r="AC301" s="2" t="e">
        <f>VLOOKUP(I301,#REF!,2,FALSE)</f>
        <v>#REF!</v>
      </c>
      <c r="AD301" s="2" t="e">
        <f>VLOOKUP(H301,#REF!,13,FALSE)</f>
        <v>#REF!</v>
      </c>
      <c r="AE301" s="2" t="e">
        <f>VLOOKUP(I301,#REF!,7,FALSE)</f>
        <v>#REF!</v>
      </c>
      <c r="AG301" s="2" t="e">
        <f>VLOOKUP(H301,#REF!,13,FALSE)</f>
        <v>#REF!</v>
      </c>
      <c r="AH301" s="2" t="e">
        <f>VLOOKUP(I301,#REF!,2,FALSE)</f>
        <v>#REF!</v>
      </c>
      <c r="AJ301" s="185" t="e">
        <f>VLOOKUP(H301,#REF!,3,FALSE)</f>
        <v>#REF!</v>
      </c>
      <c r="AK301" s="185"/>
      <c r="AL301" s="185" t="e">
        <f>VLOOKUP(H301,#REF!,13,FALSE)</f>
        <v>#REF!</v>
      </c>
      <c r="AM301" s="185" t="e">
        <f>VLOOKUP(CLEAN(H301),#REF!,7,FALSE)</f>
        <v>#REF!</v>
      </c>
      <c r="AN301" s="2" t="e">
        <f>VLOOKUP(H301,#REF!,8,FALSE)</f>
        <v>#REF!</v>
      </c>
      <c r="AO301" s="189" t="e">
        <f>VLOOKUP(H301,#REF!,2,FALSE)</f>
        <v>#REF!</v>
      </c>
      <c r="AP301" s="189" t="e">
        <f>VLOOKUP(H301,#REF!,2,FALSE)</f>
        <v>#REF!</v>
      </c>
      <c r="AQ301" s="189"/>
      <c r="AR301" s="2" t="e">
        <f>VLOOKUP(CLEAN(H301),#REF!,2,FALSE)</f>
        <v>#REF!</v>
      </c>
      <c r="AT301" s="2" t="e">
        <f>VLOOKUP(H301,#REF!,13,FALSE)</f>
        <v>#REF!</v>
      </c>
      <c r="AU301" s="2" t="e">
        <f>VLOOKUP(H301,#REF!,13,FALSE)</f>
        <v>#REF!</v>
      </c>
      <c r="AV301" s="2" t="e">
        <f>VLOOKUP(H301,#REF!,13,FALSE)</f>
        <v>#REF!</v>
      </c>
      <c r="AW301" s="2" t="e">
        <f>VLOOKUP(H301,#REF!,13,FALSE)</f>
        <v>#REF!</v>
      </c>
      <c r="AX301" s="2" t="e">
        <f>VLOOKUP(H301,#REF!,9,FALSE)</f>
        <v>#REF!</v>
      </c>
      <c r="AZ301" s="2" t="e">
        <f>VLOOKUP(H301,#REF!,2,FALSE)</f>
        <v>#REF!</v>
      </c>
      <c r="BF301" s="189" t="e">
        <f>VLOOKUP(CLEAN(H301),#REF!,2,FALSE)</f>
        <v>#REF!</v>
      </c>
      <c r="BG301" s="189" t="e">
        <f>T301-BF301</f>
        <v>#REF!</v>
      </c>
      <c r="BO301" s="2" t="e">
        <f>VLOOKUP(H301,#REF!,13,FALSE)</f>
        <v>#REF!</v>
      </c>
      <c r="BP301" s="2" t="e">
        <f>VLOOKUP(H301,#REF!,2,FALSE)</f>
        <v>#REF!</v>
      </c>
      <c r="BQ301" s="2" t="e">
        <f>VLOOKUP(H301,#REF!,13,FALSE)</f>
        <v>#REF!</v>
      </c>
      <c r="BR301" s="2" t="e">
        <f>VLOOKUP(H301,#REF!,3,FALSE)</f>
        <v>#REF!</v>
      </c>
    </row>
    <row r="302" spans="1:70" ht="15" customHeight="1" outlineLevel="2">
      <c r="A302" s="7"/>
      <c r="B302" s="7"/>
      <c r="C302" s="7"/>
      <c r="D302" s="7"/>
      <c r="E302" s="7"/>
      <c r="F302" s="7"/>
      <c r="G302" s="7"/>
      <c r="H302" s="11"/>
      <c r="I302" s="11"/>
      <c r="J302" s="11"/>
      <c r="K302" s="11"/>
      <c r="L302" s="17" t="s">
        <v>693</v>
      </c>
      <c r="M302" s="27">
        <f t="shared" ref="M302:X302" si="174">SUBTOTAL(9,M298:M301)</f>
        <v>607151000</v>
      </c>
      <c r="N302" s="27">
        <f t="shared" si="174"/>
        <v>0</v>
      </c>
      <c r="O302" s="27">
        <f t="shared" si="174"/>
        <v>23623478</v>
      </c>
      <c r="P302" s="24">
        <f t="shared" si="174"/>
        <v>0</v>
      </c>
      <c r="Q302" s="24">
        <f t="shared" si="174"/>
        <v>0</v>
      </c>
      <c r="R302" s="24">
        <f t="shared" si="174"/>
        <v>0</v>
      </c>
      <c r="S302" s="27">
        <f t="shared" si="174"/>
        <v>0</v>
      </c>
      <c r="T302" s="27">
        <f t="shared" si="174"/>
        <v>0</v>
      </c>
      <c r="U302" s="27">
        <f t="shared" si="174"/>
        <v>0</v>
      </c>
      <c r="V302" s="27">
        <f t="shared" si="174"/>
        <v>0</v>
      </c>
      <c r="W302" s="27">
        <f t="shared" si="174"/>
        <v>23623478</v>
      </c>
      <c r="X302" s="27">
        <f t="shared" si="174"/>
        <v>583527522</v>
      </c>
      <c r="Y302" s="47"/>
      <c r="Z302" s="47"/>
      <c r="AO302"/>
      <c r="AP302"/>
      <c r="AQ302"/>
      <c r="AR302" s="2" t="e">
        <f>VLOOKUP(CLEAN(H302),#REF!,2,FALSE)</f>
        <v>#REF!</v>
      </c>
      <c r="AZ302" s="2" t="e">
        <f>VLOOKUP(H302,#REF!,2,FALSE)</f>
        <v>#REF!</v>
      </c>
      <c r="BO302" s="2" t="e">
        <f>VLOOKUP(H302,#REF!,13,FALSE)</f>
        <v>#REF!</v>
      </c>
      <c r="BQ302" s="2" t="e">
        <f>VLOOKUP(H302,#REF!,13,FALSE)</f>
        <v>#REF!</v>
      </c>
    </row>
    <row r="303" spans="1:70" ht="15" customHeight="1" outlineLevel="2">
      <c r="A303" s="7"/>
      <c r="B303" s="7"/>
      <c r="C303" s="7"/>
      <c r="D303" s="7"/>
      <c r="E303" s="7"/>
      <c r="F303" s="7"/>
      <c r="G303" s="7"/>
      <c r="H303" s="11"/>
      <c r="I303" s="11"/>
      <c r="J303" s="11"/>
      <c r="K303" s="11"/>
      <c r="L303" s="292"/>
      <c r="M303" s="22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47"/>
      <c r="Z303" s="47"/>
      <c r="AO303"/>
      <c r="AP303"/>
      <c r="AQ303"/>
      <c r="AR303" s="2" t="e">
        <f>VLOOKUP(CLEAN(H303),#REF!,2,FALSE)</f>
        <v>#REF!</v>
      </c>
      <c r="AZ303" s="2" t="e">
        <f>VLOOKUP(H303,#REF!,2,FALSE)</f>
        <v>#REF!</v>
      </c>
      <c r="BO303" s="2" t="e">
        <f>VLOOKUP(H303,#REF!,13,FALSE)</f>
        <v>#REF!</v>
      </c>
      <c r="BP303" s="293"/>
      <c r="BQ303" s="2" t="e">
        <f>VLOOKUP(H303,#REF!,13,FALSE)</f>
        <v>#REF!</v>
      </c>
    </row>
    <row r="304" spans="1:70" ht="18.75" customHeight="1" outlineLevel="1">
      <c r="A304" s="7"/>
      <c r="B304" s="7"/>
      <c r="C304" s="7"/>
      <c r="D304" s="7"/>
      <c r="E304" s="8"/>
      <c r="F304" s="7"/>
      <c r="G304" s="7"/>
      <c r="H304" s="11"/>
      <c r="I304" s="11"/>
      <c r="J304" s="11"/>
      <c r="K304" s="11"/>
      <c r="L304" s="45" t="s">
        <v>156</v>
      </c>
      <c r="M304" s="46">
        <f t="shared" ref="M304:X304" si="175">M302+M289+M295</f>
        <v>12366349705</v>
      </c>
      <c r="N304" s="46">
        <f t="shared" si="175"/>
        <v>2803688337</v>
      </c>
      <c r="O304" s="46">
        <f t="shared" si="175"/>
        <v>2464367177</v>
      </c>
      <c r="P304" s="46">
        <f t="shared" si="175"/>
        <v>0</v>
      </c>
      <c r="Q304" s="46">
        <f t="shared" si="175"/>
        <v>6698601</v>
      </c>
      <c r="R304" s="46">
        <f t="shared" si="175"/>
        <v>5491271</v>
      </c>
      <c r="S304" s="46">
        <f t="shared" si="175"/>
        <v>12189872</v>
      </c>
      <c r="T304" s="46">
        <f t="shared" si="175"/>
        <v>116184048</v>
      </c>
      <c r="U304" s="46">
        <f t="shared" si="175"/>
        <v>91816960</v>
      </c>
      <c r="V304" s="46">
        <f t="shared" si="175"/>
        <v>220190880</v>
      </c>
      <c r="W304" s="46">
        <f t="shared" si="175"/>
        <v>2244176297</v>
      </c>
      <c r="X304" s="46">
        <f t="shared" si="175"/>
        <v>7098294191</v>
      </c>
      <c r="Y304" s="47"/>
      <c r="Z304" s="47"/>
      <c r="AM304" s="185" t="e">
        <f>VLOOKUP(CLEAN(H304),#REF!,7,FALSE)</f>
        <v>#REF!</v>
      </c>
      <c r="AO304"/>
      <c r="AP304"/>
      <c r="AQ304"/>
      <c r="AR304" s="2" t="e">
        <f>VLOOKUP(CLEAN(H304),#REF!,2,FALSE)</f>
        <v>#REF!</v>
      </c>
      <c r="AZ304" s="2" t="e">
        <f>VLOOKUP(H304,#REF!,2,FALSE)</f>
        <v>#REF!</v>
      </c>
      <c r="BO304" s="2" t="e">
        <f>VLOOKUP(H304,#REF!,13,FALSE)</f>
        <v>#REF!</v>
      </c>
      <c r="BQ304" s="2" t="e">
        <f>VLOOKUP(H304,#REF!,13,FALSE)</f>
        <v>#REF!</v>
      </c>
    </row>
    <row r="305" spans="1:70" s="3" customFormat="1" ht="15" customHeight="1" outlineLevel="1">
      <c r="A305" s="7"/>
      <c r="B305" s="7"/>
      <c r="C305" s="7"/>
      <c r="D305" s="7"/>
      <c r="E305" s="8"/>
      <c r="F305" s="7"/>
      <c r="G305" s="7"/>
      <c r="H305" s="11"/>
      <c r="I305" s="11"/>
      <c r="J305" s="11"/>
      <c r="K305" s="11"/>
      <c r="L305" s="294"/>
      <c r="M305" s="26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47"/>
      <c r="Z305" s="47"/>
      <c r="AJ305" s="186"/>
      <c r="AK305" s="186"/>
      <c r="AL305" s="186"/>
      <c r="AM305" s="185" t="e">
        <f>VLOOKUP(CLEAN(H305),#REF!,7,FALSE)</f>
        <v>#REF!</v>
      </c>
      <c r="AR305" s="2" t="e">
        <f>VLOOKUP(CLEAN(H305),#REF!,2,FALSE)</f>
        <v>#REF!</v>
      </c>
      <c r="AZ305" s="2" t="e">
        <f>VLOOKUP(H305,#REF!,2,FALSE)</f>
        <v>#REF!</v>
      </c>
      <c r="BF305" s="193"/>
      <c r="BO305" s="2" t="e">
        <f>VLOOKUP(H305,#REF!,13,FALSE)</f>
        <v>#REF!</v>
      </c>
      <c r="BP305" s="7"/>
      <c r="BQ305" s="2" t="e">
        <f>VLOOKUP(H305,#REF!,13,FALSE)</f>
        <v>#REF!</v>
      </c>
    </row>
    <row r="306" spans="1:70" ht="26.25" customHeight="1" outlineLevel="1">
      <c r="A306" s="7"/>
      <c r="B306" s="7"/>
      <c r="C306" s="7"/>
      <c r="D306" s="7"/>
      <c r="E306" s="8"/>
      <c r="F306" s="7"/>
      <c r="G306" s="7"/>
      <c r="H306" s="11"/>
      <c r="I306" s="11"/>
      <c r="J306" s="11"/>
      <c r="K306" s="11"/>
      <c r="L306" s="57" t="s">
        <v>190</v>
      </c>
      <c r="M306" s="26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47"/>
      <c r="Z306" s="47"/>
      <c r="AM306" s="185" t="e">
        <f>VLOOKUP(CLEAN(H306),#REF!,7,FALSE)</f>
        <v>#REF!</v>
      </c>
      <c r="AO306"/>
      <c r="AP306"/>
      <c r="AQ306"/>
      <c r="AR306" s="2" t="e">
        <f>VLOOKUP(CLEAN(H306),#REF!,2,FALSE)</f>
        <v>#REF!</v>
      </c>
      <c r="AZ306" s="2" t="e">
        <f>VLOOKUP(H306,#REF!,2,FALSE)</f>
        <v>#REF!</v>
      </c>
      <c r="BO306" s="2" t="e">
        <f>VLOOKUP(H306,#REF!,13,FALSE)</f>
        <v>#REF!</v>
      </c>
      <c r="BQ306" s="2" t="e">
        <f>VLOOKUP(H306,#REF!,13,FALSE)</f>
        <v>#REF!</v>
      </c>
    </row>
    <row r="307" spans="1:70" ht="15" customHeight="1" outlineLevel="1">
      <c r="A307" s="7"/>
      <c r="B307" s="7"/>
      <c r="C307" s="7"/>
      <c r="D307" s="7"/>
      <c r="E307" s="8"/>
      <c r="F307" s="7"/>
      <c r="G307" s="7"/>
      <c r="H307" s="11"/>
      <c r="I307" s="11"/>
      <c r="J307" s="11"/>
      <c r="K307" s="11"/>
      <c r="L307" s="18" t="s">
        <v>695</v>
      </c>
      <c r="M307" s="26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47"/>
      <c r="Z307" s="47"/>
      <c r="AM307" s="185" t="e">
        <f>VLOOKUP(CLEAN(H307),#REF!,7,FALSE)</f>
        <v>#REF!</v>
      </c>
      <c r="AO307"/>
      <c r="AP307"/>
      <c r="AQ307"/>
      <c r="AR307" s="2" t="e">
        <f>VLOOKUP(CLEAN(H307),#REF!,2,FALSE)</f>
        <v>#REF!</v>
      </c>
      <c r="AZ307" s="2" t="e">
        <f>VLOOKUP(H307,#REF!,2,FALSE)</f>
        <v>#REF!</v>
      </c>
      <c r="BO307" s="2" t="e">
        <f>VLOOKUP(H307,#REF!,13,FALSE)</f>
        <v>#REF!</v>
      </c>
      <c r="BQ307" s="2" t="e">
        <f>VLOOKUP(H307,#REF!,13,FALSE)</f>
        <v>#REF!</v>
      </c>
    </row>
    <row r="308" spans="1:70" s="2" customFormat="1" ht="15" customHeight="1" outlineLevel="2">
      <c r="A308" s="5">
        <v>31</v>
      </c>
      <c r="B308" s="5" t="s">
        <v>5</v>
      </c>
      <c r="C308" s="5" t="s">
        <v>248</v>
      </c>
      <c r="D308" s="5" t="s">
        <v>22</v>
      </c>
      <c r="E308" s="5" t="s">
        <v>26</v>
      </c>
      <c r="F308" s="5" t="s">
        <v>89</v>
      </c>
      <c r="G308" s="5" t="s">
        <v>144</v>
      </c>
      <c r="H308" s="12">
        <v>30212372</v>
      </c>
      <c r="I308" s="42" t="str">
        <f t="shared" ref="I308:I313" si="176">CONCATENATE(H308,"-",G308)</f>
        <v>30212372-EJECUCION</v>
      </c>
      <c r="J308" s="12"/>
      <c r="K308" s="307" t="str">
        <f t="shared" ref="K308:K313" si="177">CLEAN(H308)</f>
        <v>30212372</v>
      </c>
      <c r="L308" s="5" t="s">
        <v>469</v>
      </c>
      <c r="M308" s="23">
        <v>339876608</v>
      </c>
      <c r="N308" s="34">
        <v>294876608</v>
      </c>
      <c r="O308" s="34">
        <v>30621463</v>
      </c>
      <c r="P308" s="310">
        <v>0</v>
      </c>
      <c r="Q308" s="34">
        <v>0</v>
      </c>
      <c r="R308" s="308">
        <v>0</v>
      </c>
      <c r="S308" s="34">
        <f t="shared" ref="S308:S313" si="178">P308+Q308+R308</f>
        <v>0</v>
      </c>
      <c r="T308" s="34">
        <v>30621463</v>
      </c>
      <c r="U308" s="34">
        <v>0</v>
      </c>
      <c r="V308" s="34">
        <f>P308+Q308+R308+T308+U308</f>
        <v>30621463</v>
      </c>
      <c r="W308" s="34">
        <f>O308-V308</f>
        <v>0</v>
      </c>
      <c r="X308" s="34">
        <f>M308-(N308+O308)</f>
        <v>14378537</v>
      </c>
      <c r="Y308" s="48" t="s">
        <v>239</v>
      </c>
      <c r="Z308" s="48" t="s">
        <v>8</v>
      </c>
      <c r="AA308" s="2" t="s">
        <v>846</v>
      </c>
      <c r="AB308" s="2" t="e">
        <f>VLOOKUP(H308,#REF!,2,FALSE)</f>
        <v>#REF!</v>
      </c>
      <c r="AC308" s="2" t="e">
        <f>VLOOKUP(I308,#REF!,2,FALSE)</f>
        <v>#REF!</v>
      </c>
      <c r="AD308" s="2" t="e">
        <f>VLOOKUP(H308,#REF!,13,FALSE)</f>
        <v>#REF!</v>
      </c>
      <c r="AE308" s="2" t="e">
        <f>VLOOKUP(I308,#REF!,7,FALSE)</f>
        <v>#REF!</v>
      </c>
      <c r="AG308" s="2" t="e">
        <f>VLOOKUP(H308,#REF!,13,FALSE)</f>
        <v>#REF!</v>
      </c>
      <c r="AH308" s="2" t="e">
        <f>VLOOKUP(I308,#REF!,2,FALSE)</f>
        <v>#REF!</v>
      </c>
      <c r="AJ308" s="185" t="e">
        <f>VLOOKUP(H308,#REF!,3,FALSE)</f>
        <v>#REF!</v>
      </c>
      <c r="AK308" s="185"/>
      <c r="AL308" s="185" t="e">
        <f>VLOOKUP(H308,#REF!,13,FALSE)</f>
        <v>#REF!</v>
      </c>
      <c r="AM308" s="185" t="e">
        <f>VLOOKUP(CLEAN(H308),#REF!,7,FALSE)</f>
        <v>#REF!</v>
      </c>
      <c r="AN308" s="2" t="e">
        <f>VLOOKUP(H308,#REF!,8,FALSE)</f>
        <v>#REF!</v>
      </c>
      <c r="AO308" s="189" t="e">
        <f>VLOOKUP(H308,#REF!,2,FALSE)</f>
        <v>#REF!</v>
      </c>
      <c r="AP308" s="189" t="e">
        <f>VLOOKUP(H308,#REF!,2,FALSE)</f>
        <v>#REF!</v>
      </c>
      <c r="AQ308" s="189" t="e">
        <f>AO308-AP308</f>
        <v>#REF!</v>
      </c>
      <c r="AR308" s="189" t="e">
        <f>VLOOKUP(CLEAN(H308),#REF!,2,FALSE)</f>
        <v>#REF!</v>
      </c>
      <c r="AS308" s="189" t="e">
        <f>T308-AR308</f>
        <v>#REF!</v>
      </c>
      <c r="AT308" s="2" t="e">
        <f>VLOOKUP(H308,#REF!,13,FALSE)</f>
        <v>#REF!</v>
      </c>
      <c r="AU308" s="2" t="e">
        <f>VLOOKUP(H308,#REF!,13,FALSE)</f>
        <v>#REF!</v>
      </c>
      <c r="AV308" s="2" t="e">
        <f>VLOOKUP(H308,#REF!,13,FALSE)</f>
        <v>#REF!</v>
      </c>
      <c r="AW308" s="2" t="e">
        <f>VLOOKUP(H308,#REF!,13,FALSE)</f>
        <v>#REF!</v>
      </c>
      <c r="AX308" s="2" t="e">
        <f>VLOOKUP(H308,#REF!,9,FALSE)</f>
        <v>#REF!</v>
      </c>
      <c r="AZ308" s="2" t="e">
        <f>VLOOKUP(H308,#REF!,2,FALSE)</f>
        <v>#REF!</v>
      </c>
      <c r="BF308" s="189" t="e">
        <f>VLOOKUP(CLEAN(H308),#REF!,2,FALSE)</f>
        <v>#REF!</v>
      </c>
      <c r="BG308" s="189" t="e">
        <f>T308-BF308</f>
        <v>#REF!</v>
      </c>
      <c r="BO308" s="2" t="e">
        <f>VLOOKUP(H308,#REF!,13,FALSE)</f>
        <v>#REF!</v>
      </c>
      <c r="BP308" s="2" t="e">
        <f>VLOOKUP(H308,#REF!,2,FALSE)</f>
        <v>#REF!</v>
      </c>
      <c r="BQ308" s="2" t="e">
        <f>VLOOKUP(H308,#REF!,13,FALSE)</f>
        <v>#REF!</v>
      </c>
      <c r="BR308" s="2" t="e">
        <f>VLOOKUP(H308,#REF!,3,FALSE)</f>
        <v>#REF!</v>
      </c>
    </row>
    <row r="309" spans="1:70" s="2" customFormat="1" ht="15" customHeight="1" outlineLevel="2">
      <c r="A309" s="5">
        <v>31</v>
      </c>
      <c r="B309" s="5" t="s">
        <v>5</v>
      </c>
      <c r="C309" s="5" t="s">
        <v>240</v>
      </c>
      <c r="D309" s="5" t="s">
        <v>22</v>
      </c>
      <c r="E309" s="5" t="s">
        <v>26</v>
      </c>
      <c r="F309" s="5" t="s">
        <v>457</v>
      </c>
      <c r="G309" s="5" t="s">
        <v>144</v>
      </c>
      <c r="H309" s="12">
        <v>30125825</v>
      </c>
      <c r="I309" s="42" t="str">
        <f t="shared" si="176"/>
        <v>30125825-EJECUCION</v>
      </c>
      <c r="J309" s="12"/>
      <c r="K309" s="307" t="str">
        <f t="shared" si="177"/>
        <v>30125825</v>
      </c>
      <c r="L309" s="5" t="s">
        <v>628</v>
      </c>
      <c r="M309" s="23">
        <v>621915375</v>
      </c>
      <c r="N309" s="34">
        <v>604331952</v>
      </c>
      <c r="O309" s="34">
        <v>358690</v>
      </c>
      <c r="P309" s="310">
        <v>0</v>
      </c>
      <c r="Q309" s="34">
        <v>0</v>
      </c>
      <c r="R309" s="308">
        <v>0</v>
      </c>
      <c r="S309" s="34">
        <f t="shared" si="178"/>
        <v>0</v>
      </c>
      <c r="T309" s="34">
        <v>0</v>
      </c>
      <c r="U309" s="34">
        <v>0</v>
      </c>
      <c r="V309" s="34">
        <f>P309+Q309+R309+T309+U309</f>
        <v>0</v>
      </c>
      <c r="W309" s="34">
        <f>O309-V309</f>
        <v>358690</v>
      </c>
      <c r="X309" s="34">
        <f>M309-(N309+O309)</f>
        <v>17224733</v>
      </c>
      <c r="Y309" s="48" t="s">
        <v>239</v>
      </c>
      <c r="Z309" s="48" t="s">
        <v>8</v>
      </c>
      <c r="AA309" s="2" t="s">
        <v>846</v>
      </c>
      <c r="AB309" s="2" t="e">
        <f>VLOOKUP(H309,#REF!,2,FALSE)</f>
        <v>#REF!</v>
      </c>
      <c r="AD309" s="2" t="e">
        <f>VLOOKUP(H309,#REF!,13,FALSE)</f>
        <v>#REF!</v>
      </c>
      <c r="AE309" s="177" t="e">
        <f>VLOOKUP(I309,#REF!,7,FALSE)</f>
        <v>#REF!</v>
      </c>
      <c r="AG309" s="2" t="e">
        <f>VLOOKUP(H309,#REF!,13,FALSE)</f>
        <v>#REF!</v>
      </c>
      <c r="AH309" s="2" t="e">
        <f>VLOOKUP(I309,#REF!,2,FALSE)</f>
        <v>#REF!</v>
      </c>
      <c r="AJ309" s="185" t="e">
        <f>VLOOKUP(H309,#REF!,3,FALSE)</f>
        <v>#REF!</v>
      </c>
      <c r="AK309" s="185"/>
      <c r="AL309" s="185" t="e">
        <f>VLOOKUP(H309,#REF!,13,FALSE)</f>
        <v>#REF!</v>
      </c>
      <c r="AM309" s="185" t="e">
        <f>VLOOKUP(CLEAN(H309),#REF!,7,FALSE)</f>
        <v>#REF!</v>
      </c>
      <c r="AN309" s="2" t="e">
        <f>VLOOKUP(H309,#REF!,8,FALSE)</f>
        <v>#REF!</v>
      </c>
      <c r="AO309" s="189" t="e">
        <f>VLOOKUP(H309,#REF!,2,FALSE)</f>
        <v>#REF!</v>
      </c>
      <c r="AP309" s="189" t="e">
        <f>VLOOKUP(H309,#REF!,2,FALSE)</f>
        <v>#REF!</v>
      </c>
      <c r="AQ309" s="189"/>
      <c r="AR309" s="2" t="e">
        <f>VLOOKUP(CLEAN(H309),#REF!,2,FALSE)</f>
        <v>#REF!</v>
      </c>
      <c r="AT309" s="2" t="e">
        <f>VLOOKUP(H309,#REF!,13,FALSE)</f>
        <v>#REF!</v>
      </c>
      <c r="AU309" s="2" t="e">
        <f>VLOOKUP(H309,#REF!,13,FALSE)</f>
        <v>#REF!</v>
      </c>
      <c r="AV309" s="2" t="e">
        <f>VLOOKUP(H309,#REF!,13,FALSE)</f>
        <v>#REF!</v>
      </c>
      <c r="AW309" s="2" t="e">
        <f>VLOOKUP(H309,#REF!,13,FALSE)</f>
        <v>#REF!</v>
      </c>
      <c r="AX309" s="2" t="e">
        <f>VLOOKUP(H309,#REF!,9,FALSE)</f>
        <v>#REF!</v>
      </c>
      <c r="AZ309" s="2" t="e">
        <f>VLOOKUP(H309,#REF!,2,FALSE)</f>
        <v>#REF!</v>
      </c>
      <c r="BF309" s="189" t="e">
        <f>VLOOKUP(CLEAN(H309),#REF!,2,FALSE)</f>
        <v>#REF!</v>
      </c>
      <c r="BG309" s="189" t="e">
        <f>T309-BF309</f>
        <v>#REF!</v>
      </c>
      <c r="BO309" s="2" t="e">
        <f>VLOOKUP(H309,#REF!,13,FALSE)</f>
        <v>#REF!</v>
      </c>
      <c r="BP309" s="2" t="e">
        <f>VLOOKUP(H309,#REF!,2,FALSE)</f>
        <v>#REF!</v>
      </c>
      <c r="BQ309" s="2" t="e">
        <f>VLOOKUP(H309,#REF!,13,FALSE)</f>
        <v>#REF!</v>
      </c>
      <c r="BR309" s="2" t="e">
        <f>VLOOKUP(H309,#REF!,3,FALSE)</f>
        <v>#REF!</v>
      </c>
    </row>
    <row r="310" spans="1:70" s="2" customFormat="1" ht="15" customHeight="1" outlineLevel="2">
      <c r="A310" s="5">
        <v>31</v>
      </c>
      <c r="B310" s="5" t="s">
        <v>54</v>
      </c>
      <c r="C310" s="5" t="s">
        <v>241</v>
      </c>
      <c r="D310" s="5" t="s">
        <v>22</v>
      </c>
      <c r="E310" s="5" t="s">
        <v>26</v>
      </c>
      <c r="F310" s="5" t="s">
        <v>89</v>
      </c>
      <c r="G310" s="5" t="s">
        <v>144</v>
      </c>
      <c r="H310" s="12">
        <v>30130451</v>
      </c>
      <c r="I310" s="42" t="str">
        <f t="shared" si="176"/>
        <v>30130451-EJECUCION</v>
      </c>
      <c r="J310" s="12"/>
      <c r="K310" s="307" t="str">
        <f t="shared" si="177"/>
        <v>30130451</v>
      </c>
      <c r="L310" s="15" t="s">
        <v>268</v>
      </c>
      <c r="M310" s="23">
        <f>547328000-1454669</f>
        <v>545873331</v>
      </c>
      <c r="N310" s="34">
        <v>176857169</v>
      </c>
      <c r="O310" s="34">
        <v>369016162</v>
      </c>
      <c r="P310" s="310">
        <v>306849062</v>
      </c>
      <c r="Q310" s="34">
        <v>4500000</v>
      </c>
      <c r="R310" s="308">
        <v>2400000</v>
      </c>
      <c r="S310" s="34">
        <f t="shared" si="178"/>
        <v>313749062</v>
      </c>
      <c r="T310" s="34">
        <v>52967100</v>
      </c>
      <c r="U310" s="34">
        <v>2300000</v>
      </c>
      <c r="V310" s="34">
        <f>P310+Q310+R310+T310+U310</f>
        <v>369016162</v>
      </c>
      <c r="W310" s="34">
        <f>O310-V310</f>
        <v>0</v>
      </c>
      <c r="X310" s="34">
        <f>M310-(N310+O310)</f>
        <v>0</v>
      </c>
      <c r="Y310" s="48" t="s">
        <v>460</v>
      </c>
      <c r="Z310" s="48" t="s">
        <v>8</v>
      </c>
      <c r="AA310" s="2" t="s">
        <v>843</v>
      </c>
      <c r="AB310" s="2" t="e">
        <f>VLOOKUP(H310,#REF!,2,FALSE)</f>
        <v>#REF!</v>
      </c>
      <c r="AC310" s="2" t="e">
        <f>VLOOKUP(I310,#REF!,2,FALSE)</f>
        <v>#REF!</v>
      </c>
      <c r="AD310" s="2" t="e">
        <f>VLOOKUP(H310,#REF!,13,FALSE)</f>
        <v>#REF!</v>
      </c>
      <c r="AE310" s="2" t="e">
        <f>VLOOKUP(I310,#REF!,7,FALSE)</f>
        <v>#REF!</v>
      </c>
      <c r="AG310" s="2" t="e">
        <f>VLOOKUP(H310,#REF!,13,FALSE)</f>
        <v>#REF!</v>
      </c>
      <c r="AH310" s="2" t="e">
        <f>VLOOKUP(I310,#REF!,2,FALSE)</f>
        <v>#REF!</v>
      </c>
      <c r="AJ310" s="185" t="e">
        <f>VLOOKUP(H310,#REF!,3,FALSE)</f>
        <v>#REF!</v>
      </c>
      <c r="AK310" s="185"/>
      <c r="AL310" s="185" t="e">
        <f>VLOOKUP(H310,#REF!,13,FALSE)</f>
        <v>#REF!</v>
      </c>
      <c r="AM310" s="185" t="e">
        <f>VLOOKUP(CLEAN(H310),#REF!,7,FALSE)</f>
        <v>#REF!</v>
      </c>
      <c r="AN310" s="2" t="e">
        <f>VLOOKUP(H310,#REF!,8,FALSE)</f>
        <v>#REF!</v>
      </c>
      <c r="AO310" s="189" t="e">
        <f>VLOOKUP(H310,#REF!,2,FALSE)</f>
        <v>#REF!</v>
      </c>
      <c r="AP310" s="189" t="e">
        <f>VLOOKUP(H310,#REF!,2,FALSE)</f>
        <v>#REF!</v>
      </c>
      <c r="AQ310" s="189" t="e">
        <f>AO310-AP310</f>
        <v>#REF!</v>
      </c>
      <c r="AR310" s="189" t="e">
        <f>VLOOKUP(CLEAN(H310),#REF!,2,FALSE)</f>
        <v>#REF!</v>
      </c>
      <c r="AS310" s="189" t="e">
        <f>T310-AR310</f>
        <v>#REF!</v>
      </c>
      <c r="AT310" s="2" t="e">
        <f>VLOOKUP(H310,#REF!,13,FALSE)</f>
        <v>#REF!</v>
      </c>
      <c r="AU310" s="2" t="e">
        <f>VLOOKUP(H310,#REF!,13,FALSE)</f>
        <v>#REF!</v>
      </c>
      <c r="AV310" s="2" t="e">
        <f>VLOOKUP(H310,#REF!,13,FALSE)</f>
        <v>#REF!</v>
      </c>
      <c r="AW310" s="2" t="e">
        <f>VLOOKUP(H310,#REF!,13,FALSE)</f>
        <v>#REF!</v>
      </c>
      <c r="AX310" s="2" t="e">
        <f>VLOOKUP(H310,#REF!,9,FALSE)</f>
        <v>#REF!</v>
      </c>
      <c r="AZ310" s="189" t="e">
        <f>VLOOKUP(H310,#REF!,2,FALSE)</f>
        <v>#REF!</v>
      </c>
      <c r="BF310" s="189" t="e">
        <f>VLOOKUP(CLEAN(H310),#REF!,2,FALSE)</f>
        <v>#REF!</v>
      </c>
      <c r="BG310" s="189" t="e">
        <f>T310-BF310</f>
        <v>#REF!</v>
      </c>
      <c r="BO310" s="2" t="e">
        <f>VLOOKUP(H310,#REF!,13,FALSE)</f>
        <v>#REF!</v>
      </c>
      <c r="BP310" s="2" t="e">
        <f>VLOOKUP(H310,#REF!,2,FALSE)</f>
        <v>#REF!</v>
      </c>
      <c r="BQ310" s="2" t="e">
        <f>VLOOKUP(H310,#REF!,13,FALSE)</f>
        <v>#REF!</v>
      </c>
      <c r="BR310" s="2" t="e">
        <f>VLOOKUP(H310,#REF!,3,FALSE)</f>
        <v>#REF!</v>
      </c>
    </row>
    <row r="311" spans="1:70" s="2" customFormat="1" ht="15" customHeight="1" outlineLevel="2">
      <c r="A311" s="5">
        <v>29</v>
      </c>
      <c r="B311" s="5" t="s">
        <v>54</v>
      </c>
      <c r="C311" s="5" t="s">
        <v>241</v>
      </c>
      <c r="D311" s="5" t="s">
        <v>22</v>
      </c>
      <c r="E311" s="5" t="s">
        <v>26</v>
      </c>
      <c r="F311" s="5" t="s">
        <v>89</v>
      </c>
      <c r="G311" s="5" t="s">
        <v>144</v>
      </c>
      <c r="H311" s="12">
        <v>30396186</v>
      </c>
      <c r="I311" s="311" t="str">
        <f t="shared" si="176"/>
        <v>30396186-EJECUCION</v>
      </c>
      <c r="J311" s="190"/>
      <c r="K311" s="309" t="str">
        <f t="shared" si="177"/>
        <v>30396186</v>
      </c>
      <c r="L311" s="15" t="s">
        <v>400</v>
      </c>
      <c r="M311" s="23">
        <v>406262000</v>
      </c>
      <c r="N311" s="34">
        <v>0</v>
      </c>
      <c r="O311" s="23">
        <v>339210994</v>
      </c>
      <c r="P311" s="310">
        <v>0</v>
      </c>
      <c r="Q311" s="34">
        <v>0</v>
      </c>
      <c r="R311" s="308">
        <v>75268994</v>
      </c>
      <c r="S311" s="34">
        <f t="shared" si="178"/>
        <v>75268994</v>
      </c>
      <c r="T311" s="34">
        <v>0</v>
      </c>
      <c r="U311" s="34">
        <v>0</v>
      </c>
      <c r="V311" s="34">
        <f>P311+Q311+R311+T311+U311</f>
        <v>75268994</v>
      </c>
      <c r="W311" s="34">
        <f>O311-V311</f>
        <v>263942000</v>
      </c>
      <c r="X311" s="34">
        <f>M311-(N311+O311)</f>
        <v>67051006</v>
      </c>
      <c r="Y311" s="48" t="s">
        <v>239</v>
      </c>
      <c r="Z311" s="48" t="s">
        <v>10</v>
      </c>
      <c r="AA311" s="2" t="s">
        <v>846</v>
      </c>
      <c r="AB311" s="2" t="e">
        <f>VLOOKUP(H311,#REF!,2,FALSE)</f>
        <v>#REF!</v>
      </c>
      <c r="AC311" s="2" t="e">
        <f>VLOOKUP(I311,#REF!,2,FALSE)</f>
        <v>#REF!</v>
      </c>
      <c r="AD311" s="2" t="e">
        <f>VLOOKUP(H311,#REF!,13,FALSE)</f>
        <v>#REF!</v>
      </c>
      <c r="AE311" s="2" t="e">
        <f>VLOOKUP(I311,#REF!,7,FALSE)</f>
        <v>#REF!</v>
      </c>
      <c r="AG311" s="2" t="e">
        <f>VLOOKUP(H311,#REF!,13,FALSE)</f>
        <v>#REF!</v>
      </c>
      <c r="AH311" s="2" t="e">
        <f>VLOOKUP(I311,#REF!,2,FALSE)</f>
        <v>#REF!</v>
      </c>
      <c r="AJ311" s="185" t="e">
        <f>VLOOKUP(H311,#REF!,3,FALSE)</f>
        <v>#REF!</v>
      </c>
      <c r="AK311" s="185"/>
      <c r="AL311" s="185" t="e">
        <f>VLOOKUP(H311,#REF!,13,FALSE)</f>
        <v>#REF!</v>
      </c>
      <c r="AM311" s="185" t="e">
        <f>VLOOKUP(CLEAN(H311),#REF!,7,FALSE)</f>
        <v>#REF!</v>
      </c>
      <c r="AN311" s="2" t="e">
        <f>VLOOKUP(H311,#REF!,8,FALSE)</f>
        <v>#REF!</v>
      </c>
      <c r="AO311" s="189" t="e">
        <f>VLOOKUP(H311,#REF!,2,FALSE)</f>
        <v>#REF!</v>
      </c>
      <c r="AP311" s="189" t="e">
        <f>VLOOKUP(H311,#REF!,2,FALSE)</f>
        <v>#REF!</v>
      </c>
      <c r="AQ311" s="189"/>
      <c r="AR311" s="2" t="e">
        <f>VLOOKUP(CLEAN(H311),#REF!,2,FALSE)</f>
        <v>#REF!</v>
      </c>
      <c r="AT311" s="2" t="e">
        <f>VLOOKUP(H311,#REF!,13,FALSE)</f>
        <v>#REF!</v>
      </c>
      <c r="AU311" s="2" t="e">
        <f>VLOOKUP(H311,#REF!,13,FALSE)</f>
        <v>#REF!</v>
      </c>
      <c r="AV311" s="2" t="e">
        <f>VLOOKUP(H311,#REF!,13,FALSE)</f>
        <v>#REF!</v>
      </c>
      <c r="AW311" s="2" t="e">
        <f>VLOOKUP(H311,#REF!,13,FALSE)</f>
        <v>#REF!</v>
      </c>
      <c r="AX311" s="2" t="e">
        <f>VLOOKUP(H311,#REF!,9,FALSE)</f>
        <v>#REF!</v>
      </c>
      <c r="AZ311" s="189" t="e">
        <f>VLOOKUP(H311,#REF!,2,FALSE)</f>
        <v>#REF!</v>
      </c>
      <c r="BF311" s="189" t="e">
        <f>VLOOKUP(CLEAN(H311),#REF!,2,FALSE)</f>
        <v>#REF!</v>
      </c>
      <c r="BG311" s="189" t="e">
        <f>T311-BF311</f>
        <v>#REF!</v>
      </c>
      <c r="BO311" s="2" t="e">
        <f>VLOOKUP(H311,#REF!,13,FALSE)</f>
        <v>#REF!</v>
      </c>
      <c r="BP311" s="2" t="e">
        <f>VLOOKUP(H311,#REF!,2,FALSE)</f>
        <v>#REF!</v>
      </c>
      <c r="BQ311" s="2" t="e">
        <f>VLOOKUP(H311,#REF!,13,FALSE)</f>
        <v>#REF!</v>
      </c>
      <c r="BR311" s="2" t="e">
        <f>VLOOKUP(H311,#REF!,3,FALSE)</f>
        <v>#REF!</v>
      </c>
    </row>
    <row r="312" spans="1:70" s="2" customFormat="1" ht="15" customHeight="1" outlineLevel="2">
      <c r="A312" s="5">
        <v>33</v>
      </c>
      <c r="B312" s="5" t="s">
        <v>54</v>
      </c>
      <c r="C312" s="5" t="s">
        <v>248</v>
      </c>
      <c r="D312" s="5" t="s">
        <v>22</v>
      </c>
      <c r="E312" s="5" t="s">
        <v>26</v>
      </c>
      <c r="F312" s="5" t="s">
        <v>14</v>
      </c>
      <c r="G312" s="5" t="s">
        <v>144</v>
      </c>
      <c r="H312" s="12">
        <v>30458130</v>
      </c>
      <c r="I312" s="311" t="str">
        <f t="shared" si="176"/>
        <v>30458130-EJECUCION</v>
      </c>
      <c r="J312" s="190"/>
      <c r="K312" s="309" t="str">
        <f t="shared" si="177"/>
        <v>30458130</v>
      </c>
      <c r="L312" s="15" t="s">
        <v>269</v>
      </c>
      <c r="M312" s="23">
        <v>377930000</v>
      </c>
      <c r="N312" s="34">
        <v>0</v>
      </c>
      <c r="O312" s="34">
        <v>185102900</v>
      </c>
      <c r="P312" s="310">
        <v>0</v>
      </c>
      <c r="Q312" s="34">
        <v>0</v>
      </c>
      <c r="R312" s="308">
        <v>0</v>
      </c>
      <c r="S312" s="34">
        <f t="shared" si="178"/>
        <v>0</v>
      </c>
      <c r="T312" s="34">
        <v>82302900</v>
      </c>
      <c r="U312" s="34">
        <v>100082115</v>
      </c>
      <c r="V312" s="34">
        <f>P312+Q312+R312+T312+U312</f>
        <v>182385015</v>
      </c>
      <c r="W312" s="34">
        <f>O312-V312</f>
        <v>2717885</v>
      </c>
      <c r="X312" s="34">
        <f>M312-(N312+O312)</f>
        <v>192827100</v>
      </c>
      <c r="Y312" s="48" t="s">
        <v>239</v>
      </c>
      <c r="Z312" s="48" t="s">
        <v>8</v>
      </c>
      <c r="AA312" s="2" t="s">
        <v>843</v>
      </c>
      <c r="AB312" s="2" t="e">
        <f>VLOOKUP(H312,#REF!,2,FALSE)</f>
        <v>#REF!</v>
      </c>
      <c r="AC312" s="2" t="e">
        <f>VLOOKUP(I312,#REF!,2,FALSE)</f>
        <v>#REF!</v>
      </c>
      <c r="AD312" s="2" t="e">
        <f>VLOOKUP(H312,#REF!,13,FALSE)</f>
        <v>#REF!</v>
      </c>
      <c r="AE312" s="2" t="e">
        <f>VLOOKUP(I312,#REF!,7,FALSE)</f>
        <v>#REF!</v>
      </c>
      <c r="AG312" s="2" t="e">
        <f>VLOOKUP(H312,#REF!,13,FALSE)</f>
        <v>#REF!</v>
      </c>
      <c r="AH312" s="2" t="e">
        <f>VLOOKUP(I312,#REF!,2,FALSE)</f>
        <v>#REF!</v>
      </c>
      <c r="AJ312" s="185" t="e">
        <f>VLOOKUP(H312,#REF!,3,FALSE)</f>
        <v>#REF!</v>
      </c>
      <c r="AK312" s="185"/>
      <c r="AL312" s="185"/>
      <c r="AM312" s="185" t="e">
        <f>VLOOKUP(CLEAN(H312),#REF!,7,FALSE)</f>
        <v>#REF!</v>
      </c>
      <c r="AN312" s="2" t="e">
        <f>VLOOKUP(H312,#REF!,8,FALSE)</f>
        <v>#REF!</v>
      </c>
      <c r="AO312" s="189" t="e">
        <f>VLOOKUP(H312,#REF!,2,FALSE)</f>
        <v>#REF!</v>
      </c>
      <c r="AP312" s="189" t="e">
        <f>VLOOKUP(H312,#REF!,2,FALSE)</f>
        <v>#REF!</v>
      </c>
      <c r="AQ312" s="189" t="e">
        <f>AO312-AP312</f>
        <v>#REF!</v>
      </c>
      <c r="AR312" s="2" t="e">
        <f>VLOOKUP(CLEAN(H312),#REF!,2,FALSE)</f>
        <v>#REF!</v>
      </c>
      <c r="AT312" s="2" t="e">
        <f>VLOOKUP(H312,#REF!,13,FALSE)</f>
        <v>#REF!</v>
      </c>
      <c r="AU312" s="2" t="e">
        <f>VLOOKUP(H312,#REF!,13,FALSE)</f>
        <v>#REF!</v>
      </c>
      <c r="AV312" s="2" t="e">
        <f>VLOOKUP(H312,#REF!,13,FALSE)</f>
        <v>#REF!</v>
      </c>
      <c r="AW312" s="2" t="e">
        <f>VLOOKUP(H312,#REF!,13,FALSE)</f>
        <v>#REF!</v>
      </c>
      <c r="AX312" s="2" t="e">
        <f>VLOOKUP(H312,#REF!,9,FALSE)</f>
        <v>#REF!</v>
      </c>
      <c r="AZ312" s="189" t="e">
        <f>VLOOKUP(H312,#REF!,2,FALSE)</f>
        <v>#REF!</v>
      </c>
      <c r="BF312" s="189" t="e">
        <f>VLOOKUP(CLEAN(H312),#REF!,2,FALSE)</f>
        <v>#REF!</v>
      </c>
      <c r="BG312" s="189" t="e">
        <f>T312-BF312</f>
        <v>#REF!</v>
      </c>
      <c r="BO312" s="2" t="e">
        <f>VLOOKUP(H312,#REF!,13,FALSE)</f>
        <v>#REF!</v>
      </c>
      <c r="BP312" s="2" t="e">
        <f>VLOOKUP(H312,#REF!,2,FALSE)</f>
        <v>#REF!</v>
      </c>
      <c r="BQ312" s="2" t="e">
        <f>VLOOKUP(H312,#REF!,13,FALSE)</f>
        <v>#REF!</v>
      </c>
      <c r="BR312" s="2" t="e">
        <f>VLOOKUP(H312,#REF!,3,FALSE)</f>
        <v>#REF!</v>
      </c>
    </row>
    <row r="313" spans="1:70" s="2" customFormat="1" ht="15" customHeight="1" outlineLevel="2">
      <c r="A313" s="5">
        <v>31</v>
      </c>
      <c r="B313" s="5" t="s">
        <v>5</v>
      </c>
      <c r="C313" s="5" t="s">
        <v>248</v>
      </c>
      <c r="D313" s="5" t="s">
        <v>22</v>
      </c>
      <c r="E313" s="5" t="s">
        <v>26</v>
      </c>
      <c r="F313" s="5" t="s">
        <v>89</v>
      </c>
      <c r="G313" s="5" t="s">
        <v>144</v>
      </c>
      <c r="H313" s="12">
        <v>30212472</v>
      </c>
      <c r="I313" s="42" t="str">
        <f t="shared" si="176"/>
        <v>30212472-EJECUCION</v>
      </c>
      <c r="J313" s="12"/>
      <c r="K313" s="307" t="str">
        <f t="shared" si="177"/>
        <v>30212472</v>
      </c>
      <c r="L313" s="5" t="s">
        <v>468</v>
      </c>
      <c r="M313" s="23">
        <v>451393359</v>
      </c>
      <c r="N313" s="34">
        <v>424766706</v>
      </c>
      <c r="O313" s="34">
        <v>6658277</v>
      </c>
      <c r="P313" s="310">
        <v>0</v>
      </c>
      <c r="Q313" s="34">
        <v>0</v>
      </c>
      <c r="R313" s="308">
        <v>0</v>
      </c>
      <c r="S313" s="34">
        <f t="shared" si="178"/>
        <v>0</v>
      </c>
      <c r="T313" s="34">
        <v>0</v>
      </c>
      <c r="U313" s="34">
        <v>0</v>
      </c>
      <c r="V313" s="34">
        <f>P313+Q313+R313+T313+U313</f>
        <v>0</v>
      </c>
      <c r="W313" s="34">
        <f>O313-V313</f>
        <v>6658277</v>
      </c>
      <c r="X313" s="34">
        <f>M313-(N313+O313)</f>
        <v>19968376</v>
      </c>
      <c r="Y313" s="48" t="s">
        <v>239</v>
      </c>
      <c r="Z313" s="48" t="s">
        <v>8</v>
      </c>
      <c r="AA313" s="2" t="s">
        <v>847</v>
      </c>
      <c r="AB313" s="2" t="e">
        <f>VLOOKUP(H313,#REF!,2,FALSE)</f>
        <v>#REF!</v>
      </c>
      <c r="AC313" s="2" t="e">
        <f>VLOOKUP(I313,#REF!,2,FALSE)</f>
        <v>#REF!</v>
      </c>
      <c r="AD313" s="2" t="e">
        <f>VLOOKUP(H313,#REF!,13,FALSE)</f>
        <v>#REF!</v>
      </c>
      <c r="AE313" s="2" t="e">
        <f>VLOOKUP(I313,#REF!,7,FALSE)</f>
        <v>#REF!</v>
      </c>
      <c r="AG313" s="2" t="e">
        <f>VLOOKUP(H313,#REF!,13,FALSE)</f>
        <v>#REF!</v>
      </c>
      <c r="AH313" s="2" t="e">
        <f>VLOOKUP(I313,#REF!,2,FALSE)</f>
        <v>#REF!</v>
      </c>
      <c r="AJ313" s="185" t="e">
        <f>VLOOKUP(H313,#REF!,3,FALSE)</f>
        <v>#REF!</v>
      </c>
      <c r="AK313" s="185"/>
      <c r="AL313" s="185" t="e">
        <f>VLOOKUP(H313,#REF!,13,FALSE)</f>
        <v>#REF!</v>
      </c>
      <c r="AM313" s="185" t="e">
        <f>VLOOKUP(CLEAN(H313),#REF!,7,FALSE)</f>
        <v>#REF!</v>
      </c>
      <c r="AN313" s="2" t="e">
        <f>VLOOKUP(H313,#REF!,8,FALSE)</f>
        <v>#REF!</v>
      </c>
      <c r="AO313" s="189" t="e">
        <f>VLOOKUP(H313,#REF!,2,FALSE)</f>
        <v>#REF!</v>
      </c>
      <c r="AP313" s="189" t="e">
        <f>VLOOKUP(H313,#REF!,2,FALSE)</f>
        <v>#REF!</v>
      </c>
      <c r="AQ313" s="189"/>
      <c r="AR313" s="2" t="e">
        <f>VLOOKUP(CLEAN(H313),#REF!,2,FALSE)</f>
        <v>#REF!</v>
      </c>
      <c r="AT313" s="2" t="e">
        <f>VLOOKUP(H313,#REF!,13,FALSE)</f>
        <v>#REF!</v>
      </c>
      <c r="AU313" s="2" t="e">
        <f>VLOOKUP(H313,#REF!,13,FALSE)</f>
        <v>#REF!</v>
      </c>
      <c r="AV313" s="2" t="e">
        <f>VLOOKUP(H313,#REF!,13,FALSE)</f>
        <v>#REF!</v>
      </c>
      <c r="AW313" s="2" t="e">
        <f>VLOOKUP(H313,#REF!,13,FALSE)</f>
        <v>#REF!</v>
      </c>
      <c r="AX313" s="2" t="e">
        <f>VLOOKUP(H313,#REF!,9,FALSE)</f>
        <v>#REF!</v>
      </c>
      <c r="AZ313" s="189" t="e">
        <f>VLOOKUP(H313,#REF!,2,FALSE)</f>
        <v>#REF!</v>
      </c>
      <c r="BF313" s="189" t="e">
        <f>VLOOKUP(CLEAN(H313),#REF!,2,FALSE)</f>
        <v>#REF!</v>
      </c>
      <c r="BG313" s="189" t="e">
        <f>T313-BF313</f>
        <v>#REF!</v>
      </c>
      <c r="BO313" s="2" t="e">
        <f>VLOOKUP(H313,#REF!,13,FALSE)</f>
        <v>#REF!</v>
      </c>
      <c r="BP313" s="2" t="e">
        <f>VLOOKUP(H313,#REF!,2,FALSE)</f>
        <v>#REF!</v>
      </c>
      <c r="BQ313" s="2" t="e">
        <f>VLOOKUP(H313,#REF!,13,FALSE)</f>
        <v>#REF!</v>
      </c>
      <c r="BR313" s="2" t="e">
        <f>VLOOKUP(H313,#REF!,3,FALSE)</f>
        <v>#REF!</v>
      </c>
    </row>
    <row r="314" spans="1:70" ht="15" customHeight="1" outlineLevel="2">
      <c r="A314" s="7"/>
      <c r="B314" s="7"/>
      <c r="C314" s="7"/>
      <c r="D314" s="7"/>
      <c r="E314" s="7"/>
      <c r="F314" s="7"/>
      <c r="G314" s="7"/>
      <c r="H314" s="11"/>
      <c r="I314" s="11"/>
      <c r="J314" s="11"/>
      <c r="K314" s="11"/>
      <c r="L314" s="17" t="s">
        <v>691</v>
      </c>
      <c r="M314" s="27">
        <f>SUBTOTAL(9,M308:M313)</f>
        <v>2743250673</v>
      </c>
      <c r="N314" s="27">
        <f t="shared" ref="N314:O314" si="179">SUBTOTAL(9,N308:N313)</f>
        <v>1500832435</v>
      </c>
      <c r="O314" s="27">
        <f t="shared" si="179"/>
        <v>930968486</v>
      </c>
      <c r="P314" s="27">
        <f t="shared" ref="P314:X314" si="180">SUBTOTAL(9,P308:P313)</f>
        <v>306849062</v>
      </c>
      <c r="Q314" s="27">
        <f t="shared" si="180"/>
        <v>4500000</v>
      </c>
      <c r="R314" s="27">
        <f t="shared" si="180"/>
        <v>77668994</v>
      </c>
      <c r="S314" s="27">
        <f t="shared" si="180"/>
        <v>389018056</v>
      </c>
      <c r="T314" s="27">
        <f t="shared" si="180"/>
        <v>165891463</v>
      </c>
      <c r="U314" s="27">
        <f t="shared" si="180"/>
        <v>102382115</v>
      </c>
      <c r="V314" s="27">
        <f t="shared" si="180"/>
        <v>657291634</v>
      </c>
      <c r="W314" s="27">
        <f t="shared" si="180"/>
        <v>273676852</v>
      </c>
      <c r="X314" s="27">
        <f t="shared" si="180"/>
        <v>311449752</v>
      </c>
      <c r="Y314" s="47"/>
      <c r="Z314" s="47"/>
      <c r="AM314" s="185" t="e">
        <f>VLOOKUP(CLEAN(H314),#REF!,7,FALSE)</f>
        <v>#REF!</v>
      </c>
      <c r="AO314"/>
      <c r="AP314"/>
      <c r="AQ314"/>
      <c r="AR314" s="2" t="e">
        <f>VLOOKUP(CLEAN(H314),#REF!,2,FALSE)</f>
        <v>#REF!</v>
      </c>
      <c r="AZ314" s="2" t="e">
        <f>VLOOKUP(H314,#REF!,2,FALSE)</f>
        <v>#REF!</v>
      </c>
      <c r="BO314" s="2" t="e">
        <f>VLOOKUP(H314,#REF!,13,FALSE)</f>
        <v>#REF!</v>
      </c>
      <c r="BQ314" s="2" t="e">
        <f>VLOOKUP(H314,#REF!,13,FALSE)</f>
        <v>#REF!</v>
      </c>
    </row>
    <row r="315" spans="1:70" ht="15" customHeight="1" outlineLevel="2">
      <c r="A315" s="7"/>
      <c r="B315" s="7"/>
      <c r="C315" s="7"/>
      <c r="D315" s="7"/>
      <c r="E315" s="7"/>
      <c r="F315" s="7"/>
      <c r="G315" s="7"/>
      <c r="H315" s="11"/>
      <c r="I315" s="11"/>
      <c r="J315" s="11"/>
      <c r="K315" s="11"/>
      <c r="L315" s="292"/>
      <c r="M315" s="22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47"/>
      <c r="Z315" s="47"/>
      <c r="AM315" s="185" t="e">
        <f>VLOOKUP(CLEAN(H315),#REF!,7,FALSE)</f>
        <v>#REF!</v>
      </c>
      <c r="AO315"/>
      <c r="AP315"/>
      <c r="AQ315"/>
      <c r="AR315" s="2" t="e">
        <f>VLOOKUP(CLEAN(H315),#REF!,2,FALSE)</f>
        <v>#REF!</v>
      </c>
      <c r="AZ315" s="2" t="e">
        <f>VLOOKUP(H315,#REF!,2,FALSE)</f>
        <v>#REF!</v>
      </c>
      <c r="BO315" s="2" t="e">
        <f>VLOOKUP(H315,#REF!,13,FALSE)</f>
        <v>#REF!</v>
      </c>
      <c r="BP315" s="293"/>
      <c r="BQ315" s="2" t="e">
        <f>VLOOKUP(H315,#REF!,13,FALSE)</f>
        <v>#REF!</v>
      </c>
    </row>
    <row r="316" spans="1:70" ht="15" customHeight="1" outlineLevel="2">
      <c r="A316" s="7"/>
      <c r="B316" s="7"/>
      <c r="C316" s="7"/>
      <c r="D316" s="7"/>
      <c r="E316" s="7"/>
      <c r="F316" s="7"/>
      <c r="G316" s="7"/>
      <c r="H316" s="11"/>
      <c r="I316" s="11"/>
      <c r="J316" s="11"/>
      <c r="K316" s="11"/>
      <c r="L316" s="18" t="s">
        <v>698</v>
      </c>
      <c r="M316" s="22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47"/>
      <c r="Z316" s="47"/>
      <c r="AO316"/>
      <c r="AP316"/>
      <c r="AQ316"/>
      <c r="AR316" s="2"/>
      <c r="AZ316" s="2"/>
      <c r="BO316" s="2"/>
      <c r="BQ316" s="2" t="e">
        <f>VLOOKUP(H316,#REF!,13,FALSE)</f>
        <v>#REF!</v>
      </c>
    </row>
    <row r="317" spans="1:70" s="2" customFormat="1" ht="15" customHeight="1" outlineLevel="2">
      <c r="A317" s="5">
        <v>29</v>
      </c>
      <c r="B317" s="5" t="s">
        <v>11</v>
      </c>
      <c r="C317" s="5" t="s">
        <v>251</v>
      </c>
      <c r="D317" s="5" t="s">
        <v>22</v>
      </c>
      <c r="E317" s="5" t="s">
        <v>26</v>
      </c>
      <c r="F317" s="5" t="s">
        <v>457</v>
      </c>
      <c r="G317" s="5" t="s">
        <v>144</v>
      </c>
      <c r="H317" s="12">
        <v>30377674</v>
      </c>
      <c r="I317" s="311" t="str">
        <f>CONCATENATE(H317,"-",G317)</f>
        <v>30377674-EJECUCION</v>
      </c>
      <c r="J317" s="190"/>
      <c r="K317" s="309" t="str">
        <f>CLEAN(H317)</f>
        <v>30377674</v>
      </c>
      <c r="L317" s="15" t="s">
        <v>811</v>
      </c>
      <c r="M317" s="23">
        <v>265742000</v>
      </c>
      <c r="N317" s="34">
        <v>0</v>
      </c>
      <c r="O317" s="34">
        <v>265742000</v>
      </c>
      <c r="P317" s="310">
        <v>0</v>
      </c>
      <c r="Q317" s="34">
        <v>0</v>
      </c>
      <c r="R317" s="308">
        <v>0</v>
      </c>
      <c r="S317" s="34">
        <f>P317+Q317+R317</f>
        <v>0</v>
      </c>
      <c r="T317" s="34">
        <v>0</v>
      </c>
      <c r="U317" s="34">
        <v>0</v>
      </c>
      <c r="V317" s="34">
        <f>P317+Q317+R317+T317+U317</f>
        <v>0</v>
      </c>
      <c r="W317" s="34">
        <f>O317-V317</f>
        <v>265742000</v>
      </c>
      <c r="X317" s="34">
        <f>M317-(N317+O317)</f>
        <v>0</v>
      </c>
      <c r="Y317" s="48" t="s">
        <v>460</v>
      </c>
      <c r="Z317" s="48" t="s">
        <v>10</v>
      </c>
      <c r="AA317" s="2" t="e">
        <v>#N/A</v>
      </c>
      <c r="AB317" s="2" t="e">
        <f>VLOOKUP(H317,#REF!,2,FALSE)</f>
        <v>#REF!</v>
      </c>
      <c r="AJ317" s="185"/>
      <c r="AK317" s="185"/>
      <c r="AL317" s="185"/>
      <c r="AM317" s="185"/>
      <c r="AN317" s="2" t="e">
        <f>VLOOKUP(H317,#REF!,8,FALSE)</f>
        <v>#REF!</v>
      </c>
      <c r="AO317" s="189" t="e">
        <f>VLOOKUP(H317,#REF!,2,FALSE)</f>
        <v>#REF!</v>
      </c>
      <c r="AP317" s="189" t="e">
        <f>VLOOKUP(H317,#REF!,2,FALSE)</f>
        <v>#REF!</v>
      </c>
      <c r="AQ317" s="189"/>
      <c r="AR317" s="2" t="e">
        <f>VLOOKUP(CLEAN(H317),#REF!,2,FALSE)</f>
        <v>#REF!</v>
      </c>
      <c r="AT317" s="2" t="e">
        <f>VLOOKUP(H317,#REF!,13,FALSE)</f>
        <v>#REF!</v>
      </c>
      <c r="AU317" s="2" t="e">
        <f>VLOOKUP(H317,#REF!,13,FALSE)</f>
        <v>#REF!</v>
      </c>
      <c r="AV317" s="2" t="e">
        <f>VLOOKUP(H317,#REF!,13,FALSE)</f>
        <v>#REF!</v>
      </c>
      <c r="AW317" s="2" t="e">
        <f>VLOOKUP(H317,#REF!,13,FALSE)</f>
        <v>#REF!</v>
      </c>
      <c r="AX317" s="2" t="e">
        <f>VLOOKUP(H317,#REF!,9,FALSE)</f>
        <v>#REF!</v>
      </c>
      <c r="AZ317" s="2" t="e">
        <f>VLOOKUP(H317,#REF!,2,FALSE)</f>
        <v>#REF!</v>
      </c>
      <c r="BF317" s="189" t="e">
        <f>VLOOKUP(CLEAN(H317),#REF!,2,FALSE)</f>
        <v>#REF!</v>
      </c>
      <c r="BG317" s="189" t="e">
        <f>T317-BF317</f>
        <v>#REF!</v>
      </c>
      <c r="BO317" s="2" t="e">
        <f>VLOOKUP(H317,#REF!,13,FALSE)</f>
        <v>#REF!</v>
      </c>
      <c r="BP317" s="2" t="e">
        <f>VLOOKUP(H317,#REF!,2,FALSE)</f>
        <v>#REF!</v>
      </c>
      <c r="BQ317" s="2" t="e">
        <f>VLOOKUP(H317,#REF!,13,FALSE)</f>
        <v>#REF!</v>
      </c>
      <c r="BR317" s="2" t="e">
        <f>VLOOKUP(H317,#REF!,3,FALSE)</f>
        <v>#REF!</v>
      </c>
    </row>
    <row r="318" spans="1:70" ht="15" customHeight="1" outlineLevel="2">
      <c r="A318" s="7"/>
      <c r="B318" s="7"/>
      <c r="C318" s="7"/>
      <c r="D318" s="7"/>
      <c r="E318" s="7"/>
      <c r="F318" s="7"/>
      <c r="G318" s="7"/>
      <c r="H318" s="11"/>
      <c r="I318" s="11"/>
      <c r="J318" s="11"/>
      <c r="K318" s="11"/>
      <c r="L318" s="17" t="s">
        <v>692</v>
      </c>
      <c r="M318" s="27">
        <f>SUBTOTAL(9,M317)</f>
        <v>265742000</v>
      </c>
      <c r="N318" s="27">
        <f t="shared" ref="N318:O318" si="181">SUBTOTAL(9,N317)</f>
        <v>0</v>
      </c>
      <c r="O318" s="27">
        <f t="shared" si="181"/>
        <v>265742000</v>
      </c>
      <c r="P318" s="24">
        <f t="shared" ref="P318:X318" si="182">SUBTOTAL(9,P317)</f>
        <v>0</v>
      </c>
      <c r="Q318" s="24">
        <f t="shared" si="182"/>
        <v>0</v>
      </c>
      <c r="R318" s="24">
        <f t="shared" si="182"/>
        <v>0</v>
      </c>
      <c r="S318" s="27">
        <f t="shared" si="182"/>
        <v>0</v>
      </c>
      <c r="T318" s="27">
        <f t="shared" si="182"/>
        <v>0</v>
      </c>
      <c r="U318" s="27">
        <f t="shared" si="182"/>
        <v>0</v>
      </c>
      <c r="V318" s="27">
        <f t="shared" si="182"/>
        <v>0</v>
      </c>
      <c r="W318" s="27">
        <f t="shared" si="182"/>
        <v>265742000</v>
      </c>
      <c r="X318" s="27">
        <f t="shared" si="182"/>
        <v>0</v>
      </c>
      <c r="Y318" s="47"/>
      <c r="Z318" s="47"/>
      <c r="AO318"/>
      <c r="AP318"/>
      <c r="AQ318"/>
      <c r="AR318" s="2"/>
      <c r="AZ318" s="2"/>
      <c r="BO318" s="2"/>
      <c r="BQ318" s="2" t="e">
        <f>VLOOKUP(H318,#REF!,13,FALSE)</f>
        <v>#REF!</v>
      </c>
    </row>
    <row r="319" spans="1:70" ht="15" customHeight="1" outlineLevel="2">
      <c r="A319" s="7"/>
      <c r="B319" s="7"/>
      <c r="C319" s="7"/>
      <c r="D319" s="7"/>
      <c r="E319" s="7"/>
      <c r="F319" s="7"/>
      <c r="G319" s="7"/>
      <c r="H319" s="11"/>
      <c r="I319" s="11"/>
      <c r="J319" s="11"/>
      <c r="K319" s="11"/>
      <c r="L319" s="292"/>
      <c r="M319" s="22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47"/>
      <c r="Z319" s="47"/>
      <c r="AO319"/>
      <c r="AP319"/>
      <c r="AQ319"/>
      <c r="AR319" s="2"/>
      <c r="AZ319" s="2"/>
      <c r="BO319" s="2"/>
      <c r="BP319" s="293"/>
      <c r="BQ319" s="2" t="e">
        <f>VLOOKUP(H319,#REF!,13,FALSE)</f>
        <v>#REF!</v>
      </c>
    </row>
    <row r="320" spans="1:70" ht="15" customHeight="1" outlineLevel="2">
      <c r="A320" s="7"/>
      <c r="B320" s="7"/>
      <c r="C320" s="7"/>
      <c r="D320" s="7"/>
      <c r="E320" s="7"/>
      <c r="F320" s="7"/>
      <c r="G320" s="7"/>
      <c r="H320" s="11"/>
      <c r="I320" s="11"/>
      <c r="J320" s="11"/>
      <c r="K320" s="11"/>
      <c r="L320" s="18" t="s">
        <v>701</v>
      </c>
      <c r="M320" s="22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47"/>
      <c r="Z320" s="47"/>
      <c r="AM320" s="185" t="e">
        <f>VLOOKUP(CLEAN(H320),#REF!,7,FALSE)</f>
        <v>#REF!</v>
      </c>
      <c r="AO320"/>
      <c r="AP320"/>
      <c r="AQ320"/>
      <c r="AR320" s="2" t="e">
        <f>VLOOKUP(CLEAN(H320),#REF!,2,FALSE)</f>
        <v>#REF!</v>
      </c>
      <c r="AZ320" s="2" t="e">
        <f>VLOOKUP(H320,#REF!,2,FALSE)</f>
        <v>#REF!</v>
      </c>
      <c r="BO320" s="2" t="e">
        <f>VLOOKUP(H320,#REF!,13,FALSE)</f>
        <v>#REF!</v>
      </c>
      <c r="BQ320" s="2" t="e">
        <f>VLOOKUP(H320,#REF!,13,FALSE)</f>
        <v>#REF!</v>
      </c>
    </row>
    <row r="321" spans="1:70" s="2" customFormat="1" ht="15" customHeight="1" outlineLevel="2">
      <c r="A321" s="5">
        <v>31</v>
      </c>
      <c r="B321" s="5" t="s">
        <v>54</v>
      </c>
      <c r="C321" s="5" t="s">
        <v>241</v>
      </c>
      <c r="D321" s="5" t="s">
        <v>22</v>
      </c>
      <c r="E321" s="5" t="s">
        <v>26</v>
      </c>
      <c r="F321" s="5" t="s">
        <v>89</v>
      </c>
      <c r="G321" s="5" t="s">
        <v>144</v>
      </c>
      <c r="H321" s="12">
        <v>30458322</v>
      </c>
      <c r="I321" s="42" t="str">
        <f t="shared" ref="I321:I322" si="183">CONCATENATE(H321,"-",G321)</f>
        <v>30458322-EJECUCION</v>
      </c>
      <c r="J321" s="12"/>
      <c r="K321" s="307" t="str">
        <f t="shared" ref="K321:K322" si="184">CLEAN(H321)</f>
        <v>30458322</v>
      </c>
      <c r="L321" s="15" t="s">
        <v>757</v>
      </c>
      <c r="M321" s="23">
        <v>313240000</v>
      </c>
      <c r="N321" s="34">
        <v>7350000</v>
      </c>
      <c r="O321" s="34">
        <v>30000000</v>
      </c>
      <c r="P321" s="310">
        <v>0</v>
      </c>
      <c r="Q321" s="34">
        <v>0</v>
      </c>
      <c r="R321" s="308">
        <v>0</v>
      </c>
      <c r="S321" s="34">
        <f t="shared" ref="S321:S322" si="185">P321+Q321+R321</f>
        <v>0</v>
      </c>
      <c r="T321" s="34">
        <v>0</v>
      </c>
      <c r="U321" s="34">
        <v>0</v>
      </c>
      <c r="V321" s="34">
        <f>P321+Q321+R321+T321+U321</f>
        <v>0</v>
      </c>
      <c r="W321" s="34">
        <f>O321-V321</f>
        <v>30000000</v>
      </c>
      <c r="X321" s="34">
        <f>M321-(N321+O321)</f>
        <v>275890000</v>
      </c>
      <c r="Y321" s="48" t="s">
        <v>243</v>
      </c>
      <c r="Z321" s="48" t="s">
        <v>10</v>
      </c>
      <c r="AA321" s="2" t="s">
        <v>846</v>
      </c>
      <c r="AB321" s="2" t="e">
        <f>VLOOKUP(H321,#REF!,2,FALSE)</f>
        <v>#REF!</v>
      </c>
      <c r="AC321" s="2" t="e">
        <f>VLOOKUP(I321,#REF!,2,FALSE)</f>
        <v>#REF!</v>
      </c>
      <c r="AD321" s="2" t="e">
        <f>VLOOKUP(H321,#REF!,13,FALSE)</f>
        <v>#REF!</v>
      </c>
      <c r="AE321" s="2" t="e">
        <f>VLOOKUP(I321,#REF!,7,FALSE)</f>
        <v>#REF!</v>
      </c>
      <c r="AG321" s="2" t="e">
        <f>VLOOKUP(H321,#REF!,13,FALSE)</f>
        <v>#REF!</v>
      </c>
      <c r="AH321" s="2" t="e">
        <f>VLOOKUP(I321,#REF!,2,FALSE)</f>
        <v>#REF!</v>
      </c>
      <c r="AJ321" s="185" t="e">
        <f>VLOOKUP(H321,#REF!,3,FALSE)</f>
        <v>#REF!</v>
      </c>
      <c r="AK321" s="185"/>
      <c r="AL321" s="185" t="e">
        <f>VLOOKUP(H321,#REF!,13,FALSE)</f>
        <v>#REF!</v>
      </c>
      <c r="AM321" s="185" t="e">
        <f>VLOOKUP(CLEAN(H321),#REF!,7,FALSE)</f>
        <v>#REF!</v>
      </c>
      <c r="AN321" s="2" t="e">
        <f>VLOOKUP(H321,#REF!,8,FALSE)</f>
        <v>#REF!</v>
      </c>
      <c r="AO321" s="189" t="e">
        <f>VLOOKUP(H321,#REF!,2,FALSE)</f>
        <v>#REF!</v>
      </c>
      <c r="AP321" s="189" t="e">
        <f>VLOOKUP(H321,#REF!,2,FALSE)</f>
        <v>#REF!</v>
      </c>
      <c r="AQ321" s="189"/>
      <c r="AR321" s="2" t="e">
        <f>VLOOKUP(CLEAN(H321),#REF!,2,FALSE)</f>
        <v>#REF!</v>
      </c>
      <c r="AT321" s="2" t="e">
        <f>VLOOKUP(H321,#REF!,13,FALSE)</f>
        <v>#REF!</v>
      </c>
      <c r="AU321" s="2" t="e">
        <f>VLOOKUP(H321,#REF!,13,FALSE)</f>
        <v>#REF!</v>
      </c>
      <c r="AV321" s="2" t="e">
        <f>VLOOKUP(H321,#REF!,13,FALSE)</f>
        <v>#REF!</v>
      </c>
      <c r="AW321" s="2" t="e">
        <f>VLOOKUP(H321,#REF!,13,FALSE)</f>
        <v>#REF!</v>
      </c>
      <c r="AX321" s="2" t="e">
        <f>VLOOKUP(H321,#REF!,9,FALSE)</f>
        <v>#REF!</v>
      </c>
      <c r="AZ321" s="189" t="e">
        <f>VLOOKUP(H321,#REF!,2,FALSE)</f>
        <v>#REF!</v>
      </c>
      <c r="BF321" s="189" t="e">
        <f>VLOOKUP(CLEAN(H321),#REF!,2,FALSE)</f>
        <v>#REF!</v>
      </c>
      <c r="BG321" s="189" t="e">
        <f>T321-BF321</f>
        <v>#REF!</v>
      </c>
      <c r="BO321" s="2" t="e">
        <f>VLOOKUP(H321,#REF!,13,FALSE)</f>
        <v>#REF!</v>
      </c>
      <c r="BP321" s="2" t="e">
        <f>VLOOKUP(H321,#REF!,2,FALSE)</f>
        <v>#REF!</v>
      </c>
      <c r="BQ321" s="2" t="e">
        <f>VLOOKUP(H321,#REF!,13,FALSE)</f>
        <v>#REF!</v>
      </c>
      <c r="BR321" s="2" t="e">
        <f>VLOOKUP(H321,#REF!,3,FALSE)</f>
        <v>#REF!</v>
      </c>
    </row>
    <row r="322" spans="1:70" s="2" customFormat="1" ht="15" customHeight="1" outlineLevel="2">
      <c r="A322" s="5">
        <v>31</v>
      </c>
      <c r="B322" s="5" t="s">
        <v>5</v>
      </c>
      <c r="C322" s="5" t="s">
        <v>248</v>
      </c>
      <c r="D322" s="5" t="s">
        <v>22</v>
      </c>
      <c r="E322" s="5" t="s">
        <v>26</v>
      </c>
      <c r="F322" s="5" t="s">
        <v>15</v>
      </c>
      <c r="G322" s="5" t="s">
        <v>144</v>
      </c>
      <c r="H322" s="12">
        <v>30088011</v>
      </c>
      <c r="I322" s="42" t="str">
        <f t="shared" si="183"/>
        <v>30088011-EJECUCION</v>
      </c>
      <c r="J322" s="12"/>
      <c r="K322" s="307" t="str">
        <f t="shared" si="184"/>
        <v>30088011</v>
      </c>
      <c r="L322" s="15" t="s">
        <v>784</v>
      </c>
      <c r="M322" s="23">
        <v>608334000</v>
      </c>
      <c r="N322" s="34">
        <v>0</v>
      </c>
      <c r="O322" s="34">
        <v>0</v>
      </c>
      <c r="P322" s="310">
        <v>0</v>
      </c>
      <c r="Q322" s="34">
        <v>0</v>
      </c>
      <c r="R322" s="308">
        <v>0</v>
      </c>
      <c r="S322" s="34">
        <f t="shared" si="185"/>
        <v>0</v>
      </c>
      <c r="T322" s="34">
        <v>0</v>
      </c>
      <c r="U322" s="34">
        <v>0</v>
      </c>
      <c r="V322" s="34">
        <f>P322+Q322+R322+T322+U322</f>
        <v>0</v>
      </c>
      <c r="W322" s="34">
        <f>O322-V322</f>
        <v>0</v>
      </c>
      <c r="X322" s="34">
        <f>M322-(N322+O322)</f>
        <v>608334000</v>
      </c>
      <c r="Y322" s="48" t="s">
        <v>418</v>
      </c>
      <c r="Z322" s="48" t="s">
        <v>8</v>
      </c>
      <c r="AA322" s="2" t="s">
        <v>843</v>
      </c>
      <c r="AB322" s="2" t="e">
        <f>VLOOKUP(H322,#REF!,2,FALSE)</f>
        <v>#REF!</v>
      </c>
      <c r="AC322" s="2" t="e">
        <f>VLOOKUP(I322,#REF!,2,FALSE)</f>
        <v>#REF!</v>
      </c>
      <c r="AD322" s="2" t="e">
        <f>VLOOKUP(H322,#REF!,13,FALSE)</f>
        <v>#REF!</v>
      </c>
      <c r="AE322" s="2" t="e">
        <f>VLOOKUP(I322,#REF!,7,FALSE)</f>
        <v>#REF!</v>
      </c>
      <c r="AG322" s="2" t="e">
        <f>VLOOKUP(H322,#REF!,13,FALSE)</f>
        <v>#REF!</v>
      </c>
      <c r="AH322" s="2" t="e">
        <f>VLOOKUP(I322,#REF!,2,FALSE)</f>
        <v>#REF!</v>
      </c>
      <c r="AJ322" s="185" t="e">
        <f>VLOOKUP(H322,#REF!,3,FALSE)</f>
        <v>#REF!</v>
      </c>
      <c r="AK322" s="185"/>
      <c r="AL322" s="185" t="e">
        <f>VLOOKUP(H322,#REF!,13,FALSE)</f>
        <v>#REF!</v>
      </c>
      <c r="AM322" s="185" t="e">
        <f>VLOOKUP(CLEAN(H322),#REF!,7,FALSE)</f>
        <v>#REF!</v>
      </c>
      <c r="AN322" s="2" t="e">
        <f>VLOOKUP(H322,#REF!,8,FALSE)</f>
        <v>#REF!</v>
      </c>
      <c r="AO322" s="189" t="e">
        <f>VLOOKUP(H322,#REF!,2,FALSE)</f>
        <v>#REF!</v>
      </c>
      <c r="AP322" s="189" t="e">
        <f>VLOOKUP(H322,#REF!,2,FALSE)</f>
        <v>#REF!</v>
      </c>
      <c r="AQ322" s="189"/>
      <c r="AR322" s="2" t="e">
        <f>VLOOKUP(CLEAN(H322),#REF!,2,FALSE)</f>
        <v>#REF!</v>
      </c>
      <c r="AT322" s="2" t="e">
        <f>VLOOKUP(H322,#REF!,13,FALSE)</f>
        <v>#REF!</v>
      </c>
      <c r="AU322" s="2" t="e">
        <f>VLOOKUP(H322,#REF!,13,FALSE)</f>
        <v>#REF!</v>
      </c>
      <c r="AV322" s="2" t="e">
        <f>VLOOKUP(H322,#REF!,13,FALSE)</f>
        <v>#REF!</v>
      </c>
      <c r="AW322" s="2" t="e">
        <f>VLOOKUP(H322,#REF!,13,FALSE)</f>
        <v>#REF!</v>
      </c>
      <c r="AX322" s="2" t="e">
        <f>VLOOKUP(H322,#REF!,9,FALSE)</f>
        <v>#REF!</v>
      </c>
      <c r="AY322" s="2" t="e">
        <f>VLOOKUP(H322,#REF!,2,FALSE)</f>
        <v>#REF!</v>
      </c>
      <c r="AZ322" s="189" t="e">
        <f>VLOOKUP(H322,#REF!,2,FALSE)</f>
        <v>#REF!</v>
      </c>
      <c r="BF322" s="189" t="e">
        <f>VLOOKUP(CLEAN(H322),#REF!,2,FALSE)</f>
        <v>#REF!</v>
      </c>
      <c r="BG322" s="189" t="e">
        <f>T322-BF322</f>
        <v>#REF!</v>
      </c>
      <c r="BO322" s="2" t="e">
        <f>VLOOKUP(H322,#REF!,13,FALSE)</f>
        <v>#REF!</v>
      </c>
      <c r="BP322" s="2" t="e">
        <f>VLOOKUP(H322,#REF!,2,FALSE)</f>
        <v>#REF!</v>
      </c>
      <c r="BQ322" s="2" t="e">
        <f>VLOOKUP(H322,#REF!,13,FALSE)</f>
        <v>#REF!</v>
      </c>
      <c r="BR322" s="2" t="e">
        <f>VLOOKUP(H322,#REF!,3,FALSE)</f>
        <v>#REF!</v>
      </c>
    </row>
    <row r="323" spans="1:70" ht="15" customHeight="1" outlineLevel="2">
      <c r="A323" s="7"/>
      <c r="B323" s="7"/>
      <c r="C323" s="7"/>
      <c r="D323" s="7"/>
      <c r="E323" s="7"/>
      <c r="F323" s="7"/>
      <c r="G323" s="7"/>
      <c r="H323" s="11"/>
      <c r="I323" s="11"/>
      <c r="J323" s="11"/>
      <c r="K323" s="11"/>
      <c r="L323" s="17" t="s">
        <v>702</v>
      </c>
      <c r="M323" s="27">
        <f t="shared" ref="M323:X323" si="186">SUBTOTAL(9,M321:M322)</f>
        <v>921574000</v>
      </c>
      <c r="N323" s="27">
        <f t="shared" si="186"/>
        <v>7350000</v>
      </c>
      <c r="O323" s="27">
        <f t="shared" si="186"/>
        <v>30000000</v>
      </c>
      <c r="P323" s="24">
        <f t="shared" si="186"/>
        <v>0</v>
      </c>
      <c r="Q323" s="24">
        <f t="shared" si="186"/>
        <v>0</v>
      </c>
      <c r="R323" s="24">
        <f t="shared" si="186"/>
        <v>0</v>
      </c>
      <c r="S323" s="27">
        <f t="shared" si="186"/>
        <v>0</v>
      </c>
      <c r="T323" s="27">
        <f t="shared" si="186"/>
        <v>0</v>
      </c>
      <c r="U323" s="27">
        <f t="shared" si="186"/>
        <v>0</v>
      </c>
      <c r="V323" s="27">
        <f t="shared" si="186"/>
        <v>0</v>
      </c>
      <c r="W323" s="27">
        <f t="shared" si="186"/>
        <v>30000000</v>
      </c>
      <c r="X323" s="27">
        <f t="shared" si="186"/>
        <v>884224000</v>
      </c>
      <c r="Y323" s="47"/>
      <c r="Z323" s="47"/>
      <c r="AM323" s="185" t="e">
        <f>VLOOKUP(CLEAN(H323),#REF!,7,FALSE)</f>
        <v>#REF!</v>
      </c>
      <c r="AO323"/>
      <c r="AP323"/>
      <c r="AQ323"/>
      <c r="AR323" s="2" t="e">
        <f>VLOOKUP(CLEAN(H323),#REF!,2,FALSE)</f>
        <v>#REF!</v>
      </c>
      <c r="AZ323" s="2" t="e">
        <f>VLOOKUP(H323,#REF!,2,FALSE)</f>
        <v>#REF!</v>
      </c>
      <c r="BO323" s="2" t="e">
        <f>VLOOKUP(H323,#REF!,13,FALSE)</f>
        <v>#REF!</v>
      </c>
      <c r="BQ323" s="2" t="e">
        <f>VLOOKUP(H323,#REF!,13,FALSE)</f>
        <v>#REF!</v>
      </c>
    </row>
    <row r="324" spans="1:70" ht="15" customHeight="1" outlineLevel="2">
      <c r="A324" s="7"/>
      <c r="B324" s="7"/>
      <c r="C324" s="7"/>
      <c r="D324" s="7"/>
      <c r="E324" s="7"/>
      <c r="F324" s="7"/>
      <c r="G324" s="7"/>
      <c r="H324" s="11"/>
      <c r="I324" s="11"/>
      <c r="J324" s="11"/>
      <c r="K324" s="11"/>
      <c r="L324" s="292"/>
      <c r="M324" s="22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47"/>
      <c r="Z324" s="47"/>
      <c r="AM324" s="185" t="e">
        <f>VLOOKUP(CLEAN(H324),#REF!,7,FALSE)</f>
        <v>#REF!</v>
      </c>
      <c r="AO324"/>
      <c r="AP324"/>
      <c r="AQ324"/>
      <c r="AR324" s="2" t="e">
        <f>VLOOKUP(CLEAN(H324),#REF!,2,FALSE)</f>
        <v>#REF!</v>
      </c>
      <c r="AZ324" s="2" t="e">
        <f>VLOOKUP(H324,#REF!,2,FALSE)</f>
        <v>#REF!</v>
      </c>
      <c r="BO324" s="2" t="e">
        <f>VLOOKUP(H324,#REF!,13,FALSE)</f>
        <v>#REF!</v>
      </c>
      <c r="BP324" s="293"/>
      <c r="BQ324" s="2" t="e">
        <f>VLOOKUP(H324,#REF!,13,FALSE)</f>
        <v>#REF!</v>
      </c>
    </row>
    <row r="325" spans="1:70" ht="15" customHeight="1" outlineLevel="2">
      <c r="A325" s="7"/>
      <c r="B325" s="7"/>
      <c r="C325" s="7"/>
      <c r="D325" s="7"/>
      <c r="E325" s="7"/>
      <c r="F325" s="7"/>
      <c r="G325" s="7"/>
      <c r="H325" s="11"/>
      <c r="I325" s="11"/>
      <c r="J325" s="11"/>
      <c r="K325" s="11"/>
      <c r="L325" s="18" t="s">
        <v>696</v>
      </c>
      <c r="M325" s="22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47"/>
      <c r="Z325" s="47"/>
      <c r="AM325" s="185" t="e">
        <f>VLOOKUP(CLEAN(H325),#REF!,7,FALSE)</f>
        <v>#REF!</v>
      </c>
      <c r="AO325"/>
      <c r="AP325"/>
      <c r="AQ325"/>
      <c r="AR325" s="2" t="e">
        <f>VLOOKUP(CLEAN(H325),#REF!,2,FALSE)</f>
        <v>#REF!</v>
      </c>
      <c r="AZ325" s="2" t="e">
        <f>VLOOKUP(H325,#REF!,2,FALSE)</f>
        <v>#REF!</v>
      </c>
      <c r="BO325" s="2" t="e">
        <f>VLOOKUP(H325,#REF!,13,FALSE)</f>
        <v>#REF!</v>
      </c>
      <c r="BQ325" s="2" t="e">
        <f>VLOOKUP(H325,#REF!,13,FALSE)</f>
        <v>#REF!</v>
      </c>
    </row>
    <row r="326" spans="1:70" s="2" customFormat="1" ht="15" customHeight="1" outlineLevel="2">
      <c r="A326" s="5">
        <v>31</v>
      </c>
      <c r="B326" s="5" t="s">
        <v>11</v>
      </c>
      <c r="C326" s="5" t="s">
        <v>253</v>
      </c>
      <c r="D326" s="5" t="s">
        <v>22</v>
      </c>
      <c r="E326" s="5" t="s">
        <v>26</v>
      </c>
      <c r="F326" s="5" t="s">
        <v>457</v>
      </c>
      <c r="G326" s="5" t="s">
        <v>144</v>
      </c>
      <c r="H326" s="12">
        <v>30134714</v>
      </c>
      <c r="I326" s="42" t="str">
        <f t="shared" ref="I326:I330" si="187">CONCATENATE(H326,"-",G326)</f>
        <v>30134714-EJECUCION</v>
      </c>
      <c r="J326" s="12"/>
      <c r="K326" s="307" t="str">
        <f t="shared" ref="K326:K330" si="188">CLEAN(H326)</f>
        <v>30134714</v>
      </c>
      <c r="L326" s="15" t="s">
        <v>324</v>
      </c>
      <c r="M326" s="23">
        <v>737484000</v>
      </c>
      <c r="N326" s="34">
        <v>0</v>
      </c>
      <c r="O326" s="34">
        <f>100000000-2400000-55267100-38202900</f>
        <v>4130000</v>
      </c>
      <c r="P326" s="310">
        <v>0</v>
      </c>
      <c r="Q326" s="34">
        <v>0</v>
      </c>
      <c r="R326" s="308">
        <v>0</v>
      </c>
      <c r="S326" s="34">
        <f t="shared" ref="S326:S330" si="189">P326+Q326+R326</f>
        <v>0</v>
      </c>
      <c r="T326" s="34">
        <v>0</v>
      </c>
      <c r="U326" s="34">
        <v>0</v>
      </c>
      <c r="V326" s="34">
        <f>P326+Q326+R326+T326+U326</f>
        <v>0</v>
      </c>
      <c r="W326" s="34">
        <f>O326-V326</f>
        <v>4130000</v>
      </c>
      <c r="X326" s="34">
        <f>M326-(N326+O326)</f>
        <v>733354000</v>
      </c>
      <c r="Y326" s="48" t="s">
        <v>246</v>
      </c>
      <c r="Z326" s="48" t="s">
        <v>270</v>
      </c>
      <c r="AA326" s="2" t="e">
        <v>#N/A</v>
      </c>
      <c r="AB326" s="2" t="e">
        <f>VLOOKUP(H326,#REF!,2,FALSE)</f>
        <v>#REF!</v>
      </c>
      <c r="AC326" s="2" t="e">
        <f>VLOOKUP(I326,#REF!,2,FALSE)</f>
        <v>#REF!</v>
      </c>
      <c r="AD326" s="2" t="e">
        <f>VLOOKUP(H326,#REF!,13,FALSE)</f>
        <v>#REF!</v>
      </c>
      <c r="AE326" s="2" t="e">
        <f>VLOOKUP(I326,#REF!,7,FALSE)</f>
        <v>#REF!</v>
      </c>
      <c r="AG326" s="2" t="e">
        <f>VLOOKUP(H326,#REF!,13,FALSE)</f>
        <v>#REF!</v>
      </c>
      <c r="AH326" s="2" t="e">
        <f>VLOOKUP(I326,#REF!,2,FALSE)</f>
        <v>#REF!</v>
      </c>
      <c r="AJ326" s="185" t="e">
        <f>VLOOKUP(H326,#REF!,3,FALSE)</f>
        <v>#REF!</v>
      </c>
      <c r="AK326" s="185"/>
      <c r="AL326" s="185" t="e">
        <f>VLOOKUP(H326,#REF!,13,FALSE)</f>
        <v>#REF!</v>
      </c>
      <c r="AM326" s="185" t="e">
        <f>VLOOKUP(CLEAN(H326),#REF!,7,FALSE)</f>
        <v>#REF!</v>
      </c>
      <c r="AN326" s="2" t="e">
        <f>VLOOKUP(H326,#REF!,8,FALSE)</f>
        <v>#REF!</v>
      </c>
      <c r="AO326" s="189" t="e">
        <f>VLOOKUP(H326,#REF!,2,FALSE)</f>
        <v>#REF!</v>
      </c>
      <c r="AP326" s="189" t="e">
        <f>VLOOKUP(H326,#REF!,2,FALSE)</f>
        <v>#REF!</v>
      </c>
      <c r="AQ326" s="189"/>
      <c r="AR326" s="2" t="e">
        <f>VLOOKUP(CLEAN(H326),#REF!,2,FALSE)</f>
        <v>#REF!</v>
      </c>
      <c r="AT326" s="2" t="e">
        <f>VLOOKUP(H326,#REF!,13,FALSE)</f>
        <v>#REF!</v>
      </c>
      <c r="AU326" s="2" t="e">
        <f>VLOOKUP(H326,#REF!,13,FALSE)</f>
        <v>#REF!</v>
      </c>
      <c r="AV326" s="2" t="e">
        <f>VLOOKUP(H326,#REF!,13,FALSE)</f>
        <v>#REF!</v>
      </c>
      <c r="AW326" s="2" t="e">
        <f>VLOOKUP(H326,#REF!,13,FALSE)</f>
        <v>#REF!</v>
      </c>
      <c r="AX326" s="2" t="e">
        <f>VLOOKUP(H326,#REF!,9,FALSE)</f>
        <v>#REF!</v>
      </c>
      <c r="AZ326" s="2" t="e">
        <f>VLOOKUP(H326,#REF!,2,FALSE)</f>
        <v>#REF!</v>
      </c>
      <c r="BF326" s="189" t="e">
        <f>VLOOKUP(CLEAN(H326),#REF!,2,FALSE)</f>
        <v>#REF!</v>
      </c>
      <c r="BG326" s="189" t="e">
        <f>T326-BF326</f>
        <v>#REF!</v>
      </c>
      <c r="BO326" s="2" t="e">
        <f>VLOOKUP(H326,#REF!,13,FALSE)</f>
        <v>#REF!</v>
      </c>
      <c r="BP326" s="2" t="e">
        <f>VLOOKUP(H326,#REF!,2,FALSE)</f>
        <v>#REF!</v>
      </c>
      <c r="BQ326" s="2" t="e">
        <f>VLOOKUP(H326,#REF!,13,FALSE)</f>
        <v>#REF!</v>
      </c>
      <c r="BR326" s="2" t="e">
        <f>VLOOKUP(H326,#REF!,3,FALSE)</f>
        <v>#REF!</v>
      </c>
    </row>
    <row r="327" spans="1:70" s="2" customFormat="1" ht="15" customHeight="1" outlineLevel="2">
      <c r="A327" s="5">
        <v>31</v>
      </c>
      <c r="B327" s="5" t="s">
        <v>11</v>
      </c>
      <c r="C327" s="5" t="s">
        <v>240</v>
      </c>
      <c r="D327" s="5" t="s">
        <v>22</v>
      </c>
      <c r="E327" s="5" t="s">
        <v>26</v>
      </c>
      <c r="F327" s="5" t="s">
        <v>457</v>
      </c>
      <c r="G327" s="5" t="s">
        <v>144</v>
      </c>
      <c r="H327" s="12">
        <v>30282773</v>
      </c>
      <c r="I327" s="42" t="str">
        <f t="shared" si="187"/>
        <v>30282773-EJECUCION</v>
      </c>
      <c r="J327" s="12"/>
      <c r="K327" s="307" t="str">
        <f t="shared" si="188"/>
        <v>30282773</v>
      </c>
      <c r="L327" s="15" t="s">
        <v>343</v>
      </c>
      <c r="M327" s="23">
        <v>484346000</v>
      </c>
      <c r="N327" s="34">
        <v>0</v>
      </c>
      <c r="O327" s="34">
        <f>50000000-30621463</f>
        <v>19378537</v>
      </c>
      <c r="P327" s="310">
        <v>0</v>
      </c>
      <c r="Q327" s="34">
        <v>0</v>
      </c>
      <c r="R327" s="308">
        <v>0</v>
      </c>
      <c r="S327" s="34">
        <f t="shared" si="189"/>
        <v>0</v>
      </c>
      <c r="T327" s="34">
        <v>0</v>
      </c>
      <c r="U327" s="34">
        <v>0</v>
      </c>
      <c r="V327" s="34">
        <f>P327+Q327+R327+T327+U327</f>
        <v>0</v>
      </c>
      <c r="W327" s="34">
        <f>O327-V327</f>
        <v>19378537</v>
      </c>
      <c r="X327" s="34">
        <f>M327-(N327+O327)</f>
        <v>464967463</v>
      </c>
      <c r="Y327" s="48" t="s">
        <v>246</v>
      </c>
      <c r="Z327" s="48" t="s">
        <v>270</v>
      </c>
      <c r="AA327" s="2" t="e">
        <v>#N/A</v>
      </c>
      <c r="AB327" s="2" t="e">
        <f>VLOOKUP(H327,#REF!,2,FALSE)</f>
        <v>#REF!</v>
      </c>
      <c r="AC327" s="2" t="e">
        <f>VLOOKUP(I327,#REF!,2,FALSE)</f>
        <v>#REF!</v>
      </c>
      <c r="AD327" s="2" t="e">
        <f>VLOOKUP(H327,#REF!,13,FALSE)</f>
        <v>#REF!</v>
      </c>
      <c r="AE327" s="2" t="e">
        <f>VLOOKUP(I327,#REF!,7,FALSE)</f>
        <v>#REF!</v>
      </c>
      <c r="AG327" s="2" t="e">
        <f>VLOOKUP(H327,#REF!,13,FALSE)</f>
        <v>#REF!</v>
      </c>
      <c r="AH327" s="2" t="e">
        <f>VLOOKUP(I327,#REF!,2,FALSE)</f>
        <v>#REF!</v>
      </c>
      <c r="AJ327" s="185" t="e">
        <f>VLOOKUP(H327,#REF!,3,FALSE)</f>
        <v>#REF!</v>
      </c>
      <c r="AK327" s="185"/>
      <c r="AL327" s="185" t="e">
        <f>VLOOKUP(H327,#REF!,13,FALSE)</f>
        <v>#REF!</v>
      </c>
      <c r="AM327" s="185" t="e">
        <f>VLOOKUP(CLEAN(H327),#REF!,7,FALSE)</f>
        <v>#REF!</v>
      </c>
      <c r="AN327" s="2" t="e">
        <f>VLOOKUP(H327,#REF!,8,FALSE)</f>
        <v>#REF!</v>
      </c>
      <c r="AO327" s="189" t="e">
        <f>VLOOKUP(H327,#REF!,2,FALSE)</f>
        <v>#REF!</v>
      </c>
      <c r="AP327" s="189" t="e">
        <f>VLOOKUP(H327,#REF!,2,FALSE)</f>
        <v>#REF!</v>
      </c>
      <c r="AQ327" s="189"/>
      <c r="AR327" s="2" t="e">
        <f>VLOOKUP(CLEAN(H327),#REF!,2,FALSE)</f>
        <v>#REF!</v>
      </c>
      <c r="AT327" s="2" t="e">
        <f>VLOOKUP(H327,#REF!,13,FALSE)</f>
        <v>#REF!</v>
      </c>
      <c r="AU327" s="2" t="e">
        <f>VLOOKUP(H327,#REF!,13,FALSE)</f>
        <v>#REF!</v>
      </c>
      <c r="AV327" s="2" t="e">
        <f>VLOOKUP(H327,#REF!,13,FALSE)</f>
        <v>#REF!</v>
      </c>
      <c r="AW327" s="2" t="e">
        <f>VLOOKUP(H327,#REF!,13,FALSE)</f>
        <v>#REF!</v>
      </c>
      <c r="AX327" s="2" t="e">
        <f>VLOOKUP(H327,#REF!,9,FALSE)</f>
        <v>#REF!</v>
      </c>
      <c r="AZ327" s="2" t="e">
        <f>VLOOKUP(H327,#REF!,2,FALSE)</f>
        <v>#REF!</v>
      </c>
      <c r="BF327" s="189" t="e">
        <f>VLOOKUP(CLEAN(H327),#REF!,2,FALSE)</f>
        <v>#REF!</v>
      </c>
      <c r="BG327" s="189" t="e">
        <f>T327-BF327</f>
        <v>#REF!</v>
      </c>
      <c r="BO327" s="2" t="e">
        <f>VLOOKUP(H327,#REF!,13,FALSE)</f>
        <v>#REF!</v>
      </c>
      <c r="BP327" s="2" t="e">
        <f>VLOOKUP(H327,#REF!,2,FALSE)</f>
        <v>#REF!</v>
      </c>
      <c r="BQ327" s="2" t="e">
        <f>VLOOKUP(H327,#REF!,13,FALSE)</f>
        <v>#REF!</v>
      </c>
      <c r="BR327" s="2" t="e">
        <f>VLOOKUP(H327,#REF!,3,FALSE)</f>
        <v>#REF!</v>
      </c>
    </row>
    <row r="328" spans="1:70" s="2" customFormat="1" ht="15" customHeight="1" outlineLevel="2">
      <c r="A328" s="5">
        <v>31</v>
      </c>
      <c r="B328" s="5" t="s">
        <v>11</v>
      </c>
      <c r="C328" s="5" t="s">
        <v>248</v>
      </c>
      <c r="D328" s="5" t="s">
        <v>22</v>
      </c>
      <c r="E328" s="5" t="s">
        <v>26</v>
      </c>
      <c r="F328" s="5" t="s">
        <v>457</v>
      </c>
      <c r="G328" s="5" t="s">
        <v>144</v>
      </c>
      <c r="H328" s="12">
        <v>30397144</v>
      </c>
      <c r="I328" s="42" t="str">
        <f t="shared" si="187"/>
        <v>30397144-EJECUCION</v>
      </c>
      <c r="J328" s="12"/>
      <c r="K328" s="307" t="str">
        <f t="shared" si="188"/>
        <v>30397144</v>
      </c>
      <c r="L328" s="15" t="s">
        <v>319</v>
      </c>
      <c r="M328" s="23">
        <v>1163589000</v>
      </c>
      <c r="N328" s="34">
        <v>0</v>
      </c>
      <c r="O328" s="34">
        <v>10000000</v>
      </c>
      <c r="P328" s="310">
        <v>0</v>
      </c>
      <c r="Q328" s="34">
        <v>0</v>
      </c>
      <c r="R328" s="308">
        <v>0</v>
      </c>
      <c r="S328" s="34">
        <f t="shared" si="189"/>
        <v>0</v>
      </c>
      <c r="T328" s="34">
        <v>0</v>
      </c>
      <c r="U328" s="34">
        <v>0</v>
      </c>
      <c r="V328" s="34">
        <f>P328+Q328+R328+T328+U328</f>
        <v>0</v>
      </c>
      <c r="W328" s="34">
        <f>O328-V328</f>
        <v>10000000</v>
      </c>
      <c r="X328" s="34">
        <f>M328-(N328+O328)</f>
        <v>1153589000</v>
      </c>
      <c r="Y328" s="48" t="s">
        <v>246</v>
      </c>
      <c r="Z328" s="48" t="s">
        <v>8</v>
      </c>
      <c r="AA328" s="2" t="e">
        <v>#N/A</v>
      </c>
      <c r="AB328" s="2" t="e">
        <f>VLOOKUP(H328,#REF!,2,FALSE)</f>
        <v>#REF!</v>
      </c>
      <c r="AC328" s="2" t="e">
        <f>VLOOKUP(I328,#REF!,2,FALSE)</f>
        <v>#REF!</v>
      </c>
      <c r="AD328" s="2" t="e">
        <f>VLOOKUP(H328,#REF!,13,FALSE)</f>
        <v>#REF!</v>
      </c>
      <c r="AE328" s="2" t="e">
        <f>VLOOKUP(I328,#REF!,7,FALSE)</f>
        <v>#REF!</v>
      </c>
      <c r="AG328" s="2" t="e">
        <f>VLOOKUP(H328,#REF!,13,FALSE)</f>
        <v>#REF!</v>
      </c>
      <c r="AH328" s="2" t="e">
        <f>VLOOKUP(I328,#REF!,2,FALSE)</f>
        <v>#REF!</v>
      </c>
      <c r="AJ328" s="185" t="e">
        <f>VLOOKUP(H328,#REF!,3,FALSE)</f>
        <v>#REF!</v>
      </c>
      <c r="AK328" s="185"/>
      <c r="AL328" s="185" t="e">
        <f>VLOOKUP(H328,#REF!,13,FALSE)</f>
        <v>#REF!</v>
      </c>
      <c r="AM328" s="185" t="e">
        <f>VLOOKUP(CLEAN(H328),#REF!,7,FALSE)</f>
        <v>#REF!</v>
      </c>
      <c r="AN328" s="2" t="e">
        <f>VLOOKUP(H328,#REF!,8,FALSE)</f>
        <v>#REF!</v>
      </c>
      <c r="AO328" s="189" t="e">
        <f>VLOOKUP(H328,#REF!,2,FALSE)</f>
        <v>#REF!</v>
      </c>
      <c r="AP328" s="189" t="e">
        <f>VLOOKUP(H328,#REF!,2,FALSE)</f>
        <v>#REF!</v>
      </c>
      <c r="AQ328" s="189"/>
      <c r="AR328" s="2" t="e">
        <f>VLOOKUP(CLEAN(H328),#REF!,2,FALSE)</f>
        <v>#REF!</v>
      </c>
      <c r="AT328" s="2" t="e">
        <f>VLOOKUP(H328,#REF!,13,FALSE)</f>
        <v>#REF!</v>
      </c>
      <c r="AU328" s="2" t="e">
        <f>VLOOKUP(H328,#REF!,13,FALSE)</f>
        <v>#REF!</v>
      </c>
      <c r="AV328" s="2" t="e">
        <f>VLOOKUP(H328,#REF!,13,FALSE)</f>
        <v>#REF!</v>
      </c>
      <c r="AW328" s="2" t="e">
        <f>VLOOKUP(H328,#REF!,13,FALSE)</f>
        <v>#REF!</v>
      </c>
      <c r="AX328" s="2" t="e">
        <f>VLOOKUP(H328,#REF!,9,FALSE)</f>
        <v>#REF!</v>
      </c>
      <c r="AZ328" s="2" t="e">
        <f>VLOOKUP(H328,#REF!,2,FALSE)</f>
        <v>#REF!</v>
      </c>
      <c r="BF328" s="189" t="e">
        <f>VLOOKUP(CLEAN(H328),#REF!,2,FALSE)</f>
        <v>#REF!</v>
      </c>
      <c r="BG328" s="189" t="e">
        <f>T328-BF328</f>
        <v>#REF!</v>
      </c>
      <c r="BO328" s="2" t="e">
        <f>VLOOKUP(H328,#REF!,13,FALSE)</f>
        <v>#REF!</v>
      </c>
      <c r="BP328" s="2" t="e">
        <f>VLOOKUP(H328,#REF!,2,FALSE)</f>
        <v>#REF!</v>
      </c>
      <c r="BQ328" s="2" t="e">
        <f>VLOOKUP(H328,#REF!,13,FALSE)</f>
        <v>#REF!</v>
      </c>
      <c r="BR328" s="2" t="e">
        <f>VLOOKUP(H328,#REF!,3,FALSE)</f>
        <v>#REF!</v>
      </c>
    </row>
    <row r="329" spans="1:70" s="2" customFormat="1" ht="15" customHeight="1" outlineLevel="2">
      <c r="A329" s="5">
        <v>31</v>
      </c>
      <c r="B329" s="5" t="s">
        <v>11</v>
      </c>
      <c r="C329" s="5" t="s">
        <v>238</v>
      </c>
      <c r="D329" s="5" t="s">
        <v>22</v>
      </c>
      <c r="E329" s="5" t="s">
        <v>26</v>
      </c>
      <c r="F329" s="5" t="s">
        <v>457</v>
      </c>
      <c r="G329" s="5" t="s">
        <v>144</v>
      </c>
      <c r="H329" s="12">
        <v>30396276</v>
      </c>
      <c r="I329" s="42" t="str">
        <f t="shared" si="187"/>
        <v>30396276-EJECUCION</v>
      </c>
      <c r="J329" s="12"/>
      <c r="K329" s="307" t="str">
        <f t="shared" si="188"/>
        <v>30396276</v>
      </c>
      <c r="L329" s="15" t="s">
        <v>392</v>
      </c>
      <c r="M329" s="23">
        <v>326911000</v>
      </c>
      <c r="N329" s="34">
        <v>0</v>
      </c>
      <c r="O329" s="34">
        <v>10000000</v>
      </c>
      <c r="P329" s="310">
        <v>0</v>
      </c>
      <c r="Q329" s="34">
        <v>0</v>
      </c>
      <c r="R329" s="308">
        <v>0</v>
      </c>
      <c r="S329" s="34">
        <f t="shared" si="189"/>
        <v>0</v>
      </c>
      <c r="T329" s="34">
        <v>0</v>
      </c>
      <c r="U329" s="34">
        <v>0</v>
      </c>
      <c r="V329" s="34">
        <f>P329+Q329+R329+T329+U329</f>
        <v>0</v>
      </c>
      <c r="W329" s="34">
        <f>O329-V329</f>
        <v>10000000</v>
      </c>
      <c r="X329" s="34">
        <f>M329-(N329+O329)</f>
        <v>316911000</v>
      </c>
      <c r="Y329" s="48" t="s">
        <v>246</v>
      </c>
      <c r="Z329" s="48" t="s">
        <v>421</v>
      </c>
      <c r="AA329" s="2" t="e">
        <v>#N/A</v>
      </c>
      <c r="AB329" s="2" t="e">
        <f>VLOOKUP(H329,#REF!,2,FALSE)</f>
        <v>#REF!</v>
      </c>
      <c r="AC329" s="2" t="e">
        <f>VLOOKUP(I329,#REF!,2,FALSE)</f>
        <v>#REF!</v>
      </c>
      <c r="AD329" s="2" t="e">
        <f>VLOOKUP(H329,#REF!,13,FALSE)</f>
        <v>#REF!</v>
      </c>
      <c r="AE329" s="2" t="e">
        <f>VLOOKUP(I329,#REF!,7,FALSE)</f>
        <v>#REF!</v>
      </c>
      <c r="AG329" s="2" t="e">
        <f>VLOOKUP(H329,#REF!,13,FALSE)</f>
        <v>#REF!</v>
      </c>
      <c r="AH329" s="2" t="e">
        <f>VLOOKUP(I329,#REF!,2,FALSE)</f>
        <v>#REF!</v>
      </c>
      <c r="AJ329" s="185" t="e">
        <f>VLOOKUP(H329,#REF!,3,FALSE)</f>
        <v>#REF!</v>
      </c>
      <c r="AK329" s="185"/>
      <c r="AL329" s="185" t="e">
        <f>VLOOKUP(H329,#REF!,13,FALSE)</f>
        <v>#REF!</v>
      </c>
      <c r="AM329" s="185" t="e">
        <f>VLOOKUP(CLEAN(H329),#REF!,7,FALSE)</f>
        <v>#REF!</v>
      </c>
      <c r="AN329" s="2" t="e">
        <f>VLOOKUP(H329,#REF!,8,FALSE)</f>
        <v>#REF!</v>
      </c>
      <c r="AO329" s="189" t="e">
        <f>VLOOKUP(H329,#REF!,2,FALSE)</f>
        <v>#REF!</v>
      </c>
      <c r="AP329" s="189" t="e">
        <f>VLOOKUP(H329,#REF!,2,FALSE)</f>
        <v>#REF!</v>
      </c>
      <c r="AQ329" s="189"/>
      <c r="AR329" s="2" t="e">
        <f>VLOOKUP(CLEAN(H329),#REF!,2,FALSE)</f>
        <v>#REF!</v>
      </c>
      <c r="AT329" s="2" t="e">
        <f>VLOOKUP(H329,#REF!,13,FALSE)</f>
        <v>#REF!</v>
      </c>
      <c r="AU329" s="2" t="e">
        <f>VLOOKUP(H329,#REF!,13,FALSE)</f>
        <v>#REF!</v>
      </c>
      <c r="AV329" s="2" t="e">
        <f>VLOOKUP(H329,#REF!,13,FALSE)</f>
        <v>#REF!</v>
      </c>
      <c r="AW329" s="2" t="e">
        <f>VLOOKUP(H329,#REF!,13,FALSE)</f>
        <v>#REF!</v>
      </c>
      <c r="AX329" s="2" t="e">
        <f>VLOOKUP(H329,#REF!,9,FALSE)</f>
        <v>#REF!</v>
      </c>
      <c r="AZ329" s="2" t="e">
        <f>VLOOKUP(H329,#REF!,2,FALSE)</f>
        <v>#REF!</v>
      </c>
      <c r="BF329" s="189" t="e">
        <f>VLOOKUP(CLEAN(H329),#REF!,2,FALSE)</f>
        <v>#REF!</v>
      </c>
      <c r="BG329" s="189" t="e">
        <f>T329-BF329</f>
        <v>#REF!</v>
      </c>
      <c r="BO329" s="2" t="e">
        <f>VLOOKUP(H329,#REF!,13,FALSE)</f>
        <v>#REF!</v>
      </c>
      <c r="BP329" s="2" t="e">
        <f>VLOOKUP(H329,#REF!,2,FALSE)</f>
        <v>#REF!</v>
      </c>
      <c r="BQ329" s="2" t="e">
        <f>VLOOKUP(H329,#REF!,13,FALSE)</f>
        <v>#REF!</v>
      </c>
      <c r="BR329" s="2" t="e">
        <f>VLOOKUP(H329,#REF!,3,FALSE)</f>
        <v>#REF!</v>
      </c>
    </row>
    <row r="330" spans="1:70" s="2" customFormat="1" ht="15" customHeight="1" outlineLevel="2">
      <c r="A330" s="5">
        <v>31</v>
      </c>
      <c r="B330" s="5" t="s">
        <v>11</v>
      </c>
      <c r="C330" s="5" t="s">
        <v>238</v>
      </c>
      <c r="D330" s="5" t="s">
        <v>22</v>
      </c>
      <c r="E330" s="5" t="s">
        <v>26</v>
      </c>
      <c r="F330" s="5" t="s">
        <v>457</v>
      </c>
      <c r="G330" s="5" t="s">
        <v>144</v>
      </c>
      <c r="H330" s="12">
        <v>30435722</v>
      </c>
      <c r="I330" s="42" t="str">
        <f t="shared" si="187"/>
        <v>30435722-EJECUCION</v>
      </c>
      <c r="J330" s="12"/>
      <c r="K330" s="307" t="str">
        <f t="shared" si="188"/>
        <v>30435722</v>
      </c>
      <c r="L330" s="15" t="s">
        <v>399</v>
      </c>
      <c r="M330" s="23">
        <v>1191898000</v>
      </c>
      <c r="N330" s="34">
        <v>0</v>
      </c>
      <c r="O330" s="34">
        <f>10000000-6658277</f>
        <v>3341723</v>
      </c>
      <c r="P330" s="310">
        <v>0</v>
      </c>
      <c r="Q330" s="34">
        <v>0</v>
      </c>
      <c r="R330" s="308">
        <v>0</v>
      </c>
      <c r="S330" s="34">
        <f t="shared" si="189"/>
        <v>0</v>
      </c>
      <c r="T330" s="34">
        <v>0</v>
      </c>
      <c r="U330" s="34">
        <v>0</v>
      </c>
      <c r="V330" s="34">
        <f>P330+Q330+R330+T330+U330</f>
        <v>0</v>
      </c>
      <c r="W330" s="34">
        <f>O330-V330</f>
        <v>3341723</v>
      </c>
      <c r="X330" s="34">
        <f>M330-(N330+O330)</f>
        <v>1188556277</v>
      </c>
      <c r="Y330" s="48" t="s">
        <v>246</v>
      </c>
      <c r="Z330" s="48" t="s">
        <v>357</v>
      </c>
      <c r="AA330" s="2" t="e">
        <v>#N/A</v>
      </c>
      <c r="AB330" s="2" t="e">
        <f>VLOOKUP(H330,#REF!,2,FALSE)</f>
        <v>#REF!</v>
      </c>
      <c r="AC330" s="2" t="e">
        <f>VLOOKUP(I330,#REF!,2,FALSE)</f>
        <v>#REF!</v>
      </c>
      <c r="AD330" s="2" t="e">
        <f>VLOOKUP(H330,#REF!,13,FALSE)</f>
        <v>#REF!</v>
      </c>
      <c r="AE330" s="2" t="e">
        <f>VLOOKUP(I330,#REF!,7,FALSE)</f>
        <v>#REF!</v>
      </c>
      <c r="AG330" s="2" t="e">
        <f>VLOOKUP(H330,#REF!,13,FALSE)</f>
        <v>#REF!</v>
      </c>
      <c r="AH330" s="2" t="e">
        <f>VLOOKUP(I330,#REF!,2,FALSE)</f>
        <v>#REF!</v>
      </c>
      <c r="AJ330" s="185" t="e">
        <f>VLOOKUP(H330,#REF!,3,FALSE)</f>
        <v>#REF!</v>
      </c>
      <c r="AK330" s="185"/>
      <c r="AL330" s="185" t="e">
        <f>VLOOKUP(H330,#REF!,13,FALSE)</f>
        <v>#REF!</v>
      </c>
      <c r="AM330" s="185" t="e">
        <f>VLOOKUP(CLEAN(H330),#REF!,7,FALSE)</f>
        <v>#REF!</v>
      </c>
      <c r="AN330" s="2" t="e">
        <f>VLOOKUP(H330,#REF!,8,FALSE)</f>
        <v>#REF!</v>
      </c>
      <c r="AO330" s="189" t="e">
        <f>VLOOKUP(H330,#REF!,2,FALSE)</f>
        <v>#REF!</v>
      </c>
      <c r="AP330" s="189" t="e">
        <f>VLOOKUP(H330,#REF!,2,FALSE)</f>
        <v>#REF!</v>
      </c>
      <c r="AQ330" s="189"/>
      <c r="AR330" s="2" t="e">
        <f>VLOOKUP(CLEAN(H330),#REF!,2,FALSE)</f>
        <v>#REF!</v>
      </c>
      <c r="AT330" s="2" t="e">
        <f>VLOOKUP(H330,#REF!,13,FALSE)</f>
        <v>#REF!</v>
      </c>
      <c r="AU330" s="2" t="e">
        <f>VLOOKUP(H330,#REF!,13,FALSE)</f>
        <v>#REF!</v>
      </c>
      <c r="AV330" s="2" t="e">
        <f>VLOOKUP(H330,#REF!,13,FALSE)</f>
        <v>#REF!</v>
      </c>
      <c r="AW330" s="2" t="e">
        <f>VLOOKUP(H330,#REF!,13,FALSE)</f>
        <v>#REF!</v>
      </c>
      <c r="AX330" s="2" t="e">
        <f>VLOOKUP(H330,#REF!,9,FALSE)</f>
        <v>#REF!</v>
      </c>
      <c r="AZ330" s="2" t="e">
        <f>VLOOKUP(H330,#REF!,2,FALSE)</f>
        <v>#REF!</v>
      </c>
      <c r="BF330" s="189" t="e">
        <f>VLOOKUP(CLEAN(H330),#REF!,2,FALSE)</f>
        <v>#REF!</v>
      </c>
      <c r="BG330" s="189" t="e">
        <f>T330-BF330</f>
        <v>#REF!</v>
      </c>
      <c r="BO330" s="2" t="e">
        <f>VLOOKUP(H330,#REF!,13,FALSE)</f>
        <v>#REF!</v>
      </c>
      <c r="BP330" s="2" t="e">
        <f>VLOOKUP(H330,#REF!,2,FALSE)</f>
        <v>#REF!</v>
      </c>
      <c r="BQ330" s="2" t="e">
        <f>VLOOKUP(H330,#REF!,13,FALSE)</f>
        <v>#REF!</v>
      </c>
      <c r="BR330" s="2" t="e">
        <f>VLOOKUP(H330,#REF!,3,FALSE)</f>
        <v>#REF!</v>
      </c>
    </row>
    <row r="331" spans="1:70" ht="15" customHeight="1" outlineLevel="2">
      <c r="A331" s="7"/>
      <c r="B331" s="7"/>
      <c r="C331" s="7"/>
      <c r="D331" s="7"/>
      <c r="E331" s="7"/>
      <c r="F331" s="7"/>
      <c r="G331" s="7"/>
      <c r="H331" s="11"/>
      <c r="I331" s="11"/>
      <c r="J331" s="11"/>
      <c r="K331" s="11"/>
      <c r="L331" s="17" t="s">
        <v>693</v>
      </c>
      <c r="M331" s="27">
        <f t="shared" ref="M331:O331" si="190">SUBTOTAL(9,M326:M330)</f>
        <v>3904228000</v>
      </c>
      <c r="N331" s="27">
        <f t="shared" si="190"/>
        <v>0</v>
      </c>
      <c r="O331" s="27">
        <f t="shared" si="190"/>
        <v>46850260</v>
      </c>
      <c r="P331" s="24">
        <f t="shared" ref="P331" si="191">SUBTOTAL(9,P326:P330)</f>
        <v>0</v>
      </c>
      <c r="Q331" s="24">
        <f t="shared" ref="Q331" si="192">SUBTOTAL(9,Q326:Q330)</f>
        <v>0</v>
      </c>
      <c r="R331" s="24">
        <f t="shared" ref="R331:U331" si="193">SUBTOTAL(9,R326:R330)</f>
        <v>0</v>
      </c>
      <c r="S331" s="27">
        <f t="shared" si="193"/>
        <v>0</v>
      </c>
      <c r="T331" s="27">
        <f t="shared" si="193"/>
        <v>0</v>
      </c>
      <c r="U331" s="27">
        <f t="shared" si="193"/>
        <v>0</v>
      </c>
      <c r="V331" s="27">
        <f t="shared" ref="V331" si="194">SUBTOTAL(9,V326:V330)</f>
        <v>0</v>
      </c>
      <c r="W331" s="27">
        <f t="shared" ref="W331" si="195">SUBTOTAL(9,W326:W330)</f>
        <v>46850260</v>
      </c>
      <c r="X331" s="27">
        <f t="shared" ref="X331" si="196">SUBTOTAL(9,X326:X330)</f>
        <v>3857377740</v>
      </c>
      <c r="Y331" s="47"/>
      <c r="Z331" s="47"/>
      <c r="AM331" s="185" t="e">
        <f>VLOOKUP(CLEAN(H331),#REF!,7,FALSE)</f>
        <v>#REF!</v>
      </c>
      <c r="AO331"/>
      <c r="AP331"/>
      <c r="AQ331"/>
      <c r="AR331" s="2" t="e">
        <f>VLOOKUP(CLEAN(H331),#REF!,2,FALSE)</f>
        <v>#REF!</v>
      </c>
      <c r="AZ331" s="2" t="e">
        <f>VLOOKUP(H331,#REF!,2,FALSE)</f>
        <v>#REF!</v>
      </c>
      <c r="BO331" s="2" t="e">
        <f>VLOOKUP(H331,#REF!,13,FALSE)</f>
        <v>#REF!</v>
      </c>
      <c r="BQ331" s="2" t="e">
        <f>VLOOKUP(H331,#REF!,13,FALSE)</f>
        <v>#REF!</v>
      </c>
    </row>
    <row r="332" spans="1:70" ht="15" customHeight="1" outlineLevel="2">
      <c r="A332" s="7"/>
      <c r="B332" s="7"/>
      <c r="C332" s="7"/>
      <c r="D332" s="7"/>
      <c r="E332" s="7"/>
      <c r="F332" s="7"/>
      <c r="G332" s="7"/>
      <c r="H332" s="11"/>
      <c r="I332" s="11"/>
      <c r="J332" s="11"/>
      <c r="K332" s="11"/>
      <c r="L332" s="292"/>
      <c r="M332" s="22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47"/>
      <c r="Z332" s="47"/>
      <c r="AM332" s="185" t="e">
        <f>VLOOKUP(CLEAN(H332),#REF!,7,FALSE)</f>
        <v>#REF!</v>
      </c>
      <c r="AO332"/>
      <c r="AP332"/>
      <c r="AQ332"/>
      <c r="AR332" s="2" t="e">
        <f>VLOOKUP(CLEAN(H332),#REF!,2,FALSE)</f>
        <v>#REF!</v>
      </c>
      <c r="AZ332" s="2" t="e">
        <f>VLOOKUP(H332,#REF!,2,FALSE)</f>
        <v>#REF!</v>
      </c>
      <c r="BO332" s="2" t="e">
        <f>VLOOKUP(H332,#REF!,13,FALSE)</f>
        <v>#REF!</v>
      </c>
      <c r="BP332" s="293"/>
      <c r="BQ332" s="2" t="e">
        <f>VLOOKUP(H332,#REF!,13,FALSE)</f>
        <v>#REF!</v>
      </c>
    </row>
    <row r="333" spans="1:70" ht="18.75" customHeight="1" outlineLevel="1">
      <c r="A333" s="7"/>
      <c r="B333" s="7"/>
      <c r="C333" s="7"/>
      <c r="D333" s="7"/>
      <c r="E333" s="8"/>
      <c r="F333" s="7"/>
      <c r="G333" s="7"/>
      <c r="H333" s="11"/>
      <c r="I333" s="11"/>
      <c r="J333" s="11"/>
      <c r="K333" s="11"/>
      <c r="L333" s="45" t="s">
        <v>157</v>
      </c>
      <c r="M333" s="46">
        <f>M331+M323+M314+M318</f>
        <v>7834794673</v>
      </c>
      <c r="N333" s="46">
        <f t="shared" ref="N333:O333" si="197">N331+N323+N314+N318</f>
        <v>1508182435</v>
      </c>
      <c r="O333" s="46">
        <f t="shared" si="197"/>
        <v>1273560746</v>
      </c>
      <c r="P333" s="46">
        <f t="shared" ref="P333:X333" si="198">P331+P323+P314+P318</f>
        <v>306849062</v>
      </c>
      <c r="Q333" s="46">
        <f t="shared" si="198"/>
        <v>4500000</v>
      </c>
      <c r="R333" s="46">
        <f t="shared" si="198"/>
        <v>77668994</v>
      </c>
      <c r="S333" s="46">
        <f t="shared" si="198"/>
        <v>389018056</v>
      </c>
      <c r="T333" s="46">
        <f t="shared" si="198"/>
        <v>165891463</v>
      </c>
      <c r="U333" s="46">
        <f t="shared" si="198"/>
        <v>102382115</v>
      </c>
      <c r="V333" s="46">
        <f t="shared" si="198"/>
        <v>657291634</v>
      </c>
      <c r="W333" s="46">
        <f t="shared" si="198"/>
        <v>616269112</v>
      </c>
      <c r="X333" s="46">
        <f t="shared" si="198"/>
        <v>5053051492</v>
      </c>
      <c r="Y333" s="47"/>
      <c r="Z333" s="47"/>
      <c r="AM333" s="185" t="e">
        <f>VLOOKUP(CLEAN(H333),#REF!,7,FALSE)</f>
        <v>#REF!</v>
      </c>
      <c r="AO333"/>
      <c r="AP333"/>
      <c r="AQ333"/>
      <c r="AR333" s="2" t="e">
        <f>VLOOKUP(CLEAN(H333),#REF!,2,FALSE)</f>
        <v>#REF!</v>
      </c>
      <c r="AZ333" s="2" t="e">
        <f>VLOOKUP(H333,#REF!,2,FALSE)</f>
        <v>#REF!</v>
      </c>
      <c r="BO333" s="2" t="e">
        <f>VLOOKUP(H333,#REF!,13,FALSE)</f>
        <v>#REF!</v>
      </c>
      <c r="BQ333" s="2" t="e">
        <f>VLOOKUP(H333,#REF!,13,FALSE)</f>
        <v>#REF!</v>
      </c>
    </row>
    <row r="334" spans="1:70" s="3" customFormat="1" ht="15" customHeight="1" outlineLevel="1">
      <c r="A334" s="7"/>
      <c r="B334" s="7"/>
      <c r="C334" s="7"/>
      <c r="D334" s="7"/>
      <c r="E334" s="8"/>
      <c r="F334" s="7"/>
      <c r="G334" s="7"/>
      <c r="H334" s="11"/>
      <c r="I334" s="11"/>
      <c r="J334" s="11"/>
      <c r="K334" s="11"/>
      <c r="L334" s="294"/>
      <c r="M334" s="26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47"/>
      <c r="Z334" s="47"/>
      <c r="AJ334" s="186"/>
      <c r="AK334" s="186"/>
      <c r="AL334" s="186"/>
      <c r="AM334" s="185" t="e">
        <f>VLOOKUP(CLEAN(H334),#REF!,7,FALSE)</f>
        <v>#REF!</v>
      </c>
      <c r="AR334" s="2" t="e">
        <f>VLOOKUP(CLEAN(H334),#REF!,2,FALSE)</f>
        <v>#REF!</v>
      </c>
      <c r="AZ334" s="2" t="e">
        <f>VLOOKUP(H334,#REF!,2,FALSE)</f>
        <v>#REF!</v>
      </c>
      <c r="BF334" s="193"/>
      <c r="BO334" s="2" t="e">
        <f>VLOOKUP(H334,#REF!,13,FALSE)</f>
        <v>#REF!</v>
      </c>
      <c r="BP334" s="7"/>
      <c r="BQ334" s="2" t="e">
        <f>VLOOKUP(H334,#REF!,13,FALSE)</f>
        <v>#REF!</v>
      </c>
    </row>
    <row r="335" spans="1:70" ht="26.25" customHeight="1" outlineLevel="1">
      <c r="A335" s="7"/>
      <c r="B335" s="7"/>
      <c r="C335" s="7"/>
      <c r="D335" s="7"/>
      <c r="E335" s="8"/>
      <c r="F335" s="7"/>
      <c r="G335" s="7"/>
      <c r="H335" s="11"/>
      <c r="I335" s="11"/>
      <c r="J335" s="11"/>
      <c r="K335" s="11"/>
      <c r="L335" s="57" t="s">
        <v>191</v>
      </c>
      <c r="M335" s="26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49"/>
      <c r="Z335" s="49"/>
      <c r="AM335" s="185" t="e">
        <f>VLOOKUP(CLEAN(H335),#REF!,7,FALSE)</f>
        <v>#REF!</v>
      </c>
      <c r="AO335"/>
      <c r="AP335"/>
      <c r="AQ335"/>
      <c r="AR335" s="2" t="e">
        <f>VLOOKUP(CLEAN(H335),#REF!,2,FALSE)</f>
        <v>#REF!</v>
      </c>
      <c r="AZ335" s="2" t="e">
        <f>VLOOKUP(H335,#REF!,2,FALSE)</f>
        <v>#REF!</v>
      </c>
      <c r="BO335" s="2" t="e">
        <f>VLOOKUP(H335,#REF!,13,FALSE)</f>
        <v>#REF!</v>
      </c>
      <c r="BQ335" s="2" t="e">
        <f>VLOOKUP(H335,#REF!,13,FALSE)</f>
        <v>#REF!</v>
      </c>
    </row>
    <row r="336" spans="1:70" ht="15" customHeight="1" outlineLevel="1">
      <c r="A336" s="7"/>
      <c r="B336" s="7"/>
      <c r="C336" s="7"/>
      <c r="D336" s="7"/>
      <c r="E336" s="8"/>
      <c r="F336" s="7"/>
      <c r="G336" s="7"/>
      <c r="H336" s="11"/>
      <c r="I336" s="11"/>
      <c r="J336" s="11"/>
      <c r="K336" s="11"/>
      <c r="L336" s="18" t="s">
        <v>695</v>
      </c>
      <c r="M336" s="26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47"/>
      <c r="Z336" s="47"/>
      <c r="AM336" s="185" t="e">
        <f>VLOOKUP(CLEAN(H336),#REF!,7,FALSE)</f>
        <v>#REF!</v>
      </c>
      <c r="AO336"/>
      <c r="AP336"/>
      <c r="AQ336"/>
      <c r="AR336" s="2" t="e">
        <f>VLOOKUP(CLEAN(H336),#REF!,2,FALSE)</f>
        <v>#REF!</v>
      </c>
      <c r="AZ336" s="2" t="e">
        <f>VLOOKUP(H336,#REF!,2,FALSE)</f>
        <v>#REF!</v>
      </c>
      <c r="BO336" s="2" t="e">
        <f>VLOOKUP(H336,#REF!,13,FALSE)</f>
        <v>#REF!</v>
      </c>
      <c r="BQ336" s="2" t="e">
        <f>VLOOKUP(H336,#REF!,13,FALSE)</f>
        <v>#REF!</v>
      </c>
    </row>
    <row r="337" spans="1:70" s="2" customFormat="1" ht="15" customHeight="1" outlineLevel="2">
      <c r="A337" s="5">
        <v>31</v>
      </c>
      <c r="B337" s="5" t="s">
        <v>5</v>
      </c>
      <c r="C337" s="5" t="s">
        <v>238</v>
      </c>
      <c r="D337" s="5" t="s">
        <v>22</v>
      </c>
      <c r="E337" s="5" t="s">
        <v>27</v>
      </c>
      <c r="F337" s="5" t="s">
        <v>89</v>
      </c>
      <c r="G337" s="5" t="s">
        <v>144</v>
      </c>
      <c r="H337" s="12">
        <v>30291172</v>
      </c>
      <c r="I337" s="42" t="str">
        <f t="shared" ref="I337:I342" si="199">CONCATENATE(H337,"-",G337)</f>
        <v>30291172-EJECUCION</v>
      </c>
      <c r="J337" s="12"/>
      <c r="K337" s="307" t="str">
        <f t="shared" ref="K337:K342" si="200">CLEAN(H337)</f>
        <v>30291172</v>
      </c>
      <c r="L337" s="15" t="s">
        <v>108</v>
      </c>
      <c r="M337" s="23">
        <v>1317857690</v>
      </c>
      <c r="N337" s="34">
        <v>881409797</v>
      </c>
      <c r="O337" s="34">
        <v>436447893</v>
      </c>
      <c r="P337" s="310">
        <v>120507605</v>
      </c>
      <c r="Q337" s="34">
        <v>85164423</v>
      </c>
      <c r="R337" s="308">
        <v>72174748</v>
      </c>
      <c r="S337" s="34">
        <f t="shared" ref="S337:S342" si="201">P337+Q337+R337</f>
        <v>277846776</v>
      </c>
      <c r="T337" s="34">
        <v>2275000</v>
      </c>
      <c r="U337" s="34">
        <v>2275000</v>
      </c>
      <c r="V337" s="34">
        <f>P337+Q337+R337+T337+U337</f>
        <v>282396776</v>
      </c>
      <c r="W337" s="34">
        <f>O337-V337</f>
        <v>154051117</v>
      </c>
      <c r="X337" s="34">
        <f>M337-(N337+O337)</f>
        <v>0</v>
      </c>
      <c r="Y337" s="48" t="s">
        <v>239</v>
      </c>
      <c r="Z337" s="48" t="s">
        <v>8</v>
      </c>
      <c r="AA337" s="2" t="s">
        <v>843</v>
      </c>
      <c r="AB337" s="2" t="e">
        <f>VLOOKUP(H337,#REF!,2,FALSE)</f>
        <v>#REF!</v>
      </c>
      <c r="AC337" s="2" t="e">
        <f>VLOOKUP(I337,#REF!,2,FALSE)</f>
        <v>#REF!</v>
      </c>
      <c r="AD337" s="2" t="e">
        <f>VLOOKUP(H337,#REF!,13,FALSE)</f>
        <v>#REF!</v>
      </c>
      <c r="AE337" s="2" t="e">
        <f>VLOOKUP(I337,#REF!,7,FALSE)</f>
        <v>#REF!</v>
      </c>
      <c r="AG337" s="2" t="e">
        <f>VLOOKUP(H337,#REF!,13,FALSE)</f>
        <v>#REF!</v>
      </c>
      <c r="AH337" s="2" t="e">
        <f>VLOOKUP(I337,#REF!,2,FALSE)</f>
        <v>#REF!</v>
      </c>
      <c r="AJ337" s="185" t="e">
        <f>VLOOKUP(H337,#REF!,3,FALSE)</f>
        <v>#REF!</v>
      </c>
      <c r="AK337" s="185"/>
      <c r="AL337" s="185" t="e">
        <f>VLOOKUP(H337,#REF!,13,FALSE)</f>
        <v>#REF!</v>
      </c>
      <c r="AM337" s="185" t="e">
        <f>VLOOKUP(CLEAN(H337),#REF!,7,FALSE)</f>
        <v>#REF!</v>
      </c>
      <c r="AN337" s="2" t="e">
        <f>VLOOKUP(H337,#REF!,8,FALSE)</f>
        <v>#REF!</v>
      </c>
      <c r="AO337" s="189" t="e">
        <f>VLOOKUP(H337,#REF!,2,FALSE)</f>
        <v>#REF!</v>
      </c>
      <c r="AP337" s="189" t="e">
        <f>VLOOKUP(H337,#REF!,2,FALSE)</f>
        <v>#REF!</v>
      </c>
      <c r="AQ337" s="189" t="e">
        <f>AO337-AP337</f>
        <v>#REF!</v>
      </c>
      <c r="AR337" s="189" t="e">
        <f>VLOOKUP(CLEAN(H337),#REF!,2,FALSE)</f>
        <v>#REF!</v>
      </c>
      <c r="AS337" s="189" t="e">
        <f>T337-AR337</f>
        <v>#REF!</v>
      </c>
      <c r="AT337" s="2" t="e">
        <f>VLOOKUP(H337,#REF!,13,FALSE)</f>
        <v>#REF!</v>
      </c>
      <c r="AU337" s="2" t="e">
        <f>VLOOKUP(H337,#REF!,13,FALSE)</f>
        <v>#REF!</v>
      </c>
      <c r="AV337" s="2" t="e">
        <f>VLOOKUP(H337,#REF!,13,FALSE)</f>
        <v>#REF!</v>
      </c>
      <c r="AW337" s="2" t="e">
        <f>VLOOKUP(H337,#REF!,13,FALSE)</f>
        <v>#REF!</v>
      </c>
      <c r="AX337" s="2" t="e">
        <f>VLOOKUP(H337,#REF!,9,FALSE)</f>
        <v>#REF!</v>
      </c>
      <c r="AZ337" s="189" t="e">
        <f>VLOOKUP(H337,#REF!,2,FALSE)</f>
        <v>#REF!</v>
      </c>
      <c r="BF337" s="189" t="e">
        <f>VLOOKUP(CLEAN(H337),#REF!,2,FALSE)</f>
        <v>#REF!</v>
      </c>
      <c r="BG337" s="189" t="e">
        <f>T337-BF337</f>
        <v>#REF!</v>
      </c>
      <c r="BO337" s="2" t="e">
        <f>VLOOKUP(H337,#REF!,13,FALSE)</f>
        <v>#REF!</v>
      </c>
      <c r="BP337" s="2" t="e">
        <f>VLOOKUP(H337,#REF!,2,FALSE)</f>
        <v>#REF!</v>
      </c>
      <c r="BQ337" s="2" t="e">
        <f>VLOOKUP(H337,#REF!,13,FALSE)</f>
        <v>#REF!</v>
      </c>
      <c r="BR337" s="2" t="e">
        <f>VLOOKUP(H337,#REF!,3,FALSE)</f>
        <v>#REF!</v>
      </c>
    </row>
    <row r="338" spans="1:70" s="2" customFormat="1" ht="15" customHeight="1" outlineLevel="2">
      <c r="A338" s="5">
        <v>31</v>
      </c>
      <c r="B338" s="5" t="s">
        <v>5</v>
      </c>
      <c r="C338" s="5" t="s">
        <v>238</v>
      </c>
      <c r="D338" s="5" t="s">
        <v>22</v>
      </c>
      <c r="E338" s="5" t="s">
        <v>27</v>
      </c>
      <c r="F338" s="5" t="s">
        <v>6</v>
      </c>
      <c r="G338" s="5" t="s">
        <v>144</v>
      </c>
      <c r="H338" s="12">
        <v>30073164</v>
      </c>
      <c r="I338" s="42" t="str">
        <f t="shared" si="199"/>
        <v>30073164-EJECUCION</v>
      </c>
      <c r="J338" s="12"/>
      <c r="K338" s="307" t="str">
        <f t="shared" si="200"/>
        <v>30073164</v>
      </c>
      <c r="L338" s="15" t="s">
        <v>467</v>
      </c>
      <c r="M338" s="23">
        <f>711160747+150000000-7941127</f>
        <v>853219620</v>
      </c>
      <c r="N338" s="34">
        <v>703219620</v>
      </c>
      <c r="O338" s="34">
        <v>150000000</v>
      </c>
      <c r="P338" s="310">
        <v>0</v>
      </c>
      <c r="Q338" s="34">
        <v>0</v>
      </c>
      <c r="R338" s="308">
        <v>0</v>
      </c>
      <c r="S338" s="34">
        <f t="shared" si="201"/>
        <v>0</v>
      </c>
      <c r="T338" s="34">
        <v>0</v>
      </c>
      <c r="U338" s="34">
        <v>0</v>
      </c>
      <c r="V338" s="34">
        <f>P338+Q338+R338+T338+U338</f>
        <v>0</v>
      </c>
      <c r="W338" s="34">
        <f>O338-V338</f>
        <v>150000000</v>
      </c>
      <c r="X338" s="34">
        <f>M338-(N338+O338)</f>
        <v>0</v>
      </c>
      <c r="Y338" s="48" t="s">
        <v>239</v>
      </c>
      <c r="Z338" s="48" t="s">
        <v>8</v>
      </c>
      <c r="AA338" s="2" t="s">
        <v>846</v>
      </c>
      <c r="AB338" s="2" t="e">
        <f>VLOOKUP(H338,#REF!,2,FALSE)</f>
        <v>#REF!</v>
      </c>
      <c r="AC338" s="2" t="e">
        <f>VLOOKUP(I338,#REF!,2,FALSE)</f>
        <v>#REF!</v>
      </c>
      <c r="AD338" s="2" t="e">
        <f>VLOOKUP(H338,#REF!,13,FALSE)</f>
        <v>#REF!</v>
      </c>
      <c r="AE338" s="2" t="e">
        <f>VLOOKUP(I338,#REF!,7,FALSE)</f>
        <v>#REF!</v>
      </c>
      <c r="AG338" s="2" t="e">
        <f>VLOOKUP(H338,#REF!,13,FALSE)</f>
        <v>#REF!</v>
      </c>
      <c r="AH338" s="2" t="e">
        <f>VLOOKUP(I338,#REF!,2,FALSE)</f>
        <v>#REF!</v>
      </c>
      <c r="AJ338" s="185" t="e">
        <f>VLOOKUP(H338,#REF!,3,FALSE)</f>
        <v>#REF!</v>
      </c>
      <c r="AK338" s="185"/>
      <c r="AL338" s="185" t="e">
        <f>VLOOKUP(H338,#REF!,13,FALSE)</f>
        <v>#REF!</v>
      </c>
      <c r="AM338" s="185" t="e">
        <f>VLOOKUP(CLEAN(H338),#REF!,7,FALSE)</f>
        <v>#REF!</v>
      </c>
      <c r="AN338" s="2" t="e">
        <f>VLOOKUP(H338,#REF!,8,FALSE)</f>
        <v>#REF!</v>
      </c>
      <c r="AO338" s="189" t="e">
        <f>VLOOKUP(H338,#REF!,2,FALSE)</f>
        <v>#REF!</v>
      </c>
      <c r="AP338" s="189" t="e">
        <f>VLOOKUP(H338,#REF!,2,FALSE)</f>
        <v>#REF!</v>
      </c>
      <c r="AQ338" s="189"/>
      <c r="AR338" s="2" t="e">
        <f>VLOOKUP(CLEAN(H338),#REF!,2,FALSE)</f>
        <v>#REF!</v>
      </c>
      <c r="AT338" s="2" t="e">
        <f>VLOOKUP(H338,#REF!,13,FALSE)</f>
        <v>#REF!</v>
      </c>
      <c r="AU338" s="2" t="e">
        <f>VLOOKUP(H338,#REF!,13,FALSE)</f>
        <v>#REF!</v>
      </c>
      <c r="AV338" s="2" t="e">
        <f>VLOOKUP(H338,#REF!,13,FALSE)</f>
        <v>#REF!</v>
      </c>
      <c r="AW338" s="2" t="e">
        <f>VLOOKUP(H338,#REF!,13,FALSE)</f>
        <v>#REF!</v>
      </c>
      <c r="AX338" s="2" t="e">
        <f>VLOOKUP(H338,#REF!,9,FALSE)</f>
        <v>#REF!</v>
      </c>
      <c r="AZ338" s="2" t="e">
        <f>VLOOKUP(H338,#REF!,2,FALSE)</f>
        <v>#REF!</v>
      </c>
      <c r="BF338" s="189" t="e">
        <f>VLOOKUP(CLEAN(H338),#REF!,2,FALSE)</f>
        <v>#REF!</v>
      </c>
      <c r="BG338" s="189" t="e">
        <f>T338-BF338</f>
        <v>#REF!</v>
      </c>
      <c r="BO338" s="2" t="e">
        <f>VLOOKUP(H338,#REF!,13,FALSE)</f>
        <v>#REF!</v>
      </c>
      <c r="BP338" s="2" t="e">
        <f>VLOOKUP(H338,#REF!,2,FALSE)</f>
        <v>#REF!</v>
      </c>
      <c r="BQ338" s="2" t="e">
        <f>VLOOKUP(H338,#REF!,13,FALSE)</f>
        <v>#REF!</v>
      </c>
      <c r="BR338" s="2" t="e">
        <f>VLOOKUP(H338,#REF!,3,FALSE)</f>
        <v>#REF!</v>
      </c>
    </row>
    <row r="339" spans="1:70" s="2" customFormat="1" ht="15" customHeight="1" outlineLevel="2">
      <c r="A339" s="5">
        <v>31</v>
      </c>
      <c r="B339" s="5" t="s">
        <v>54</v>
      </c>
      <c r="C339" s="5" t="s">
        <v>248</v>
      </c>
      <c r="D339" s="5" t="s">
        <v>22</v>
      </c>
      <c r="E339" s="5" t="s">
        <v>27</v>
      </c>
      <c r="F339" s="5" t="s">
        <v>14</v>
      </c>
      <c r="G339" s="5" t="s">
        <v>144</v>
      </c>
      <c r="H339" s="12">
        <v>30465244</v>
      </c>
      <c r="I339" s="42" t="str">
        <f t="shared" si="199"/>
        <v>30465244-EJECUCION</v>
      </c>
      <c r="J339" s="12"/>
      <c r="K339" s="307" t="str">
        <f t="shared" si="200"/>
        <v>30465244</v>
      </c>
      <c r="L339" s="15" t="s">
        <v>648</v>
      </c>
      <c r="M339" s="23">
        <v>362925000</v>
      </c>
      <c r="N339" s="34">
        <v>1500000</v>
      </c>
      <c r="O339" s="34">
        <v>150000000</v>
      </c>
      <c r="P339" s="310">
        <v>0</v>
      </c>
      <c r="Q339" s="34">
        <v>0</v>
      </c>
      <c r="R339" s="308">
        <v>32238429</v>
      </c>
      <c r="S339" s="34">
        <f t="shared" si="201"/>
        <v>32238429</v>
      </c>
      <c r="T339" s="34">
        <v>9628889</v>
      </c>
      <c r="U339" s="34">
        <v>33221912</v>
      </c>
      <c r="V339" s="34">
        <f>P339+Q339+R339+T339+U339</f>
        <v>75089230</v>
      </c>
      <c r="W339" s="34">
        <f>O339-V339</f>
        <v>74910770</v>
      </c>
      <c r="X339" s="34">
        <f>M339-(N339+O339)</f>
        <v>211425000</v>
      </c>
      <c r="Y339" s="48" t="s">
        <v>239</v>
      </c>
      <c r="Z339" s="48" t="s">
        <v>8</v>
      </c>
      <c r="AA339" s="2" t="s">
        <v>843</v>
      </c>
      <c r="AB339" s="2" t="e">
        <f>VLOOKUP(H339,#REF!,2,FALSE)</f>
        <v>#REF!</v>
      </c>
      <c r="AC339" s="2" t="e">
        <f>VLOOKUP(I339,#REF!,2,FALSE)</f>
        <v>#REF!</v>
      </c>
      <c r="AD339" s="2" t="e">
        <f>VLOOKUP(H339,#REF!,13,FALSE)</f>
        <v>#REF!</v>
      </c>
      <c r="AE339" s="2" t="e">
        <f>VLOOKUP(I339,#REF!,7,FALSE)</f>
        <v>#REF!</v>
      </c>
      <c r="AG339" s="2" t="e">
        <f>VLOOKUP(H339,#REF!,13,FALSE)</f>
        <v>#REF!</v>
      </c>
      <c r="AH339" s="2" t="e">
        <f>VLOOKUP(I339,#REF!,2,FALSE)</f>
        <v>#REF!</v>
      </c>
      <c r="AJ339" s="185" t="e">
        <f>VLOOKUP(H339,#REF!,3,FALSE)</f>
        <v>#REF!</v>
      </c>
      <c r="AK339" s="185"/>
      <c r="AL339" s="185" t="e">
        <f>VLOOKUP(H339,#REF!,13,FALSE)</f>
        <v>#REF!</v>
      </c>
      <c r="AM339" s="185" t="e">
        <f>VLOOKUP(CLEAN(H339),#REF!,7,FALSE)</f>
        <v>#REF!</v>
      </c>
      <c r="AN339" s="2" t="e">
        <f>VLOOKUP(H339,#REF!,8,FALSE)</f>
        <v>#REF!</v>
      </c>
      <c r="AO339" s="189" t="e">
        <f>VLOOKUP(H339,#REF!,2,FALSE)</f>
        <v>#REF!</v>
      </c>
      <c r="AP339" s="189" t="e">
        <f>VLOOKUP(H339,#REF!,2,FALSE)</f>
        <v>#REF!</v>
      </c>
      <c r="AQ339" s="189" t="e">
        <f t="shared" ref="AQ339:AQ340" si="202">AO339-AP339</f>
        <v>#REF!</v>
      </c>
      <c r="AR339" s="189" t="e">
        <f>VLOOKUP(CLEAN(H339),#REF!,2,FALSE)</f>
        <v>#REF!</v>
      </c>
      <c r="AS339" s="189" t="e">
        <f>T339-AR339</f>
        <v>#REF!</v>
      </c>
      <c r="AT339" s="2" t="e">
        <f>VLOOKUP(H339,#REF!,13,FALSE)</f>
        <v>#REF!</v>
      </c>
      <c r="AU339" s="2" t="e">
        <f>VLOOKUP(H339,#REF!,13,FALSE)</f>
        <v>#REF!</v>
      </c>
      <c r="AV339" s="2" t="e">
        <f>VLOOKUP(H339,#REF!,13,FALSE)</f>
        <v>#REF!</v>
      </c>
      <c r="AW339" s="2" t="e">
        <f>VLOOKUP(H339,#REF!,13,FALSE)</f>
        <v>#REF!</v>
      </c>
      <c r="AX339" s="2" t="e">
        <f>VLOOKUP(H339,#REF!,9,FALSE)</f>
        <v>#REF!</v>
      </c>
      <c r="AZ339" s="189" t="e">
        <f>VLOOKUP(H339,#REF!,2,FALSE)</f>
        <v>#REF!</v>
      </c>
      <c r="BF339" s="189" t="e">
        <f>VLOOKUP(CLEAN(H339),#REF!,2,FALSE)</f>
        <v>#REF!</v>
      </c>
      <c r="BG339" s="189" t="e">
        <f>T339-BF339</f>
        <v>#REF!</v>
      </c>
      <c r="BO339" s="2" t="e">
        <f>VLOOKUP(H339,#REF!,13,FALSE)</f>
        <v>#REF!</v>
      </c>
      <c r="BP339" s="2" t="e">
        <f>VLOOKUP(H339,#REF!,2,FALSE)</f>
        <v>#REF!</v>
      </c>
      <c r="BQ339" s="2" t="e">
        <f>VLOOKUP(H339,#REF!,13,FALSE)</f>
        <v>#REF!</v>
      </c>
      <c r="BR339" s="2" t="e">
        <f>VLOOKUP(H339,#REF!,3,FALSE)</f>
        <v>#REF!</v>
      </c>
    </row>
    <row r="340" spans="1:70" s="2" customFormat="1" ht="15" customHeight="1" outlineLevel="2">
      <c r="A340" s="5">
        <v>31</v>
      </c>
      <c r="B340" s="5" t="s">
        <v>54</v>
      </c>
      <c r="C340" s="5" t="s">
        <v>248</v>
      </c>
      <c r="D340" s="5" t="s">
        <v>22</v>
      </c>
      <c r="E340" s="5" t="s">
        <v>27</v>
      </c>
      <c r="F340" s="5" t="s">
        <v>14</v>
      </c>
      <c r="G340" s="5" t="s">
        <v>144</v>
      </c>
      <c r="H340" s="12">
        <v>30465242</v>
      </c>
      <c r="I340" s="311" t="str">
        <f t="shared" si="199"/>
        <v>30465242-EJECUCION</v>
      </c>
      <c r="J340" s="190"/>
      <c r="K340" s="309" t="str">
        <f t="shared" si="200"/>
        <v>30465242</v>
      </c>
      <c r="L340" s="15" t="s">
        <v>828</v>
      </c>
      <c r="M340" s="23">
        <v>314524000</v>
      </c>
      <c r="N340" s="34">
        <v>1500000</v>
      </c>
      <c r="O340" s="34">
        <v>158132592</v>
      </c>
      <c r="P340" s="310">
        <v>0</v>
      </c>
      <c r="Q340" s="34">
        <v>0</v>
      </c>
      <c r="R340" s="308">
        <v>2555556</v>
      </c>
      <c r="S340" s="34">
        <f t="shared" si="201"/>
        <v>2555556</v>
      </c>
      <c r="T340" s="34">
        <v>43021480</v>
      </c>
      <c r="U340" s="34">
        <v>38649334</v>
      </c>
      <c r="V340" s="34">
        <f>P340+Q340+R340+T340+U340</f>
        <v>84226370</v>
      </c>
      <c r="W340" s="34">
        <f>O340-V340</f>
        <v>73906222</v>
      </c>
      <c r="X340" s="34">
        <f>M340-(N340+O340)</f>
        <v>154891408</v>
      </c>
      <c r="Y340" s="48" t="s">
        <v>239</v>
      </c>
      <c r="Z340" s="48" t="s">
        <v>8</v>
      </c>
      <c r="AA340" s="2" t="s">
        <v>843</v>
      </c>
      <c r="AB340" s="2" t="e">
        <f>VLOOKUP(H340,#REF!,2,FALSE)</f>
        <v>#REF!</v>
      </c>
      <c r="AC340" s="2" t="e">
        <f>VLOOKUP(I340,#REF!,2,FALSE)</f>
        <v>#REF!</v>
      </c>
      <c r="AD340" s="2" t="e">
        <f>VLOOKUP(H340,#REF!,13,FALSE)</f>
        <v>#REF!</v>
      </c>
      <c r="AE340" s="2" t="e">
        <f>VLOOKUP(I340,#REF!,7,FALSE)</f>
        <v>#REF!</v>
      </c>
      <c r="AG340" s="2" t="e">
        <f>VLOOKUP(H340,#REF!,13,FALSE)</f>
        <v>#REF!</v>
      </c>
      <c r="AH340" s="2" t="e">
        <f>VLOOKUP(I340,#REF!,2,FALSE)</f>
        <v>#REF!</v>
      </c>
      <c r="AJ340" s="185" t="e">
        <f>VLOOKUP(H340,#REF!,3,FALSE)</f>
        <v>#REF!</v>
      </c>
      <c r="AK340" s="185"/>
      <c r="AL340" s="185" t="e">
        <f>VLOOKUP(H340,#REF!,13,FALSE)</f>
        <v>#REF!</v>
      </c>
      <c r="AM340" s="185" t="e">
        <f>VLOOKUP(CLEAN(H340),#REF!,7,FALSE)</f>
        <v>#REF!</v>
      </c>
      <c r="AN340" s="2" t="e">
        <f>VLOOKUP(H340,#REF!,8,FALSE)</f>
        <v>#REF!</v>
      </c>
      <c r="AO340" s="189" t="e">
        <f>VLOOKUP(H340,#REF!,2,FALSE)</f>
        <v>#REF!</v>
      </c>
      <c r="AP340" s="189" t="e">
        <f>VLOOKUP(H340,#REF!,2,FALSE)</f>
        <v>#REF!</v>
      </c>
      <c r="AQ340" s="189" t="e">
        <f t="shared" si="202"/>
        <v>#REF!</v>
      </c>
      <c r="AR340" s="189" t="e">
        <f>VLOOKUP(CLEAN(H340),#REF!,2,FALSE)</f>
        <v>#REF!</v>
      </c>
      <c r="AS340" s="189" t="e">
        <f>T340-AR340</f>
        <v>#REF!</v>
      </c>
      <c r="AT340" s="2" t="e">
        <f>VLOOKUP(H340,#REF!,13,FALSE)</f>
        <v>#REF!</v>
      </c>
      <c r="AU340" s="2" t="e">
        <f>VLOOKUP(H340,#REF!,13,FALSE)</f>
        <v>#REF!</v>
      </c>
      <c r="AV340" s="2" t="e">
        <f>VLOOKUP(H340,#REF!,13,FALSE)</f>
        <v>#REF!</v>
      </c>
      <c r="AW340" s="2" t="e">
        <f>VLOOKUP(H340,#REF!,13,FALSE)</f>
        <v>#REF!</v>
      </c>
      <c r="AX340" s="2" t="e">
        <f>VLOOKUP(H340,#REF!,9,FALSE)</f>
        <v>#REF!</v>
      </c>
      <c r="AZ340" s="189" t="e">
        <f>VLOOKUP(H340,#REF!,2,FALSE)</f>
        <v>#REF!</v>
      </c>
      <c r="BF340" s="189" t="e">
        <f>VLOOKUP(CLEAN(H340),#REF!,2,FALSE)</f>
        <v>#REF!</v>
      </c>
      <c r="BG340" s="189" t="e">
        <f>T340-BF340</f>
        <v>#REF!</v>
      </c>
      <c r="BO340" s="2" t="e">
        <f>VLOOKUP(H340,#REF!,13,FALSE)</f>
        <v>#REF!</v>
      </c>
      <c r="BP340" s="2" t="e">
        <f>VLOOKUP(H340,#REF!,2,FALSE)</f>
        <v>#REF!</v>
      </c>
      <c r="BQ340" s="2" t="e">
        <f>VLOOKUP(H340,#REF!,13,FALSE)</f>
        <v>#REF!</v>
      </c>
      <c r="BR340" s="2" t="e">
        <f>VLOOKUP(H340,#REF!,3,FALSE)</f>
        <v>#REF!</v>
      </c>
    </row>
    <row r="341" spans="1:70" s="2" customFormat="1" ht="15" customHeight="1" outlineLevel="2">
      <c r="A341" s="5">
        <v>31</v>
      </c>
      <c r="B341" s="5" t="s">
        <v>5</v>
      </c>
      <c r="C341" s="5" t="s">
        <v>238</v>
      </c>
      <c r="D341" s="5" t="s">
        <v>22</v>
      </c>
      <c r="E341" s="5" t="s">
        <v>27</v>
      </c>
      <c r="F341" s="5" t="s">
        <v>6</v>
      </c>
      <c r="G341" s="5" t="s">
        <v>144</v>
      </c>
      <c r="H341" s="12">
        <v>30113942</v>
      </c>
      <c r="I341" s="42" t="str">
        <f t="shared" si="199"/>
        <v>30113942-EJECUCION</v>
      </c>
      <c r="J341" s="12"/>
      <c r="K341" s="307" t="str">
        <f t="shared" si="200"/>
        <v>30113942</v>
      </c>
      <c r="L341" s="15" t="s">
        <v>627</v>
      </c>
      <c r="M341" s="23">
        <v>2832541112</v>
      </c>
      <c r="N341" s="34">
        <v>2773576112</v>
      </c>
      <c r="O341" s="34">
        <f>M341-N341</f>
        <v>58965000</v>
      </c>
      <c r="P341" s="310">
        <v>0</v>
      </c>
      <c r="Q341" s="34">
        <v>0</v>
      </c>
      <c r="R341" s="308">
        <v>0</v>
      </c>
      <c r="S341" s="34">
        <f t="shared" si="201"/>
        <v>0</v>
      </c>
      <c r="T341" s="34">
        <v>0</v>
      </c>
      <c r="U341" s="34">
        <v>0</v>
      </c>
      <c r="V341" s="34">
        <f>P341+Q341+R341+T341+U341</f>
        <v>0</v>
      </c>
      <c r="W341" s="34">
        <f>O341-V341</f>
        <v>58965000</v>
      </c>
      <c r="X341" s="34">
        <f>M341-(N341+O341)</f>
        <v>0</v>
      </c>
      <c r="Y341" s="48" t="s">
        <v>239</v>
      </c>
      <c r="Z341" s="48" t="s">
        <v>8</v>
      </c>
      <c r="AA341" s="2" t="s">
        <v>846</v>
      </c>
      <c r="AB341" s="2" t="e">
        <f>VLOOKUP(H341,#REF!,2,FALSE)</f>
        <v>#REF!</v>
      </c>
      <c r="AD341" s="2" t="e">
        <f>VLOOKUP(H341,#REF!,13,FALSE)</f>
        <v>#REF!</v>
      </c>
      <c r="AE341" s="177" t="e">
        <f>VLOOKUP(I341,#REF!,7,FALSE)</f>
        <v>#REF!</v>
      </c>
      <c r="AG341" s="2" t="e">
        <f>VLOOKUP(H341,#REF!,13,FALSE)</f>
        <v>#REF!</v>
      </c>
      <c r="AH341" s="2" t="e">
        <f>VLOOKUP(I341,#REF!,2,FALSE)</f>
        <v>#REF!</v>
      </c>
      <c r="AJ341" s="185" t="e">
        <f>VLOOKUP(H341,#REF!,3,FALSE)</f>
        <v>#REF!</v>
      </c>
      <c r="AK341" s="185"/>
      <c r="AL341" s="185" t="e">
        <f>VLOOKUP(H341,#REF!,13,FALSE)</f>
        <v>#REF!</v>
      </c>
      <c r="AM341" s="185" t="e">
        <f>VLOOKUP(CLEAN(H341),#REF!,7,FALSE)</f>
        <v>#REF!</v>
      </c>
      <c r="AN341" s="2" t="e">
        <f>VLOOKUP(H341,#REF!,8,FALSE)</f>
        <v>#REF!</v>
      </c>
      <c r="AO341" s="189" t="e">
        <f>VLOOKUP(H341,#REF!,2,FALSE)</f>
        <v>#REF!</v>
      </c>
      <c r="AP341" s="189" t="e">
        <f>VLOOKUP(H341,#REF!,2,FALSE)</f>
        <v>#REF!</v>
      </c>
      <c r="AQ341" s="189"/>
      <c r="AR341" s="2" t="e">
        <f>VLOOKUP(CLEAN(H341),#REF!,2,FALSE)</f>
        <v>#REF!</v>
      </c>
      <c r="AT341" s="2" t="e">
        <f>VLOOKUP(H341,#REF!,13,FALSE)</f>
        <v>#REF!</v>
      </c>
      <c r="AU341" s="2" t="e">
        <f>VLOOKUP(H341,#REF!,13,FALSE)</f>
        <v>#REF!</v>
      </c>
      <c r="AV341" s="2" t="e">
        <f>VLOOKUP(H341,#REF!,13,FALSE)</f>
        <v>#REF!</v>
      </c>
      <c r="AW341" s="2" t="e">
        <f>VLOOKUP(H341,#REF!,13,FALSE)</f>
        <v>#REF!</v>
      </c>
      <c r="AX341" s="2" t="e">
        <f>VLOOKUP(H341,#REF!,9,FALSE)</f>
        <v>#REF!</v>
      </c>
      <c r="AZ341" s="2" t="e">
        <f>VLOOKUP(H341,#REF!,2,FALSE)</f>
        <v>#REF!</v>
      </c>
      <c r="BF341" s="189" t="e">
        <f>VLOOKUP(CLEAN(H341),#REF!,2,FALSE)</f>
        <v>#REF!</v>
      </c>
      <c r="BG341" s="189" t="e">
        <f>T341-BF341</f>
        <v>#REF!</v>
      </c>
      <c r="BO341" s="2" t="e">
        <f>VLOOKUP(H341,#REF!,13,FALSE)</f>
        <v>#REF!</v>
      </c>
      <c r="BP341" s="2" t="e">
        <f>VLOOKUP(H341,#REF!,2,FALSE)</f>
        <v>#REF!</v>
      </c>
      <c r="BQ341" s="2" t="e">
        <f>VLOOKUP(H341,#REF!,13,FALSE)</f>
        <v>#REF!</v>
      </c>
      <c r="BR341" s="2" t="e">
        <f>VLOOKUP(H341,#REF!,3,FALSE)</f>
        <v>#REF!</v>
      </c>
    </row>
    <row r="342" spans="1:70" s="2" customFormat="1" ht="15" customHeight="1" outlineLevel="2">
      <c r="A342" s="5">
        <v>31</v>
      </c>
      <c r="B342" s="5" t="s">
        <v>5</v>
      </c>
      <c r="C342" s="5" t="s">
        <v>253</v>
      </c>
      <c r="D342" s="5" t="s">
        <v>22</v>
      </c>
      <c r="E342" s="5" t="s">
        <v>27</v>
      </c>
      <c r="F342" s="5" t="s">
        <v>457</v>
      </c>
      <c r="G342" s="5" t="s">
        <v>144</v>
      </c>
      <c r="H342" s="12">
        <v>30085373</v>
      </c>
      <c r="I342" s="42" t="str">
        <f t="shared" si="199"/>
        <v>30085373-EJECUCION</v>
      </c>
      <c r="J342" s="12"/>
      <c r="K342" s="307" t="str">
        <f t="shared" si="200"/>
        <v>30085373</v>
      </c>
      <c r="L342" s="15" t="s">
        <v>466</v>
      </c>
      <c r="M342" s="23">
        <v>1586461807</v>
      </c>
      <c r="N342" s="34">
        <v>1569445807</v>
      </c>
      <c r="O342" s="34">
        <v>7286072</v>
      </c>
      <c r="P342" s="310">
        <v>0</v>
      </c>
      <c r="Q342" s="34">
        <v>0</v>
      </c>
      <c r="R342" s="308">
        <v>0</v>
      </c>
      <c r="S342" s="34">
        <f t="shared" si="201"/>
        <v>0</v>
      </c>
      <c r="T342" s="34">
        <v>0</v>
      </c>
      <c r="U342" s="34">
        <v>0</v>
      </c>
      <c r="V342" s="34">
        <f>P342+Q342+R342+T342+U342</f>
        <v>0</v>
      </c>
      <c r="W342" s="34">
        <f>O342-V342</f>
        <v>7286072</v>
      </c>
      <c r="X342" s="34">
        <f>M342-(N342+O342)</f>
        <v>9729928</v>
      </c>
      <c r="Y342" s="48" t="s">
        <v>239</v>
      </c>
      <c r="Z342" s="48" t="s">
        <v>8</v>
      </c>
      <c r="AA342" s="2" t="e">
        <v>#N/A</v>
      </c>
      <c r="AB342" s="2" t="e">
        <f>VLOOKUP(H342,#REF!,2,FALSE)</f>
        <v>#REF!</v>
      </c>
      <c r="AC342" s="2" t="e">
        <f>VLOOKUP(I342,#REF!,2,FALSE)</f>
        <v>#REF!</v>
      </c>
      <c r="AD342" s="2" t="e">
        <f>VLOOKUP(H342,#REF!,13,FALSE)</f>
        <v>#REF!</v>
      </c>
      <c r="AE342" s="2" t="e">
        <f>VLOOKUP(I342,#REF!,7,FALSE)</f>
        <v>#REF!</v>
      </c>
      <c r="AG342" s="2" t="e">
        <f>VLOOKUP(H342,#REF!,13,FALSE)</f>
        <v>#REF!</v>
      </c>
      <c r="AH342" s="2" t="e">
        <f>VLOOKUP(I342,#REF!,2,FALSE)</f>
        <v>#REF!</v>
      </c>
      <c r="AJ342" s="185" t="e">
        <f>VLOOKUP(H342,#REF!,3,FALSE)</f>
        <v>#REF!</v>
      </c>
      <c r="AK342" s="185"/>
      <c r="AL342" s="185" t="e">
        <f>VLOOKUP(H342,#REF!,13,FALSE)</f>
        <v>#REF!</v>
      </c>
      <c r="AM342" s="185" t="e">
        <f>VLOOKUP(CLEAN(H342),#REF!,7,FALSE)</f>
        <v>#REF!</v>
      </c>
      <c r="AN342" s="2" t="e">
        <f>VLOOKUP(H342,#REF!,8,FALSE)</f>
        <v>#REF!</v>
      </c>
      <c r="AO342" s="189" t="e">
        <f>VLOOKUP(H342,#REF!,2,FALSE)</f>
        <v>#REF!</v>
      </c>
      <c r="AP342" s="189" t="e">
        <f>VLOOKUP(H342,#REF!,2,FALSE)</f>
        <v>#REF!</v>
      </c>
      <c r="AQ342" s="189"/>
      <c r="AR342" s="2" t="e">
        <f>VLOOKUP(CLEAN(H342),#REF!,2,FALSE)</f>
        <v>#REF!</v>
      </c>
      <c r="AT342" s="2" t="e">
        <f>VLOOKUP(H342,#REF!,13,FALSE)</f>
        <v>#REF!</v>
      </c>
      <c r="AU342" s="2" t="e">
        <f>VLOOKUP(H342,#REF!,13,FALSE)</f>
        <v>#REF!</v>
      </c>
      <c r="AV342" s="2" t="e">
        <f>VLOOKUP(H342,#REF!,13,FALSE)</f>
        <v>#REF!</v>
      </c>
      <c r="AW342" s="2" t="e">
        <f>VLOOKUP(H342,#REF!,13,FALSE)</f>
        <v>#REF!</v>
      </c>
      <c r="AX342" s="2" t="e">
        <f>VLOOKUP(H342,#REF!,9,FALSE)</f>
        <v>#REF!</v>
      </c>
      <c r="AZ342" s="189" t="e">
        <f>VLOOKUP(H342,#REF!,2,FALSE)</f>
        <v>#REF!</v>
      </c>
      <c r="BF342" s="189" t="e">
        <f>VLOOKUP(CLEAN(H342),#REF!,2,FALSE)</f>
        <v>#REF!</v>
      </c>
      <c r="BG342" s="189" t="e">
        <f>T342-BF342</f>
        <v>#REF!</v>
      </c>
      <c r="BO342" s="2" t="e">
        <f>VLOOKUP(H342,#REF!,13,FALSE)</f>
        <v>#REF!</v>
      </c>
      <c r="BP342" s="2" t="e">
        <f>VLOOKUP(H342,#REF!,2,FALSE)</f>
        <v>#REF!</v>
      </c>
      <c r="BQ342" s="2" t="e">
        <f>VLOOKUP(H342,#REF!,13,FALSE)</f>
        <v>#REF!</v>
      </c>
      <c r="BR342" s="2" t="e">
        <f>VLOOKUP(H342,#REF!,3,FALSE)</f>
        <v>#REF!</v>
      </c>
    </row>
    <row r="343" spans="1:70" ht="15" customHeight="1" outlineLevel="2">
      <c r="A343" s="7"/>
      <c r="B343" s="7"/>
      <c r="C343" s="7"/>
      <c r="D343" s="7"/>
      <c r="E343" s="7"/>
      <c r="F343" s="7"/>
      <c r="G343" s="7"/>
      <c r="H343" s="11"/>
      <c r="I343" s="11"/>
      <c r="J343" s="11"/>
      <c r="K343" s="11"/>
      <c r="L343" s="17" t="s">
        <v>691</v>
      </c>
      <c r="M343" s="27">
        <f>SUBTOTAL(9,M337:M342)</f>
        <v>7267529229</v>
      </c>
      <c r="N343" s="27">
        <f t="shared" ref="N343:O343" si="203">SUBTOTAL(9,N337:N342)</f>
        <v>5930651336</v>
      </c>
      <c r="O343" s="27">
        <f t="shared" si="203"/>
        <v>960831557</v>
      </c>
      <c r="P343" s="24">
        <f t="shared" ref="P343:X343" si="204">SUBTOTAL(9,P337:P342)</f>
        <v>120507605</v>
      </c>
      <c r="Q343" s="24">
        <f t="shared" si="204"/>
        <v>85164423</v>
      </c>
      <c r="R343" s="24">
        <f t="shared" si="204"/>
        <v>106968733</v>
      </c>
      <c r="S343" s="27">
        <f t="shared" si="204"/>
        <v>312640761</v>
      </c>
      <c r="T343" s="27">
        <f t="shared" si="204"/>
        <v>54925369</v>
      </c>
      <c r="U343" s="27">
        <f t="shared" si="204"/>
        <v>74146246</v>
      </c>
      <c r="V343" s="27">
        <f t="shared" si="204"/>
        <v>441712376</v>
      </c>
      <c r="W343" s="27">
        <f t="shared" si="204"/>
        <v>519119181</v>
      </c>
      <c r="X343" s="27">
        <f t="shared" si="204"/>
        <v>376046336</v>
      </c>
      <c r="Y343" s="47"/>
      <c r="Z343" s="47"/>
      <c r="AM343" s="185" t="e">
        <f>VLOOKUP(CLEAN(H343),#REF!,7,FALSE)</f>
        <v>#REF!</v>
      </c>
      <c r="AO343"/>
      <c r="AP343"/>
      <c r="AQ343"/>
      <c r="AR343" s="2" t="e">
        <f>VLOOKUP(CLEAN(H343),#REF!,2,FALSE)</f>
        <v>#REF!</v>
      </c>
      <c r="AZ343" s="2" t="e">
        <f>VLOOKUP(H343,#REF!,2,FALSE)</f>
        <v>#REF!</v>
      </c>
      <c r="BO343" s="2" t="e">
        <f>VLOOKUP(H343,#REF!,13,FALSE)</f>
        <v>#REF!</v>
      </c>
      <c r="BQ343" s="2" t="e">
        <f>VLOOKUP(H343,#REF!,13,FALSE)</f>
        <v>#REF!</v>
      </c>
    </row>
    <row r="344" spans="1:70" ht="15" customHeight="1" outlineLevel="2">
      <c r="A344" s="7"/>
      <c r="B344" s="7"/>
      <c r="C344" s="7"/>
      <c r="D344" s="7"/>
      <c r="E344" s="7"/>
      <c r="F344" s="7"/>
      <c r="G344" s="7"/>
      <c r="H344" s="11"/>
      <c r="I344" s="11"/>
      <c r="J344" s="11"/>
      <c r="K344" s="11"/>
      <c r="L344" s="292"/>
      <c r="M344" s="22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47"/>
      <c r="Z344" s="47"/>
      <c r="AM344" s="185" t="e">
        <f>VLOOKUP(CLEAN(H344),#REF!,7,FALSE)</f>
        <v>#REF!</v>
      </c>
      <c r="AO344"/>
      <c r="AP344"/>
      <c r="AQ344"/>
      <c r="AR344" s="2" t="e">
        <f>VLOOKUP(CLEAN(H344),#REF!,2,FALSE)</f>
        <v>#REF!</v>
      </c>
      <c r="AZ344" s="2" t="e">
        <f>VLOOKUP(H344,#REF!,2,FALSE)</f>
        <v>#REF!</v>
      </c>
      <c r="BO344" s="2" t="e">
        <f>VLOOKUP(H344,#REF!,13,FALSE)</f>
        <v>#REF!</v>
      </c>
      <c r="BP344" s="293"/>
      <c r="BQ344" s="2" t="e">
        <f>VLOOKUP(H344,#REF!,13,FALSE)</f>
        <v>#REF!</v>
      </c>
    </row>
    <row r="345" spans="1:70" ht="15" customHeight="1" outlineLevel="2">
      <c r="A345" s="7"/>
      <c r="B345" s="7"/>
      <c r="C345" s="7"/>
      <c r="D345" s="7"/>
      <c r="E345" s="7"/>
      <c r="F345" s="7"/>
      <c r="G345" s="7"/>
      <c r="H345" s="11"/>
      <c r="I345" s="11"/>
      <c r="J345" s="11"/>
      <c r="K345" s="11"/>
      <c r="L345" s="18" t="s">
        <v>697</v>
      </c>
      <c r="M345" s="22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47"/>
      <c r="Z345" s="47"/>
      <c r="AO345"/>
      <c r="AP345"/>
      <c r="AQ345"/>
      <c r="AR345" s="2" t="e">
        <f>VLOOKUP(CLEAN(H345),#REF!,2,FALSE)</f>
        <v>#REF!</v>
      </c>
      <c r="AZ345" s="2" t="e">
        <f>VLOOKUP(H345,#REF!,2,FALSE)</f>
        <v>#REF!</v>
      </c>
      <c r="BO345" s="2" t="e">
        <f>VLOOKUP(H345,#REF!,13,FALSE)</f>
        <v>#REF!</v>
      </c>
      <c r="BQ345" s="2" t="e">
        <f>VLOOKUP(H345,#REF!,13,FALSE)</f>
        <v>#REF!</v>
      </c>
    </row>
    <row r="346" spans="1:70" s="2" customFormat="1" ht="15" customHeight="1" outlineLevel="2">
      <c r="A346" s="5">
        <v>31</v>
      </c>
      <c r="B346" s="5" t="s">
        <v>5</v>
      </c>
      <c r="C346" s="5" t="s">
        <v>251</v>
      </c>
      <c r="D346" s="5" t="s">
        <v>22</v>
      </c>
      <c r="E346" s="5" t="s">
        <v>27</v>
      </c>
      <c r="F346" s="5" t="s">
        <v>89</v>
      </c>
      <c r="G346" s="5" t="s">
        <v>9</v>
      </c>
      <c r="H346" s="12">
        <v>30071843</v>
      </c>
      <c r="I346" s="311" t="str">
        <f t="shared" ref="I346:I348" si="205">CONCATENATE(H346,"-",G346)</f>
        <v>30071843-DISEÑO</v>
      </c>
      <c r="J346" s="190"/>
      <c r="K346" s="309" t="str">
        <f t="shared" ref="K346:K348" si="206">CLEAN(H346)</f>
        <v>30071843</v>
      </c>
      <c r="L346" s="15" t="s">
        <v>440</v>
      </c>
      <c r="M346" s="23">
        <v>36562480</v>
      </c>
      <c r="N346" s="34">
        <v>34366000</v>
      </c>
      <c r="O346" s="34">
        <v>2196480</v>
      </c>
      <c r="P346" s="310">
        <v>0</v>
      </c>
      <c r="Q346" s="34">
        <v>0</v>
      </c>
      <c r="R346" s="308">
        <v>0</v>
      </c>
      <c r="S346" s="34">
        <f t="shared" ref="S346:S348" si="207">P346+Q346+R346</f>
        <v>0</v>
      </c>
      <c r="T346" s="34">
        <v>0</v>
      </c>
      <c r="U346" s="34">
        <v>0</v>
      </c>
      <c r="V346" s="34">
        <f>P346+Q346+R346+T346+U346</f>
        <v>0</v>
      </c>
      <c r="W346" s="34">
        <f>O346-V346</f>
        <v>2196480</v>
      </c>
      <c r="X346" s="34">
        <f>M346-(N346+O346)</f>
        <v>0</v>
      </c>
      <c r="Y346" s="48" t="s">
        <v>460</v>
      </c>
      <c r="Z346" s="48" t="s">
        <v>8</v>
      </c>
      <c r="AA346" s="2" t="s">
        <v>843</v>
      </c>
      <c r="AB346" s="2" t="e">
        <f>VLOOKUP(H346,#REF!,2,FALSE)</f>
        <v>#REF!</v>
      </c>
      <c r="AC346" s="2" t="e">
        <f>VLOOKUP(I346,#REF!,2,FALSE)</f>
        <v>#REF!</v>
      </c>
      <c r="AD346" s="2" t="e">
        <f>VLOOKUP(H346,#REF!,13,FALSE)</f>
        <v>#REF!</v>
      </c>
      <c r="AE346" s="177" t="e">
        <f>VLOOKUP(I346,#REF!,7,FALSE)</f>
        <v>#REF!</v>
      </c>
      <c r="AG346" s="2" t="e">
        <f>VLOOKUP(H346,#REF!,13,FALSE)</f>
        <v>#REF!</v>
      </c>
      <c r="AH346" s="2" t="e">
        <f>VLOOKUP(I346,#REF!,2,FALSE)</f>
        <v>#REF!</v>
      </c>
      <c r="AJ346" s="185" t="e">
        <f>VLOOKUP(H346,#REF!,3,FALSE)</f>
        <v>#REF!</v>
      </c>
      <c r="AK346" s="185"/>
      <c r="AL346" s="185" t="e">
        <f>VLOOKUP(H346,#REF!,13,FALSE)</f>
        <v>#REF!</v>
      </c>
      <c r="AM346" s="185" t="e">
        <f>VLOOKUP(CLEAN(H346),#REF!,7,FALSE)</f>
        <v>#REF!</v>
      </c>
      <c r="AN346" s="2" t="e">
        <f>VLOOKUP(H346,#REF!,8,FALSE)</f>
        <v>#REF!</v>
      </c>
      <c r="AO346" s="189" t="e">
        <f>VLOOKUP(H346,#REF!,2,FALSE)</f>
        <v>#REF!</v>
      </c>
      <c r="AP346" s="189" t="e">
        <f>VLOOKUP(H346,#REF!,2,FALSE)</f>
        <v>#REF!</v>
      </c>
      <c r="AQ346" s="189"/>
      <c r="AR346" s="2" t="e">
        <f>VLOOKUP(CLEAN(H346),#REF!,2,FALSE)</f>
        <v>#REF!</v>
      </c>
      <c r="AT346" s="2" t="e">
        <f>VLOOKUP(H346,#REF!,13,FALSE)</f>
        <v>#REF!</v>
      </c>
      <c r="AU346" s="2" t="e">
        <f>VLOOKUP(H346,#REF!,13,FALSE)</f>
        <v>#REF!</v>
      </c>
      <c r="AV346" s="2" t="e">
        <f>VLOOKUP(H346,#REF!,13,FALSE)</f>
        <v>#REF!</v>
      </c>
      <c r="AW346" s="2" t="e">
        <f>VLOOKUP(H346,#REF!,13,FALSE)</f>
        <v>#REF!</v>
      </c>
      <c r="AX346" s="2" t="e">
        <f>VLOOKUP(H346,#REF!,9,FALSE)</f>
        <v>#REF!</v>
      </c>
      <c r="AZ346" s="189" t="e">
        <f>VLOOKUP(H346,#REF!,2,FALSE)</f>
        <v>#REF!</v>
      </c>
      <c r="BF346" s="189" t="e">
        <f>VLOOKUP(CLEAN(H346),#REF!,2,FALSE)</f>
        <v>#REF!</v>
      </c>
      <c r="BG346" s="189" t="e">
        <f>T346-BF346</f>
        <v>#REF!</v>
      </c>
      <c r="BO346" s="2" t="e">
        <f>VLOOKUP(H346,#REF!,13,FALSE)</f>
        <v>#REF!</v>
      </c>
      <c r="BP346" s="2" t="e">
        <f>VLOOKUP(H346,#REF!,2,FALSE)</f>
        <v>#REF!</v>
      </c>
      <c r="BQ346" s="2" t="e">
        <f>VLOOKUP(H346,#REF!,13,FALSE)</f>
        <v>#REF!</v>
      </c>
      <c r="BR346" s="2" t="e">
        <f>VLOOKUP(H346,#REF!,3,FALSE)</f>
        <v>#REF!</v>
      </c>
    </row>
    <row r="347" spans="1:70" s="2" customFormat="1" ht="15" customHeight="1" outlineLevel="2">
      <c r="A347" s="5">
        <v>31</v>
      </c>
      <c r="B347" s="5" t="s">
        <v>5</v>
      </c>
      <c r="C347" s="5" t="s">
        <v>248</v>
      </c>
      <c r="D347" s="5" t="s">
        <v>22</v>
      </c>
      <c r="E347" s="5" t="s">
        <v>27</v>
      </c>
      <c r="F347" s="5" t="s">
        <v>15</v>
      </c>
      <c r="G347" s="5" t="s">
        <v>144</v>
      </c>
      <c r="H347" s="12">
        <v>30128506</v>
      </c>
      <c r="I347" s="42" t="str">
        <f t="shared" si="205"/>
        <v>30128506-EJECUCION</v>
      </c>
      <c r="J347" s="12"/>
      <c r="K347" s="307" t="str">
        <f t="shared" si="206"/>
        <v>30128506</v>
      </c>
      <c r="L347" s="15" t="s">
        <v>441</v>
      </c>
      <c r="M347" s="34">
        <v>278849622</v>
      </c>
      <c r="N347" s="34">
        <v>278849622</v>
      </c>
      <c r="O347" s="34">
        <v>0</v>
      </c>
      <c r="P347" s="310">
        <v>0</v>
      </c>
      <c r="Q347" s="34">
        <v>0</v>
      </c>
      <c r="R347" s="308">
        <v>0</v>
      </c>
      <c r="S347" s="34">
        <f t="shared" si="207"/>
        <v>0</v>
      </c>
      <c r="T347" s="34">
        <v>0</v>
      </c>
      <c r="U347" s="34">
        <v>0</v>
      </c>
      <c r="V347" s="34">
        <f>P347+Q347+R347+T347+U347</f>
        <v>0</v>
      </c>
      <c r="W347" s="34">
        <f>O347-V347</f>
        <v>0</v>
      </c>
      <c r="X347" s="34">
        <f>M347-(N347+O347)</f>
        <v>0</v>
      </c>
      <c r="Y347" s="48" t="s">
        <v>460</v>
      </c>
      <c r="Z347" s="48" t="s">
        <v>8</v>
      </c>
      <c r="AA347" s="2" t="s">
        <v>843</v>
      </c>
      <c r="AB347" s="2" t="e">
        <f>VLOOKUP(H347,#REF!,2,FALSE)</f>
        <v>#REF!</v>
      </c>
      <c r="AC347" s="2" t="e">
        <f>VLOOKUP(I347,#REF!,2,FALSE)</f>
        <v>#REF!</v>
      </c>
      <c r="AD347" s="2" t="e">
        <f>VLOOKUP(H347,#REF!,13,FALSE)</f>
        <v>#REF!</v>
      </c>
      <c r="AE347" s="2" t="e">
        <f>VLOOKUP(I347,#REF!,7,FALSE)</f>
        <v>#REF!</v>
      </c>
      <c r="AG347" s="2" t="e">
        <f>VLOOKUP(H347,#REF!,13,FALSE)</f>
        <v>#REF!</v>
      </c>
      <c r="AH347" s="2" t="e">
        <f>VLOOKUP(I347,#REF!,2,FALSE)</f>
        <v>#REF!</v>
      </c>
      <c r="AJ347" s="185" t="e">
        <f>VLOOKUP(H347,#REF!,3,FALSE)</f>
        <v>#REF!</v>
      </c>
      <c r="AK347" s="185"/>
      <c r="AL347" s="185" t="e">
        <f>VLOOKUP(H347,#REF!,13,FALSE)</f>
        <v>#REF!</v>
      </c>
      <c r="AM347" s="185" t="e">
        <f>VLOOKUP(CLEAN(H347),#REF!,7,FALSE)</f>
        <v>#REF!</v>
      </c>
      <c r="AN347" s="2" t="e">
        <f>VLOOKUP(H347,#REF!,8,FALSE)</f>
        <v>#REF!</v>
      </c>
      <c r="AO347" s="189" t="e">
        <f>VLOOKUP(H347,#REF!,2,FALSE)</f>
        <v>#REF!</v>
      </c>
      <c r="AP347" s="189" t="e">
        <f>VLOOKUP(H347,#REF!,2,FALSE)</f>
        <v>#REF!</v>
      </c>
      <c r="AQ347" s="189"/>
      <c r="AR347" s="2" t="e">
        <f>VLOOKUP(CLEAN(H347),#REF!,2,FALSE)</f>
        <v>#REF!</v>
      </c>
      <c r="AT347" s="2" t="e">
        <f>VLOOKUP(H347,#REF!,13,FALSE)</f>
        <v>#REF!</v>
      </c>
      <c r="AU347" s="2" t="e">
        <f>VLOOKUP(H347,#REF!,13,FALSE)</f>
        <v>#REF!</v>
      </c>
      <c r="AV347" s="2" t="e">
        <f>VLOOKUP(H347,#REF!,13,FALSE)</f>
        <v>#REF!</v>
      </c>
      <c r="AW347" s="2" t="e">
        <f>VLOOKUP(H347,#REF!,13,FALSE)</f>
        <v>#REF!</v>
      </c>
      <c r="AX347" s="2" t="e">
        <f>VLOOKUP(H347,#REF!,9,FALSE)</f>
        <v>#REF!</v>
      </c>
      <c r="AZ347" s="2" t="e">
        <f>VLOOKUP(H347,#REF!,2,FALSE)</f>
        <v>#REF!</v>
      </c>
      <c r="BF347" s="189" t="e">
        <f>VLOOKUP(CLEAN(H347),#REF!,2,FALSE)</f>
        <v>#REF!</v>
      </c>
      <c r="BG347" s="189" t="e">
        <f>T347-BF347</f>
        <v>#REF!</v>
      </c>
      <c r="BO347" s="2" t="e">
        <f>VLOOKUP(H347,#REF!,13,FALSE)</f>
        <v>#REF!</v>
      </c>
      <c r="BP347" s="2" t="e">
        <f>VLOOKUP(H347,#REF!,2,FALSE)</f>
        <v>#REF!</v>
      </c>
      <c r="BQ347" s="2" t="e">
        <f>VLOOKUP(H347,#REF!,13,FALSE)</f>
        <v>#REF!</v>
      </c>
      <c r="BR347" s="2" t="e">
        <f>VLOOKUP(H347,#REF!,3,FALSE)</f>
        <v>#REF!</v>
      </c>
    </row>
    <row r="348" spans="1:70" s="2" customFormat="1" ht="15" customHeight="1" outlineLevel="2">
      <c r="A348" s="5">
        <v>31</v>
      </c>
      <c r="B348" s="5" t="s">
        <v>5</v>
      </c>
      <c r="C348" s="5" t="s">
        <v>240</v>
      </c>
      <c r="D348" s="5" t="s">
        <v>22</v>
      </c>
      <c r="E348" s="5" t="s">
        <v>27</v>
      </c>
      <c r="F348" s="5" t="s">
        <v>457</v>
      </c>
      <c r="G348" s="5" t="s">
        <v>9</v>
      </c>
      <c r="H348" s="12">
        <v>30219228</v>
      </c>
      <c r="I348" s="42" t="str">
        <f t="shared" si="205"/>
        <v>30219228-DISEÑO</v>
      </c>
      <c r="J348" s="12" t="s">
        <v>725</v>
      </c>
      <c r="K348" s="307" t="str">
        <f t="shared" si="206"/>
        <v>30219228</v>
      </c>
      <c r="L348" s="15" t="s">
        <v>442</v>
      </c>
      <c r="M348" s="23">
        <v>96233000</v>
      </c>
      <c r="N348" s="34">
        <v>82343100</v>
      </c>
      <c r="O348" s="34">
        <f>11797900+2092000</f>
        <v>13889900</v>
      </c>
      <c r="P348" s="310">
        <v>0</v>
      </c>
      <c r="Q348" s="34">
        <v>0</v>
      </c>
      <c r="R348" s="308">
        <v>13889900</v>
      </c>
      <c r="S348" s="34">
        <f t="shared" si="207"/>
        <v>13889900</v>
      </c>
      <c r="T348" s="34">
        <v>0</v>
      </c>
      <c r="U348" s="34">
        <v>0</v>
      </c>
      <c r="V348" s="34">
        <f>P348+Q348+R348+T348+U348</f>
        <v>13889900</v>
      </c>
      <c r="W348" s="34">
        <f>O348-V348</f>
        <v>0</v>
      </c>
      <c r="X348" s="34">
        <f>M348-(N348+O348)</f>
        <v>0</v>
      </c>
      <c r="Y348" s="48" t="s">
        <v>460</v>
      </c>
      <c r="Z348" s="48" t="s">
        <v>8</v>
      </c>
      <c r="AA348" s="2" t="s">
        <v>843</v>
      </c>
      <c r="AB348" s="2" t="e">
        <f>VLOOKUP(H348,#REF!,2,FALSE)</f>
        <v>#REF!</v>
      </c>
      <c r="AC348" s="2" t="e">
        <f>VLOOKUP(I348,#REF!,2,FALSE)</f>
        <v>#REF!</v>
      </c>
      <c r="AD348" s="2" t="e">
        <f>VLOOKUP(H348,#REF!,13,FALSE)</f>
        <v>#REF!</v>
      </c>
      <c r="AE348" s="2" t="e">
        <f>VLOOKUP(I348,#REF!,7,FALSE)</f>
        <v>#REF!</v>
      </c>
      <c r="AG348" s="2" t="e">
        <f>VLOOKUP(H348,#REF!,13,FALSE)</f>
        <v>#REF!</v>
      </c>
      <c r="AH348" s="2" t="e">
        <f>VLOOKUP(I348,#REF!,2,FALSE)</f>
        <v>#REF!</v>
      </c>
      <c r="AJ348" s="185" t="e">
        <f>VLOOKUP(H348,#REF!,3,FALSE)</f>
        <v>#REF!</v>
      </c>
      <c r="AK348" s="185"/>
      <c r="AL348" s="185" t="e">
        <f>VLOOKUP(H348,#REF!,13,FALSE)</f>
        <v>#REF!</v>
      </c>
      <c r="AM348" s="185" t="e">
        <f>VLOOKUP(CLEAN(H348),#REF!,7,FALSE)</f>
        <v>#REF!</v>
      </c>
      <c r="AN348" s="2" t="e">
        <f>VLOOKUP(H348,#REF!,8,FALSE)</f>
        <v>#REF!</v>
      </c>
      <c r="AO348" s="189" t="e">
        <f>VLOOKUP(H348,#REF!,2,FALSE)</f>
        <v>#REF!</v>
      </c>
      <c r="AP348" s="189" t="e">
        <f>VLOOKUP(H348,#REF!,2,FALSE)</f>
        <v>#REF!</v>
      </c>
      <c r="AQ348" s="189"/>
      <c r="AR348" s="2" t="e">
        <f>VLOOKUP(CLEAN(H348),#REF!,2,FALSE)</f>
        <v>#REF!</v>
      </c>
      <c r="AT348" s="2" t="e">
        <f>VLOOKUP(H348,#REF!,13,FALSE)</f>
        <v>#REF!</v>
      </c>
      <c r="AU348" s="2" t="e">
        <f>VLOOKUP(H348,#REF!,13,FALSE)</f>
        <v>#REF!</v>
      </c>
      <c r="AV348" s="2" t="e">
        <f>VLOOKUP(H348,#REF!,13,FALSE)</f>
        <v>#REF!</v>
      </c>
      <c r="AW348" s="2" t="e">
        <f>VLOOKUP(H348,#REF!,13,FALSE)</f>
        <v>#REF!</v>
      </c>
      <c r="AX348" s="2" t="e">
        <f>VLOOKUP(H348,#REF!,9,FALSE)</f>
        <v>#REF!</v>
      </c>
      <c r="AZ348" s="189" t="e">
        <f>VLOOKUP(H348,#REF!,2,FALSE)</f>
        <v>#REF!</v>
      </c>
      <c r="BF348" s="189" t="e">
        <f>VLOOKUP(CLEAN(H348),#REF!,2,FALSE)</f>
        <v>#REF!</v>
      </c>
      <c r="BG348" s="189" t="e">
        <f>T348-BF348</f>
        <v>#REF!</v>
      </c>
      <c r="BO348" s="2" t="e">
        <f>VLOOKUP(H348,#REF!,13,FALSE)</f>
        <v>#REF!</v>
      </c>
      <c r="BP348" s="2" t="e">
        <f>VLOOKUP(H348,#REF!,2,FALSE)</f>
        <v>#REF!</v>
      </c>
      <c r="BQ348" s="2" t="e">
        <f>VLOOKUP(H348,#REF!,13,FALSE)</f>
        <v>#REF!</v>
      </c>
      <c r="BR348" s="2" t="e">
        <f>VLOOKUP(H348,#REF!,3,FALSE)</f>
        <v>#REF!</v>
      </c>
    </row>
    <row r="349" spans="1:70" ht="15" customHeight="1" outlineLevel="2">
      <c r="A349" s="7"/>
      <c r="B349" s="7"/>
      <c r="C349" s="7"/>
      <c r="D349" s="7"/>
      <c r="E349" s="7"/>
      <c r="F349" s="7"/>
      <c r="G349" s="7"/>
      <c r="H349" s="11"/>
      <c r="I349" s="11"/>
      <c r="J349" s="11"/>
      <c r="K349" s="11"/>
      <c r="L349" s="17" t="s">
        <v>694</v>
      </c>
      <c r="M349" s="27">
        <f>SUBTOTAL(9,M346:M348)</f>
        <v>411645102</v>
      </c>
      <c r="N349" s="27">
        <f t="shared" ref="N349:O349" si="208">SUBTOTAL(9,N346:N348)</f>
        <v>395558722</v>
      </c>
      <c r="O349" s="27">
        <f t="shared" si="208"/>
        <v>16086380</v>
      </c>
      <c r="P349" s="24">
        <f t="shared" ref="P349:X349" si="209">SUBTOTAL(9,P346:P348)</f>
        <v>0</v>
      </c>
      <c r="Q349" s="24">
        <f t="shared" si="209"/>
        <v>0</v>
      </c>
      <c r="R349" s="24">
        <f t="shared" si="209"/>
        <v>13889900</v>
      </c>
      <c r="S349" s="27">
        <f t="shared" si="209"/>
        <v>13889900</v>
      </c>
      <c r="T349" s="27">
        <f t="shared" si="209"/>
        <v>0</v>
      </c>
      <c r="U349" s="27">
        <f t="shared" si="209"/>
        <v>0</v>
      </c>
      <c r="V349" s="27">
        <f t="shared" si="209"/>
        <v>13889900</v>
      </c>
      <c r="W349" s="27">
        <f t="shared" si="209"/>
        <v>2196480</v>
      </c>
      <c r="X349" s="27">
        <f t="shared" si="209"/>
        <v>0</v>
      </c>
      <c r="Y349" s="47"/>
      <c r="Z349" s="47"/>
      <c r="AO349"/>
      <c r="AP349"/>
      <c r="AQ349"/>
      <c r="AR349" s="2" t="e">
        <f>VLOOKUP(CLEAN(H349),#REF!,2,FALSE)</f>
        <v>#REF!</v>
      </c>
      <c r="AZ349" s="2" t="e">
        <f>VLOOKUP(H349,#REF!,2,FALSE)</f>
        <v>#REF!</v>
      </c>
      <c r="BO349" s="2" t="e">
        <f>VLOOKUP(H349,#REF!,13,FALSE)</f>
        <v>#REF!</v>
      </c>
      <c r="BQ349" s="2" t="e">
        <f>VLOOKUP(H349,#REF!,13,FALSE)</f>
        <v>#REF!</v>
      </c>
    </row>
    <row r="350" spans="1:70" ht="15" customHeight="1" outlineLevel="2">
      <c r="A350" s="7"/>
      <c r="B350" s="7"/>
      <c r="C350" s="7"/>
      <c r="D350" s="7"/>
      <c r="E350" s="7"/>
      <c r="F350" s="7"/>
      <c r="G350" s="7"/>
      <c r="H350" s="11"/>
      <c r="I350" s="11"/>
      <c r="J350" s="11"/>
      <c r="K350" s="11"/>
      <c r="L350" s="292"/>
      <c r="M350" s="22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47"/>
      <c r="Z350" s="47"/>
      <c r="AO350"/>
      <c r="AP350"/>
      <c r="AQ350"/>
      <c r="AR350" s="2" t="e">
        <f>VLOOKUP(CLEAN(H350),#REF!,2,FALSE)</f>
        <v>#REF!</v>
      </c>
      <c r="AZ350" s="2" t="e">
        <f>VLOOKUP(H350,#REF!,2,FALSE)</f>
        <v>#REF!</v>
      </c>
      <c r="BO350" s="2" t="e">
        <f>VLOOKUP(H350,#REF!,13,FALSE)</f>
        <v>#REF!</v>
      </c>
      <c r="BP350" s="293"/>
      <c r="BQ350" s="2" t="e">
        <f>VLOOKUP(H350,#REF!,13,FALSE)</f>
        <v>#REF!</v>
      </c>
    </row>
    <row r="351" spans="1:70" ht="15" customHeight="1" outlineLevel="2">
      <c r="A351" s="7"/>
      <c r="B351" s="7"/>
      <c r="C351" s="7"/>
      <c r="D351" s="7"/>
      <c r="E351" s="7"/>
      <c r="F351" s="7"/>
      <c r="G351" s="7"/>
      <c r="H351" s="11"/>
      <c r="I351" s="11"/>
      <c r="J351" s="11"/>
      <c r="K351" s="11"/>
      <c r="L351" s="18" t="s">
        <v>698</v>
      </c>
      <c r="M351" s="22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47"/>
      <c r="Z351" s="47"/>
      <c r="AO351"/>
      <c r="AP351"/>
      <c r="AQ351"/>
      <c r="AR351" s="2" t="e">
        <f>VLOOKUP(CLEAN(H351),#REF!,2,FALSE)</f>
        <v>#REF!</v>
      </c>
      <c r="AZ351" s="2" t="e">
        <f>VLOOKUP(H351,#REF!,2,FALSE)</f>
        <v>#REF!</v>
      </c>
      <c r="BO351" s="2" t="e">
        <f>VLOOKUP(H351,#REF!,13,FALSE)</f>
        <v>#REF!</v>
      </c>
      <c r="BQ351" s="2" t="e">
        <f>VLOOKUP(H351,#REF!,13,FALSE)</f>
        <v>#REF!</v>
      </c>
    </row>
    <row r="352" spans="1:70" s="2" customFormat="1" ht="15" customHeight="1" outlineLevel="2">
      <c r="A352" s="5">
        <v>31</v>
      </c>
      <c r="B352" s="5" t="s">
        <v>54</v>
      </c>
      <c r="C352" s="5" t="s">
        <v>248</v>
      </c>
      <c r="D352" s="5" t="s">
        <v>22</v>
      </c>
      <c r="E352" s="5" t="s">
        <v>27</v>
      </c>
      <c r="F352" s="5" t="s">
        <v>457</v>
      </c>
      <c r="G352" s="5" t="s">
        <v>144</v>
      </c>
      <c r="H352" s="12">
        <v>30465245</v>
      </c>
      <c r="I352" s="42" t="str">
        <f>CONCATENATE(H352,"-",G352)</f>
        <v>30465245-EJECUCION</v>
      </c>
      <c r="J352" s="12"/>
      <c r="K352" s="307" t="str">
        <f>CLEAN(H352)</f>
        <v>30465245</v>
      </c>
      <c r="L352" s="15" t="s">
        <v>331</v>
      </c>
      <c r="M352" s="23">
        <v>330967000</v>
      </c>
      <c r="N352" s="34">
        <v>0</v>
      </c>
      <c r="O352" s="34">
        <f>150000000+177591</f>
        <v>150177591</v>
      </c>
      <c r="P352" s="310">
        <v>1500000</v>
      </c>
      <c r="Q352" s="34">
        <v>0</v>
      </c>
      <c r="R352" s="308">
        <v>0</v>
      </c>
      <c r="S352" s="34">
        <f>P352+Q352+R352</f>
        <v>1500000</v>
      </c>
      <c r="T352" s="34">
        <v>0</v>
      </c>
      <c r="U352" s="34">
        <v>0</v>
      </c>
      <c r="V352" s="34">
        <f>P352+Q352+R352+T352+U352</f>
        <v>1500000</v>
      </c>
      <c r="W352" s="34">
        <f>O352-V352</f>
        <v>148677591</v>
      </c>
      <c r="X352" s="34">
        <f>M352-(N352+O352)</f>
        <v>180789409</v>
      </c>
      <c r="Y352" s="48" t="s">
        <v>649</v>
      </c>
      <c r="Z352" s="48" t="s">
        <v>8</v>
      </c>
      <c r="AA352" s="2" t="e">
        <v>#N/A</v>
      </c>
      <c r="AB352" s="2" t="e">
        <f>VLOOKUP(H352,#REF!,2,FALSE)</f>
        <v>#REF!</v>
      </c>
      <c r="AC352" s="2" t="e">
        <f>VLOOKUP(I352,#REF!,2,FALSE)</f>
        <v>#REF!</v>
      </c>
      <c r="AD352" s="2" t="e">
        <f>VLOOKUP(H352,#REF!,13,FALSE)</f>
        <v>#REF!</v>
      </c>
      <c r="AE352" s="2" t="e">
        <f>VLOOKUP(I352,#REF!,7,FALSE)</f>
        <v>#REF!</v>
      </c>
      <c r="AG352" s="2" t="e">
        <f>VLOOKUP(H352,#REF!,13,FALSE)</f>
        <v>#REF!</v>
      </c>
      <c r="AH352" s="2" t="e">
        <f>VLOOKUP(I352,#REF!,2,FALSE)</f>
        <v>#REF!</v>
      </c>
      <c r="AJ352" s="185" t="e">
        <f>VLOOKUP(H352,#REF!,3,FALSE)</f>
        <v>#REF!</v>
      </c>
      <c r="AK352" s="185"/>
      <c r="AL352" s="185" t="e">
        <f>VLOOKUP(H352,#REF!,13,FALSE)</f>
        <v>#REF!</v>
      </c>
      <c r="AM352" s="185" t="e">
        <f>VLOOKUP(CLEAN(H352),#REF!,7,FALSE)</f>
        <v>#REF!</v>
      </c>
      <c r="AN352" s="2" t="e">
        <f>VLOOKUP(H352,#REF!,8,FALSE)</f>
        <v>#REF!</v>
      </c>
      <c r="AO352" s="189" t="e">
        <f>VLOOKUP(H352,#REF!,2,FALSE)</f>
        <v>#REF!</v>
      </c>
      <c r="AP352" s="189" t="e">
        <f>VLOOKUP(H352,#REF!,2,FALSE)</f>
        <v>#REF!</v>
      </c>
      <c r="AQ352" s="189"/>
      <c r="AR352" s="2" t="e">
        <f>VLOOKUP(CLEAN(H352),#REF!,2,FALSE)</f>
        <v>#REF!</v>
      </c>
      <c r="AT352" s="2" t="e">
        <f>VLOOKUP(H352,#REF!,13,FALSE)</f>
        <v>#REF!</v>
      </c>
      <c r="AU352" s="2" t="e">
        <f>VLOOKUP(H352,#REF!,13,FALSE)</f>
        <v>#REF!</v>
      </c>
      <c r="AV352" s="2" t="e">
        <f>VLOOKUP(H352,#REF!,13,FALSE)</f>
        <v>#REF!</v>
      </c>
      <c r="AW352" s="2" t="e">
        <f>VLOOKUP(H352,#REF!,13,FALSE)</f>
        <v>#REF!</v>
      </c>
      <c r="AX352" s="2" t="e">
        <f>VLOOKUP(H352,#REF!,9,FALSE)</f>
        <v>#REF!</v>
      </c>
      <c r="AZ352" s="189" t="e">
        <f>VLOOKUP(H352,#REF!,2,FALSE)</f>
        <v>#REF!</v>
      </c>
      <c r="BF352" s="189" t="e">
        <f>VLOOKUP(CLEAN(H352),#REF!,2,FALSE)</f>
        <v>#REF!</v>
      </c>
      <c r="BG352" s="189" t="e">
        <f>T352-BF352</f>
        <v>#REF!</v>
      </c>
      <c r="BO352" s="2" t="e">
        <f>VLOOKUP(H352,#REF!,13,FALSE)</f>
        <v>#REF!</v>
      </c>
      <c r="BP352" s="2" t="e">
        <f>VLOOKUP(H352,#REF!,2,FALSE)</f>
        <v>#REF!</v>
      </c>
      <c r="BQ352" s="2" t="e">
        <f>VLOOKUP(H352,#REF!,13,FALSE)</f>
        <v>#REF!</v>
      </c>
      <c r="BR352" s="2" t="e">
        <f>VLOOKUP(H352,#REF!,3,FALSE)</f>
        <v>#REF!</v>
      </c>
    </row>
    <row r="353" spans="1:70" ht="15" customHeight="1" outlineLevel="2">
      <c r="A353" s="7"/>
      <c r="B353" s="7"/>
      <c r="C353" s="7"/>
      <c r="D353" s="7"/>
      <c r="E353" s="7"/>
      <c r="F353" s="7"/>
      <c r="G353" s="7"/>
      <c r="H353" s="11"/>
      <c r="I353" s="11"/>
      <c r="J353" s="11"/>
      <c r="K353" s="11"/>
      <c r="L353" s="17" t="s">
        <v>692</v>
      </c>
      <c r="M353" s="27">
        <f t="shared" ref="M353:X353" si="210">SUBTOTAL(9,M352)</f>
        <v>330967000</v>
      </c>
      <c r="N353" s="27">
        <f t="shared" si="210"/>
        <v>0</v>
      </c>
      <c r="O353" s="27">
        <f t="shared" si="210"/>
        <v>150177591</v>
      </c>
      <c r="P353" s="24">
        <f t="shared" si="210"/>
        <v>1500000</v>
      </c>
      <c r="Q353" s="24">
        <f t="shared" si="210"/>
        <v>0</v>
      </c>
      <c r="R353" s="24">
        <f t="shared" si="210"/>
        <v>0</v>
      </c>
      <c r="S353" s="27">
        <f t="shared" si="210"/>
        <v>1500000</v>
      </c>
      <c r="T353" s="27">
        <f t="shared" si="210"/>
        <v>0</v>
      </c>
      <c r="U353" s="27">
        <f t="shared" si="210"/>
        <v>0</v>
      </c>
      <c r="V353" s="27">
        <f t="shared" si="210"/>
        <v>1500000</v>
      </c>
      <c r="W353" s="27">
        <f t="shared" si="210"/>
        <v>148677591</v>
      </c>
      <c r="X353" s="27">
        <f t="shared" si="210"/>
        <v>180789409</v>
      </c>
      <c r="Y353" s="47"/>
      <c r="Z353" s="47"/>
      <c r="AO353"/>
      <c r="AP353"/>
      <c r="AQ353"/>
      <c r="AR353" s="2" t="e">
        <f>VLOOKUP(CLEAN(H353),#REF!,2,FALSE)</f>
        <v>#REF!</v>
      </c>
      <c r="AZ353" s="2" t="e">
        <f>VLOOKUP(H353,#REF!,2,FALSE)</f>
        <v>#REF!</v>
      </c>
      <c r="BO353" s="2" t="e">
        <f>VLOOKUP(H353,#REF!,13,FALSE)</f>
        <v>#REF!</v>
      </c>
      <c r="BQ353" s="2" t="e">
        <f>VLOOKUP(H353,#REF!,13,FALSE)</f>
        <v>#REF!</v>
      </c>
    </row>
    <row r="354" spans="1:70" ht="15" customHeight="1" outlineLevel="2">
      <c r="A354" s="7"/>
      <c r="B354" s="7"/>
      <c r="C354" s="7"/>
      <c r="D354" s="7"/>
      <c r="E354" s="7"/>
      <c r="F354" s="7"/>
      <c r="G354" s="7"/>
      <c r="H354" s="11"/>
      <c r="I354" s="11"/>
      <c r="J354" s="11"/>
      <c r="K354" s="11"/>
      <c r="L354" s="292"/>
      <c r="M354" s="22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47"/>
      <c r="Z354" s="47"/>
      <c r="AO354"/>
      <c r="AP354"/>
      <c r="AQ354"/>
      <c r="AR354" s="2" t="e">
        <f>VLOOKUP(CLEAN(H354),#REF!,2,FALSE)</f>
        <v>#REF!</v>
      </c>
      <c r="AZ354" s="2" t="e">
        <f>VLOOKUP(H354,#REF!,2,FALSE)</f>
        <v>#REF!</v>
      </c>
      <c r="BO354" s="2" t="e">
        <f>VLOOKUP(H354,#REF!,13,FALSE)</f>
        <v>#REF!</v>
      </c>
      <c r="BP354" s="293"/>
      <c r="BQ354" s="2" t="e">
        <f>VLOOKUP(H354,#REF!,13,FALSE)</f>
        <v>#REF!</v>
      </c>
    </row>
    <row r="355" spans="1:70" ht="15" customHeight="1" outlineLevel="2">
      <c r="A355" s="7"/>
      <c r="B355" s="7"/>
      <c r="C355" s="7"/>
      <c r="D355" s="7"/>
      <c r="E355" s="7"/>
      <c r="F355" s="7"/>
      <c r="G355" s="7"/>
      <c r="H355" s="11"/>
      <c r="I355" s="11"/>
      <c r="J355" s="11"/>
      <c r="K355" s="11"/>
      <c r="L355" s="18" t="s">
        <v>701</v>
      </c>
      <c r="M355" s="22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47"/>
      <c r="Z355" s="47"/>
      <c r="AM355" s="185" t="e">
        <f>VLOOKUP(CLEAN(H355),#REF!,7,FALSE)</f>
        <v>#REF!</v>
      </c>
      <c r="AO355"/>
      <c r="AP355"/>
      <c r="AQ355"/>
      <c r="AR355" s="2" t="e">
        <f>VLOOKUP(CLEAN(H355),#REF!,2,FALSE)</f>
        <v>#REF!</v>
      </c>
      <c r="AZ355" s="2" t="e">
        <f>VLOOKUP(H355,#REF!,2,FALSE)</f>
        <v>#REF!</v>
      </c>
      <c r="BO355" s="2" t="e">
        <f>VLOOKUP(H355,#REF!,13,FALSE)</f>
        <v>#REF!</v>
      </c>
      <c r="BQ355" s="2" t="e">
        <f>VLOOKUP(H355,#REF!,13,FALSE)</f>
        <v>#REF!</v>
      </c>
    </row>
    <row r="356" spans="1:70" s="2" customFormat="1" ht="15" customHeight="1" outlineLevel="2">
      <c r="A356" s="5">
        <v>31</v>
      </c>
      <c r="B356" s="5" t="s">
        <v>54</v>
      </c>
      <c r="C356" s="5" t="s">
        <v>241</v>
      </c>
      <c r="D356" s="5" t="s">
        <v>22</v>
      </c>
      <c r="E356" s="5" t="s">
        <v>27</v>
      </c>
      <c r="F356" s="5" t="s">
        <v>89</v>
      </c>
      <c r="G356" s="5" t="s">
        <v>144</v>
      </c>
      <c r="H356" s="12">
        <v>30077934</v>
      </c>
      <c r="I356" s="42" t="str">
        <f t="shared" ref="I356:I357" si="211">CONCATENATE(H356,"-",G356)</f>
        <v>30077934-EJECUCION</v>
      </c>
      <c r="J356" s="12"/>
      <c r="K356" s="307" t="str">
        <f t="shared" ref="K356:K357" si="212">CLEAN(H356)</f>
        <v>30077934</v>
      </c>
      <c r="L356" s="15" t="s">
        <v>349</v>
      </c>
      <c r="M356" s="23">
        <v>1355888000</v>
      </c>
      <c r="N356" s="34">
        <v>0</v>
      </c>
      <c r="O356" s="34">
        <f>156259246-58965000</f>
        <v>97294246</v>
      </c>
      <c r="P356" s="310">
        <v>0</v>
      </c>
      <c r="Q356" s="34">
        <v>0</v>
      </c>
      <c r="R356" s="308">
        <v>0</v>
      </c>
      <c r="S356" s="34">
        <f t="shared" ref="S356:S357" si="213">P356+Q356+R356</f>
        <v>0</v>
      </c>
      <c r="T356" s="34">
        <v>0</v>
      </c>
      <c r="U356" s="34">
        <v>0</v>
      </c>
      <c r="V356" s="34">
        <f>P356+Q356+R356+T356+U356</f>
        <v>0</v>
      </c>
      <c r="W356" s="34">
        <f>O356-V356</f>
        <v>97294246</v>
      </c>
      <c r="X356" s="34">
        <f>M356-(N356+O356)</f>
        <v>1258593754</v>
      </c>
      <c r="Y356" s="48" t="s">
        <v>243</v>
      </c>
      <c r="Z356" s="48" t="s">
        <v>8</v>
      </c>
      <c r="AA356" s="2" t="s">
        <v>843</v>
      </c>
      <c r="AB356" s="2" t="e">
        <f>VLOOKUP(H356,#REF!,2,FALSE)</f>
        <v>#REF!</v>
      </c>
      <c r="AC356" s="2" t="e">
        <f>VLOOKUP(I356,#REF!,2,FALSE)</f>
        <v>#REF!</v>
      </c>
      <c r="AD356" s="2" t="e">
        <f>VLOOKUP(H356,#REF!,13,FALSE)</f>
        <v>#REF!</v>
      </c>
      <c r="AE356" s="2" t="e">
        <f>VLOOKUP(I356,#REF!,7,FALSE)</f>
        <v>#REF!</v>
      </c>
      <c r="AG356" s="2" t="e">
        <f>VLOOKUP(H356,#REF!,13,FALSE)</f>
        <v>#REF!</v>
      </c>
      <c r="AH356" s="2" t="e">
        <f>VLOOKUP(I356,#REF!,2,FALSE)</f>
        <v>#REF!</v>
      </c>
      <c r="AJ356" s="185" t="e">
        <f>VLOOKUP(H356,#REF!,3,FALSE)</f>
        <v>#REF!</v>
      </c>
      <c r="AK356" s="185" t="s">
        <v>684</v>
      </c>
      <c r="AL356" s="185" t="e">
        <f>VLOOKUP(H356,#REF!,13,FALSE)</f>
        <v>#REF!</v>
      </c>
      <c r="AM356" s="185" t="e">
        <f>VLOOKUP(CLEAN(H356),#REF!,7,FALSE)</f>
        <v>#REF!</v>
      </c>
      <c r="AN356" s="2" t="e">
        <f>VLOOKUP(H356,#REF!,8,FALSE)</f>
        <v>#REF!</v>
      </c>
      <c r="AO356" s="189" t="e">
        <f>VLOOKUP(H356,#REF!,2,FALSE)</f>
        <v>#REF!</v>
      </c>
      <c r="AP356" s="189" t="e">
        <f>VLOOKUP(H356,#REF!,2,FALSE)</f>
        <v>#REF!</v>
      </c>
      <c r="AQ356" s="189"/>
      <c r="AR356" s="2" t="e">
        <f>VLOOKUP(CLEAN(H356),#REF!,2,FALSE)</f>
        <v>#REF!</v>
      </c>
      <c r="AT356" s="2" t="e">
        <f>VLOOKUP(H356,#REF!,13,FALSE)</f>
        <v>#REF!</v>
      </c>
      <c r="AU356" s="2" t="e">
        <f>VLOOKUP(H356,#REF!,13,FALSE)</f>
        <v>#REF!</v>
      </c>
      <c r="AV356" s="2" t="e">
        <f>VLOOKUP(H356,#REF!,13,FALSE)</f>
        <v>#REF!</v>
      </c>
      <c r="AW356" s="2" t="e">
        <f>VLOOKUP(H356,#REF!,13,FALSE)</f>
        <v>#REF!</v>
      </c>
      <c r="AX356" s="2" t="e">
        <f>VLOOKUP(H356,#REF!,9,FALSE)</f>
        <v>#REF!</v>
      </c>
      <c r="AY356" s="2" t="e">
        <f>VLOOKUP(H356,#REF!,2,FALSE)</f>
        <v>#REF!</v>
      </c>
      <c r="AZ356" s="2" t="e">
        <f>VLOOKUP(H356,#REF!,2,FALSE)</f>
        <v>#REF!</v>
      </c>
      <c r="BF356" s="189" t="e">
        <f>VLOOKUP(CLEAN(H356),#REF!,2,FALSE)</f>
        <v>#REF!</v>
      </c>
      <c r="BG356" s="189" t="e">
        <f>T356-BF356</f>
        <v>#REF!</v>
      </c>
      <c r="BO356" s="2" t="e">
        <f>VLOOKUP(H356,#REF!,13,FALSE)</f>
        <v>#REF!</v>
      </c>
      <c r="BP356" s="2" t="e">
        <f>VLOOKUP(H356,#REF!,2,FALSE)</f>
        <v>#REF!</v>
      </c>
      <c r="BQ356" s="2" t="e">
        <f>VLOOKUP(H356,#REF!,13,FALSE)</f>
        <v>#REF!</v>
      </c>
      <c r="BR356" s="2" t="e">
        <f>VLOOKUP(H356,#REF!,3,FALSE)</f>
        <v>#REF!</v>
      </c>
    </row>
    <row r="357" spans="1:70" s="2" customFormat="1" ht="15" customHeight="1" outlineLevel="2">
      <c r="A357" s="5">
        <v>31</v>
      </c>
      <c r="B357" s="5" t="s">
        <v>11</v>
      </c>
      <c r="C357" s="5" t="s">
        <v>252</v>
      </c>
      <c r="D357" s="5" t="s">
        <v>22</v>
      </c>
      <c r="E357" s="5" t="s">
        <v>27</v>
      </c>
      <c r="F357" s="5" t="s">
        <v>75</v>
      </c>
      <c r="G357" s="5" t="s">
        <v>144</v>
      </c>
      <c r="H357" s="12">
        <v>30485158</v>
      </c>
      <c r="I357" s="42" t="str">
        <f t="shared" si="211"/>
        <v>30485158-EJECUCION</v>
      </c>
      <c r="J357" s="12"/>
      <c r="K357" s="307" t="str">
        <f t="shared" si="212"/>
        <v>30485158</v>
      </c>
      <c r="L357" s="15" t="s">
        <v>795</v>
      </c>
      <c r="M357" s="23">
        <v>133588000</v>
      </c>
      <c r="N357" s="34">
        <v>0</v>
      </c>
      <c r="O357" s="34">
        <v>133588000</v>
      </c>
      <c r="P357" s="310">
        <v>0</v>
      </c>
      <c r="Q357" s="34">
        <v>0</v>
      </c>
      <c r="R357" s="308">
        <v>0</v>
      </c>
      <c r="S357" s="34">
        <f t="shared" si="213"/>
        <v>0</v>
      </c>
      <c r="T357" s="34">
        <v>0</v>
      </c>
      <c r="U357" s="34">
        <v>0</v>
      </c>
      <c r="V357" s="34">
        <f>P357+Q357+R357+T357+U357</f>
        <v>0</v>
      </c>
      <c r="W357" s="34">
        <f>O357-V357</f>
        <v>133588000</v>
      </c>
      <c r="X357" s="34">
        <f>M357-(N357+O357)</f>
        <v>0</v>
      </c>
      <c r="Y357" s="48" t="s">
        <v>418</v>
      </c>
      <c r="Z357" s="48" t="s">
        <v>8</v>
      </c>
      <c r="AA357" s="2" t="e">
        <v>#N/A</v>
      </c>
      <c r="AB357" s="2" t="e">
        <f>VLOOKUP(H357,#REF!,2,FALSE)</f>
        <v>#REF!</v>
      </c>
      <c r="AD357" s="2" t="e">
        <f>VLOOKUP(H357,#REF!,13,FALSE)</f>
        <v>#REF!</v>
      </c>
      <c r="AE357" s="2" t="e">
        <f>VLOOKUP(I357,#REF!,7,FALSE)</f>
        <v>#REF!</v>
      </c>
      <c r="AG357" s="2" t="e">
        <f>VLOOKUP(H357,#REF!,13,FALSE)</f>
        <v>#REF!</v>
      </c>
      <c r="AH357" s="2" t="e">
        <f>VLOOKUP(I357,#REF!,2,FALSE)</f>
        <v>#REF!</v>
      </c>
      <c r="AJ357" s="185" t="e">
        <f>VLOOKUP(H357,#REF!,3,FALSE)</f>
        <v>#REF!</v>
      </c>
      <c r="AK357" s="185"/>
      <c r="AL357" s="185" t="e">
        <f>VLOOKUP(H357,#REF!,13,FALSE)</f>
        <v>#REF!</v>
      </c>
      <c r="AM357" s="185" t="e">
        <f>VLOOKUP(CLEAN(H357),#REF!,7,FALSE)</f>
        <v>#REF!</v>
      </c>
      <c r="AN357" s="2" t="e">
        <f>VLOOKUP(H357,#REF!,8,FALSE)</f>
        <v>#REF!</v>
      </c>
      <c r="AO357" s="189" t="e">
        <f>VLOOKUP(H357,#REF!,2,FALSE)</f>
        <v>#REF!</v>
      </c>
      <c r="AP357" s="189" t="e">
        <f>VLOOKUP(H357,#REF!,2,FALSE)</f>
        <v>#REF!</v>
      </c>
      <c r="AQ357" s="189"/>
      <c r="AR357" s="2" t="e">
        <f>VLOOKUP(CLEAN(H357),#REF!,2,FALSE)</f>
        <v>#REF!</v>
      </c>
      <c r="AT357" s="2" t="e">
        <f>VLOOKUP(H357,#REF!,13,FALSE)</f>
        <v>#REF!</v>
      </c>
      <c r="AU357" s="2" t="e">
        <f>VLOOKUP(H357,#REF!,13,FALSE)</f>
        <v>#REF!</v>
      </c>
      <c r="AV357" s="2" t="e">
        <f>VLOOKUP(H357,#REF!,13,FALSE)</f>
        <v>#REF!</v>
      </c>
      <c r="AW357" s="2" t="e">
        <f>VLOOKUP(H357,#REF!,13,FALSE)</f>
        <v>#REF!</v>
      </c>
      <c r="AX357" s="2" t="e">
        <f>VLOOKUP(H357,#REF!,9,FALSE)</f>
        <v>#REF!</v>
      </c>
      <c r="AZ357" s="189" t="e">
        <f>VLOOKUP(H357,#REF!,2,FALSE)</f>
        <v>#REF!</v>
      </c>
      <c r="BF357" s="189" t="e">
        <f>VLOOKUP(CLEAN(H357),#REF!,2,FALSE)</f>
        <v>#REF!</v>
      </c>
      <c r="BG357" s="189" t="e">
        <f>T357-BF357</f>
        <v>#REF!</v>
      </c>
      <c r="BO357" s="2" t="e">
        <f>VLOOKUP(H357,#REF!,13,FALSE)</f>
        <v>#REF!</v>
      </c>
      <c r="BP357" s="2" t="e">
        <f>VLOOKUP(H357,#REF!,2,FALSE)</f>
        <v>#REF!</v>
      </c>
      <c r="BQ357" s="2" t="e">
        <f>VLOOKUP(H357,#REF!,13,FALSE)</f>
        <v>#REF!</v>
      </c>
      <c r="BR357" s="2" t="e">
        <f>VLOOKUP(H357,#REF!,3,FALSE)</f>
        <v>#REF!</v>
      </c>
    </row>
    <row r="358" spans="1:70" ht="15" customHeight="1" outlineLevel="2">
      <c r="A358" s="7"/>
      <c r="B358" s="7"/>
      <c r="C358" s="7"/>
      <c r="D358" s="7"/>
      <c r="E358" s="7"/>
      <c r="F358" s="7"/>
      <c r="G358" s="7"/>
      <c r="H358" s="11"/>
      <c r="I358" s="11"/>
      <c r="J358" s="11"/>
      <c r="K358" s="11"/>
      <c r="L358" s="17" t="s">
        <v>702</v>
      </c>
      <c r="M358" s="27">
        <f>SUBTOTAL(9,M356:M357)</f>
        <v>1489476000</v>
      </c>
      <c r="N358" s="27">
        <f t="shared" ref="N358:O358" si="214">SUBTOTAL(9,N356:N357)</f>
        <v>0</v>
      </c>
      <c r="O358" s="27">
        <f t="shared" si="214"/>
        <v>230882246</v>
      </c>
      <c r="P358" s="24">
        <f t="shared" ref="P358:X358" si="215">SUBTOTAL(9,P356:P357)</f>
        <v>0</v>
      </c>
      <c r="Q358" s="24">
        <f t="shared" si="215"/>
        <v>0</v>
      </c>
      <c r="R358" s="24">
        <f t="shared" si="215"/>
        <v>0</v>
      </c>
      <c r="S358" s="27">
        <f t="shared" si="215"/>
        <v>0</v>
      </c>
      <c r="T358" s="27">
        <f t="shared" si="215"/>
        <v>0</v>
      </c>
      <c r="U358" s="27">
        <f t="shared" si="215"/>
        <v>0</v>
      </c>
      <c r="V358" s="27">
        <f t="shared" si="215"/>
        <v>0</v>
      </c>
      <c r="W358" s="27">
        <f t="shared" si="215"/>
        <v>230882246</v>
      </c>
      <c r="X358" s="27">
        <f t="shared" si="215"/>
        <v>1258593754</v>
      </c>
      <c r="Y358" s="47"/>
      <c r="Z358" s="47"/>
      <c r="AM358" s="185" t="e">
        <f>VLOOKUP(CLEAN(H358),#REF!,7,FALSE)</f>
        <v>#REF!</v>
      </c>
      <c r="AO358"/>
      <c r="AP358"/>
      <c r="AQ358"/>
      <c r="AR358" s="2" t="e">
        <f>VLOOKUP(CLEAN(H358),#REF!,2,FALSE)</f>
        <v>#REF!</v>
      </c>
      <c r="AZ358" s="2" t="e">
        <f>VLOOKUP(H358,#REF!,2,FALSE)</f>
        <v>#REF!</v>
      </c>
      <c r="BO358" s="2" t="e">
        <f>VLOOKUP(H358,#REF!,13,FALSE)</f>
        <v>#REF!</v>
      </c>
      <c r="BQ358" s="2" t="e">
        <f>VLOOKUP(H358,#REF!,13,FALSE)</f>
        <v>#REF!</v>
      </c>
    </row>
    <row r="359" spans="1:70" ht="15" customHeight="1" outlineLevel="2">
      <c r="A359" s="7"/>
      <c r="B359" s="7"/>
      <c r="C359" s="7"/>
      <c r="D359" s="7"/>
      <c r="E359" s="7"/>
      <c r="F359" s="7"/>
      <c r="G359" s="7"/>
      <c r="H359" s="11"/>
      <c r="I359" s="11"/>
      <c r="J359" s="11"/>
      <c r="K359" s="11"/>
      <c r="L359" s="292"/>
      <c r="M359" s="22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47"/>
      <c r="Z359" s="47"/>
      <c r="AM359" s="185" t="e">
        <f>VLOOKUP(CLEAN(H359),#REF!,7,FALSE)</f>
        <v>#REF!</v>
      </c>
      <c r="AO359"/>
      <c r="AP359"/>
      <c r="AQ359"/>
      <c r="AR359" s="2" t="e">
        <f>VLOOKUP(CLEAN(H359),#REF!,2,FALSE)</f>
        <v>#REF!</v>
      </c>
      <c r="AZ359" s="2" t="e">
        <f>VLOOKUP(H359,#REF!,2,FALSE)</f>
        <v>#REF!</v>
      </c>
      <c r="BO359" s="2" t="e">
        <f>VLOOKUP(H359,#REF!,13,FALSE)</f>
        <v>#REF!</v>
      </c>
      <c r="BP359" s="293"/>
      <c r="BQ359" s="2" t="e">
        <f>VLOOKUP(H359,#REF!,13,FALSE)</f>
        <v>#REF!</v>
      </c>
    </row>
    <row r="360" spans="1:70" ht="15" customHeight="1" outlineLevel="2">
      <c r="A360" s="7"/>
      <c r="B360" s="7"/>
      <c r="C360" s="7"/>
      <c r="D360" s="7"/>
      <c r="E360" s="7"/>
      <c r="F360" s="7"/>
      <c r="G360" s="7"/>
      <c r="H360" s="11"/>
      <c r="I360" s="11"/>
      <c r="J360" s="11"/>
      <c r="K360" s="11"/>
      <c r="L360" s="18" t="s">
        <v>696</v>
      </c>
      <c r="M360" s="22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47"/>
      <c r="Z360" s="47"/>
      <c r="AM360" s="185" t="e">
        <f>VLOOKUP(CLEAN(H360),#REF!,7,FALSE)</f>
        <v>#REF!</v>
      </c>
      <c r="AO360"/>
      <c r="AP360"/>
      <c r="AQ360"/>
      <c r="AR360" s="2" t="e">
        <f>VLOOKUP(CLEAN(H360),#REF!,2,FALSE)</f>
        <v>#REF!</v>
      </c>
      <c r="AZ360" s="2" t="e">
        <f>VLOOKUP(H360,#REF!,2,FALSE)</f>
        <v>#REF!</v>
      </c>
      <c r="BO360" s="2" t="e">
        <f>VLOOKUP(H360,#REF!,13,FALSE)</f>
        <v>#REF!</v>
      </c>
      <c r="BQ360" s="2" t="e">
        <f>VLOOKUP(H360,#REF!,13,FALSE)</f>
        <v>#REF!</v>
      </c>
    </row>
    <row r="361" spans="1:70" s="2" customFormat="1" ht="15" customHeight="1" outlineLevel="2">
      <c r="A361" s="5">
        <v>31</v>
      </c>
      <c r="B361" s="5" t="s">
        <v>11</v>
      </c>
      <c r="C361" s="5" t="s">
        <v>241</v>
      </c>
      <c r="D361" s="5" t="s">
        <v>22</v>
      </c>
      <c r="E361" s="5" t="s">
        <v>27</v>
      </c>
      <c r="F361" s="5" t="s">
        <v>89</v>
      </c>
      <c r="G361" s="5" t="s">
        <v>145</v>
      </c>
      <c r="H361" s="12">
        <v>30077932</v>
      </c>
      <c r="I361" s="42" t="str">
        <f t="shared" ref="I361:I363" si="216">CONCATENATE(H361,"-",G361)</f>
        <v>30077932-PREFACTIBILIDAD</v>
      </c>
      <c r="J361" s="12"/>
      <c r="K361" s="307" t="str">
        <f t="shared" ref="K361:K363" si="217">CLEAN(H361)</f>
        <v>30077932</v>
      </c>
      <c r="L361" s="15" t="s">
        <v>758</v>
      </c>
      <c r="M361" s="23">
        <v>131500000</v>
      </c>
      <c r="N361" s="34">
        <v>0</v>
      </c>
      <c r="O361" s="34">
        <v>10000000</v>
      </c>
      <c r="P361" s="310">
        <v>0</v>
      </c>
      <c r="Q361" s="34">
        <v>0</v>
      </c>
      <c r="R361" s="308">
        <v>0</v>
      </c>
      <c r="S361" s="34">
        <f t="shared" ref="S361:S363" si="218">P361+Q361+R361</f>
        <v>0</v>
      </c>
      <c r="T361" s="34">
        <v>0</v>
      </c>
      <c r="U361" s="34">
        <v>0</v>
      </c>
      <c r="V361" s="34">
        <f>P361+Q361+R361+T361+U361</f>
        <v>0</v>
      </c>
      <c r="W361" s="34">
        <f>O361-V361</f>
        <v>10000000</v>
      </c>
      <c r="X361" s="34">
        <f>M361-(N361+O361)</f>
        <v>121500000</v>
      </c>
      <c r="Y361" s="48" t="s">
        <v>246</v>
      </c>
      <c r="Z361" s="48" t="s">
        <v>8</v>
      </c>
      <c r="AA361" s="2" t="e">
        <v>#N/A</v>
      </c>
      <c r="AB361" s="2" t="e">
        <f>VLOOKUP(H361,#REF!,2,FALSE)</f>
        <v>#REF!</v>
      </c>
      <c r="AC361" s="2" t="e">
        <f>VLOOKUP(I361,#REF!,2,FALSE)</f>
        <v>#REF!</v>
      </c>
      <c r="AD361" s="2" t="e">
        <f>VLOOKUP(H361,#REF!,13,FALSE)</f>
        <v>#REF!</v>
      </c>
      <c r="AE361" s="2" t="e">
        <f>VLOOKUP(I361,#REF!,7,FALSE)</f>
        <v>#REF!</v>
      </c>
      <c r="AG361" s="2" t="e">
        <f>VLOOKUP(H361,#REF!,13,FALSE)</f>
        <v>#REF!</v>
      </c>
      <c r="AH361" s="2" t="e">
        <f>VLOOKUP(I361,#REF!,2,FALSE)</f>
        <v>#REF!</v>
      </c>
      <c r="AJ361" s="185" t="e">
        <f>VLOOKUP(H361,#REF!,3,FALSE)</f>
        <v>#REF!</v>
      </c>
      <c r="AK361" s="185"/>
      <c r="AL361" s="185" t="e">
        <f>VLOOKUP(H361,#REF!,13,FALSE)</f>
        <v>#REF!</v>
      </c>
      <c r="AM361" s="185" t="e">
        <f>VLOOKUP(CLEAN(H361),#REF!,7,FALSE)</f>
        <v>#REF!</v>
      </c>
      <c r="AN361" s="2" t="e">
        <f>VLOOKUP(H361,#REF!,8,FALSE)</f>
        <v>#REF!</v>
      </c>
      <c r="AO361" s="189" t="e">
        <f>VLOOKUP(H361,#REF!,2,FALSE)</f>
        <v>#REF!</v>
      </c>
      <c r="AP361" s="189" t="e">
        <f>VLOOKUP(H361,#REF!,2,FALSE)</f>
        <v>#REF!</v>
      </c>
      <c r="AQ361" s="189"/>
      <c r="AR361" s="2" t="e">
        <f>VLOOKUP(CLEAN(H361),#REF!,2,FALSE)</f>
        <v>#REF!</v>
      </c>
      <c r="AT361" s="2" t="e">
        <f>VLOOKUP(H361,#REF!,13,FALSE)</f>
        <v>#REF!</v>
      </c>
      <c r="AU361" s="2" t="e">
        <f>VLOOKUP(H361,#REF!,13,FALSE)</f>
        <v>#REF!</v>
      </c>
      <c r="AV361" s="2" t="e">
        <f>VLOOKUP(H361,#REF!,13,FALSE)</f>
        <v>#REF!</v>
      </c>
      <c r="AW361" s="2" t="e">
        <f>VLOOKUP(H361,#REF!,13,FALSE)</f>
        <v>#REF!</v>
      </c>
      <c r="AX361" s="2" t="e">
        <f>VLOOKUP(H361,#REF!,9,FALSE)</f>
        <v>#REF!</v>
      </c>
      <c r="AZ361" s="2" t="e">
        <f>VLOOKUP(H361,#REF!,2,FALSE)</f>
        <v>#REF!</v>
      </c>
      <c r="BF361" s="189" t="e">
        <f>VLOOKUP(CLEAN(H361),#REF!,2,FALSE)</f>
        <v>#REF!</v>
      </c>
      <c r="BG361" s="189" t="e">
        <f>T361-BF361</f>
        <v>#REF!</v>
      </c>
      <c r="BO361" s="2" t="e">
        <f>VLOOKUP(H361,#REF!,13,FALSE)</f>
        <v>#REF!</v>
      </c>
      <c r="BP361" s="2" t="e">
        <f>VLOOKUP(H361,#REF!,2,FALSE)</f>
        <v>#REF!</v>
      </c>
      <c r="BQ361" s="2" t="e">
        <f>VLOOKUP(H361,#REF!,13,FALSE)</f>
        <v>#REF!</v>
      </c>
      <c r="BR361" s="2" t="e">
        <f>VLOOKUP(H361,#REF!,3,FALSE)</f>
        <v>#REF!</v>
      </c>
    </row>
    <row r="362" spans="1:70" s="2" customFormat="1" ht="15" customHeight="1" outlineLevel="2">
      <c r="A362" s="5">
        <v>31</v>
      </c>
      <c r="B362" s="5" t="s">
        <v>11</v>
      </c>
      <c r="C362" s="5" t="s">
        <v>248</v>
      </c>
      <c r="D362" s="5" t="s">
        <v>22</v>
      </c>
      <c r="E362" s="5" t="s">
        <v>27</v>
      </c>
      <c r="F362" s="5" t="s">
        <v>457</v>
      </c>
      <c r="G362" s="5" t="s">
        <v>144</v>
      </c>
      <c r="H362" s="12">
        <v>30484262</v>
      </c>
      <c r="I362" s="42" t="str">
        <f t="shared" si="216"/>
        <v>30484262-EJECUCION</v>
      </c>
      <c r="J362" s="12"/>
      <c r="K362" s="307" t="str">
        <f t="shared" si="217"/>
        <v>30484262</v>
      </c>
      <c r="L362" s="15" t="s">
        <v>348</v>
      </c>
      <c r="M362" s="23">
        <v>394245000</v>
      </c>
      <c r="N362" s="34">
        <v>0</v>
      </c>
      <c r="O362" s="34">
        <v>5000000</v>
      </c>
      <c r="P362" s="310">
        <v>0</v>
      </c>
      <c r="Q362" s="34">
        <v>0</v>
      </c>
      <c r="R362" s="308">
        <v>0</v>
      </c>
      <c r="S362" s="34">
        <f t="shared" si="218"/>
        <v>0</v>
      </c>
      <c r="T362" s="34">
        <v>0</v>
      </c>
      <c r="U362" s="34">
        <v>0</v>
      </c>
      <c r="V362" s="34">
        <f>P362+Q362+R362+T362+U362</f>
        <v>0</v>
      </c>
      <c r="W362" s="34">
        <f>O362-V362</f>
        <v>5000000</v>
      </c>
      <c r="X362" s="34">
        <f>M362-(N362+O362)</f>
        <v>389245000</v>
      </c>
      <c r="Y362" s="48" t="s">
        <v>246</v>
      </c>
      <c r="Z362" s="48" t="s">
        <v>270</v>
      </c>
      <c r="AA362" s="2" t="e">
        <v>#N/A</v>
      </c>
      <c r="AB362" s="2" t="e">
        <f>VLOOKUP(H362,#REF!,2,FALSE)</f>
        <v>#REF!</v>
      </c>
      <c r="AC362" s="2" t="e">
        <f>VLOOKUP(I362,#REF!,2,FALSE)</f>
        <v>#REF!</v>
      </c>
      <c r="AD362" s="2" t="e">
        <f>VLOOKUP(H362,#REF!,13,FALSE)</f>
        <v>#REF!</v>
      </c>
      <c r="AE362" s="2" t="e">
        <f>VLOOKUP(I362,#REF!,7,FALSE)</f>
        <v>#REF!</v>
      </c>
      <c r="AG362" s="2" t="e">
        <f>VLOOKUP(H362,#REF!,13,FALSE)</f>
        <v>#REF!</v>
      </c>
      <c r="AH362" s="2" t="e">
        <f>VLOOKUP(I362,#REF!,2,FALSE)</f>
        <v>#REF!</v>
      </c>
      <c r="AJ362" s="185" t="e">
        <f>VLOOKUP(H362,#REF!,3,FALSE)</f>
        <v>#REF!</v>
      </c>
      <c r="AK362" s="185"/>
      <c r="AL362" s="185" t="e">
        <f>VLOOKUP(H362,#REF!,13,FALSE)</f>
        <v>#REF!</v>
      </c>
      <c r="AM362" s="185" t="e">
        <f>VLOOKUP(CLEAN(H362),#REF!,7,FALSE)</f>
        <v>#REF!</v>
      </c>
      <c r="AN362" s="2" t="e">
        <f>VLOOKUP(H362,#REF!,8,FALSE)</f>
        <v>#REF!</v>
      </c>
      <c r="AO362" s="189" t="e">
        <f>VLOOKUP(H362,#REF!,2,FALSE)</f>
        <v>#REF!</v>
      </c>
      <c r="AP362" s="189" t="e">
        <f>VLOOKUP(H362,#REF!,2,FALSE)</f>
        <v>#REF!</v>
      </c>
      <c r="AQ362" s="189"/>
      <c r="AR362" s="2" t="e">
        <f>VLOOKUP(CLEAN(H362),#REF!,2,FALSE)</f>
        <v>#REF!</v>
      </c>
      <c r="AT362" s="2" t="e">
        <f>VLOOKUP(H362,#REF!,13,FALSE)</f>
        <v>#REF!</v>
      </c>
      <c r="AU362" s="2" t="e">
        <f>VLOOKUP(H362,#REF!,13,FALSE)</f>
        <v>#REF!</v>
      </c>
      <c r="AV362" s="2" t="e">
        <f>VLOOKUP(H362,#REF!,13,FALSE)</f>
        <v>#REF!</v>
      </c>
      <c r="AW362" s="2" t="e">
        <f>VLOOKUP(H362,#REF!,13,FALSE)</f>
        <v>#REF!</v>
      </c>
      <c r="AX362" s="2" t="e">
        <f>VLOOKUP(H362,#REF!,9,FALSE)</f>
        <v>#REF!</v>
      </c>
      <c r="AZ362" s="2" t="e">
        <f>VLOOKUP(H362,#REF!,2,FALSE)</f>
        <v>#REF!</v>
      </c>
      <c r="BF362" s="189" t="e">
        <f>VLOOKUP(CLEAN(H362),#REF!,2,FALSE)</f>
        <v>#REF!</v>
      </c>
      <c r="BG362" s="189" t="e">
        <f>T362-BF362</f>
        <v>#REF!</v>
      </c>
      <c r="BO362" s="2" t="e">
        <f>VLOOKUP(H362,#REF!,13,FALSE)</f>
        <v>#REF!</v>
      </c>
      <c r="BP362" s="2" t="e">
        <f>VLOOKUP(H362,#REF!,2,FALSE)</f>
        <v>#REF!</v>
      </c>
      <c r="BQ362" s="2" t="e">
        <f>VLOOKUP(H362,#REF!,13,FALSE)</f>
        <v>#REF!</v>
      </c>
      <c r="BR362" s="2" t="e">
        <f>VLOOKUP(H362,#REF!,3,FALSE)</f>
        <v>#REF!</v>
      </c>
    </row>
    <row r="363" spans="1:70" s="2" customFormat="1" ht="15" customHeight="1" outlineLevel="2">
      <c r="A363" s="5">
        <v>31</v>
      </c>
      <c r="B363" s="5" t="s">
        <v>11</v>
      </c>
      <c r="C363" s="5" t="s">
        <v>248</v>
      </c>
      <c r="D363" s="5" t="s">
        <v>22</v>
      </c>
      <c r="E363" s="5" t="s">
        <v>27</v>
      </c>
      <c r="F363" s="5" t="s">
        <v>457</v>
      </c>
      <c r="G363" s="5" t="s">
        <v>144</v>
      </c>
      <c r="H363" s="12">
        <v>30465246</v>
      </c>
      <c r="I363" s="42" t="str">
        <f t="shared" si="216"/>
        <v>30465246-EJECUCION</v>
      </c>
      <c r="J363" s="12"/>
      <c r="K363" s="307" t="str">
        <f t="shared" si="217"/>
        <v>30465246</v>
      </c>
      <c r="L363" s="15" t="s">
        <v>824</v>
      </c>
      <c r="M363" s="23">
        <v>168340000</v>
      </c>
      <c r="N363" s="34">
        <v>0</v>
      </c>
      <c r="O363" s="34">
        <f>5000000-2196480</f>
        <v>2803520</v>
      </c>
      <c r="P363" s="310">
        <v>0</v>
      </c>
      <c r="Q363" s="34">
        <v>0</v>
      </c>
      <c r="R363" s="308">
        <v>0</v>
      </c>
      <c r="S363" s="34">
        <f t="shared" si="218"/>
        <v>0</v>
      </c>
      <c r="T363" s="34">
        <v>0</v>
      </c>
      <c r="U363" s="34">
        <v>0</v>
      </c>
      <c r="V363" s="34">
        <f>P363+Q363+R363+T363+U363</f>
        <v>0</v>
      </c>
      <c r="W363" s="34">
        <f>O363-V363</f>
        <v>2803520</v>
      </c>
      <c r="X363" s="34">
        <f>M363-(N363+O363)</f>
        <v>165536480</v>
      </c>
      <c r="Y363" s="48" t="s">
        <v>246</v>
      </c>
      <c r="Z363" s="48" t="s">
        <v>270</v>
      </c>
      <c r="AA363" s="2" t="e">
        <v>#N/A</v>
      </c>
      <c r="AB363" s="2" t="e">
        <f>VLOOKUP(H363,#REF!,2,FALSE)</f>
        <v>#REF!</v>
      </c>
      <c r="AC363" s="2" t="e">
        <f>VLOOKUP(I363,#REF!,2,FALSE)</f>
        <v>#REF!</v>
      </c>
      <c r="AD363" s="2" t="e">
        <f>VLOOKUP(H363,#REF!,13,FALSE)</f>
        <v>#REF!</v>
      </c>
      <c r="AE363" s="2" t="e">
        <f>VLOOKUP(I363,#REF!,7,FALSE)</f>
        <v>#REF!</v>
      </c>
      <c r="AG363" s="2" t="e">
        <f>VLOOKUP(H363,#REF!,13,FALSE)</f>
        <v>#REF!</v>
      </c>
      <c r="AH363" s="2" t="e">
        <f>VLOOKUP(I363,#REF!,2,FALSE)</f>
        <v>#REF!</v>
      </c>
      <c r="AJ363" s="185" t="e">
        <f>VLOOKUP(H363,#REF!,3,FALSE)</f>
        <v>#REF!</v>
      </c>
      <c r="AK363" s="185"/>
      <c r="AL363" s="185" t="e">
        <f>VLOOKUP(H363,#REF!,13,FALSE)</f>
        <v>#REF!</v>
      </c>
      <c r="AM363" s="185" t="e">
        <f>VLOOKUP(CLEAN(H363),#REF!,7,FALSE)</f>
        <v>#REF!</v>
      </c>
      <c r="AN363" s="2" t="e">
        <f>VLOOKUP(H363,#REF!,8,FALSE)</f>
        <v>#REF!</v>
      </c>
      <c r="AO363" s="189" t="e">
        <f>VLOOKUP(H363,#REF!,2,FALSE)</f>
        <v>#REF!</v>
      </c>
      <c r="AP363" s="189" t="e">
        <f>VLOOKUP(H363,#REF!,2,FALSE)</f>
        <v>#REF!</v>
      </c>
      <c r="AQ363" s="189"/>
      <c r="AR363" s="2" t="e">
        <f>VLOOKUP(CLEAN(H363),#REF!,2,FALSE)</f>
        <v>#REF!</v>
      </c>
      <c r="AT363" s="2" t="e">
        <f>VLOOKUP(H363,#REF!,13,FALSE)</f>
        <v>#REF!</v>
      </c>
      <c r="AU363" s="2" t="e">
        <f>VLOOKUP(H363,#REF!,13,FALSE)</f>
        <v>#REF!</v>
      </c>
      <c r="AV363" s="2" t="e">
        <f>VLOOKUP(H363,#REF!,13,FALSE)</f>
        <v>#REF!</v>
      </c>
      <c r="AW363" s="2" t="e">
        <f>VLOOKUP(H363,#REF!,13,FALSE)</f>
        <v>#REF!</v>
      </c>
      <c r="AX363" s="2" t="e">
        <f>VLOOKUP(H363,#REF!,9,FALSE)</f>
        <v>#REF!</v>
      </c>
      <c r="AZ363" s="2" t="e">
        <f>VLOOKUP(H363,#REF!,2,FALSE)</f>
        <v>#REF!</v>
      </c>
      <c r="BF363" s="189" t="e">
        <f>VLOOKUP(CLEAN(H363),#REF!,2,FALSE)</f>
        <v>#REF!</v>
      </c>
      <c r="BG363" s="189" t="e">
        <f>T363-BF363</f>
        <v>#REF!</v>
      </c>
      <c r="BO363" s="2" t="e">
        <f>VLOOKUP(H363,#REF!,13,FALSE)</f>
        <v>#REF!</v>
      </c>
      <c r="BP363" s="2" t="e">
        <f>VLOOKUP(H363,#REF!,2,FALSE)</f>
        <v>#REF!</v>
      </c>
      <c r="BQ363" s="2" t="e">
        <f>VLOOKUP(H363,#REF!,13,FALSE)</f>
        <v>#REF!</v>
      </c>
      <c r="BR363" s="2" t="e">
        <f>VLOOKUP(H363,#REF!,3,FALSE)</f>
        <v>#REF!</v>
      </c>
    </row>
    <row r="364" spans="1:70" ht="15" customHeight="1" outlineLevel="2">
      <c r="A364" s="7"/>
      <c r="B364" s="7"/>
      <c r="C364" s="7"/>
      <c r="D364" s="7"/>
      <c r="E364" s="7"/>
      <c r="F364" s="7"/>
      <c r="G364" s="7"/>
      <c r="H364" s="11"/>
      <c r="I364" s="11"/>
      <c r="J364" s="11"/>
      <c r="K364" s="11"/>
      <c r="L364" s="17" t="s">
        <v>693</v>
      </c>
      <c r="M364" s="27">
        <f t="shared" ref="M364:X364" si="219">SUBTOTAL(9,M361:M363)</f>
        <v>694085000</v>
      </c>
      <c r="N364" s="27">
        <f t="shared" si="219"/>
        <v>0</v>
      </c>
      <c r="O364" s="27">
        <f t="shared" si="219"/>
        <v>17803520</v>
      </c>
      <c r="P364" s="24">
        <f t="shared" si="219"/>
        <v>0</v>
      </c>
      <c r="Q364" s="24">
        <f t="shared" si="219"/>
        <v>0</v>
      </c>
      <c r="R364" s="24">
        <f t="shared" si="219"/>
        <v>0</v>
      </c>
      <c r="S364" s="27">
        <f t="shared" si="219"/>
        <v>0</v>
      </c>
      <c r="T364" s="27">
        <f t="shared" si="219"/>
        <v>0</v>
      </c>
      <c r="U364" s="27">
        <f t="shared" si="219"/>
        <v>0</v>
      </c>
      <c r="V364" s="27">
        <f t="shared" si="219"/>
        <v>0</v>
      </c>
      <c r="W364" s="27">
        <f t="shared" si="219"/>
        <v>17803520</v>
      </c>
      <c r="X364" s="27">
        <f t="shared" si="219"/>
        <v>676281480</v>
      </c>
      <c r="Y364" s="47"/>
      <c r="Z364" s="47"/>
      <c r="AM364" s="185" t="e">
        <f>VLOOKUP(CLEAN(H364),#REF!,7,FALSE)</f>
        <v>#REF!</v>
      </c>
      <c r="AO364"/>
      <c r="AP364"/>
      <c r="AQ364"/>
      <c r="AR364" s="2" t="e">
        <f>VLOOKUP(CLEAN(H364),#REF!,2,FALSE)</f>
        <v>#REF!</v>
      </c>
      <c r="AZ364" s="2" t="e">
        <f>VLOOKUP(H364,#REF!,2,FALSE)</f>
        <v>#REF!</v>
      </c>
      <c r="BO364" s="2" t="e">
        <f>VLOOKUP(H364,#REF!,13,FALSE)</f>
        <v>#REF!</v>
      </c>
      <c r="BQ364" s="2" t="e">
        <f>VLOOKUP(H364,#REF!,13,FALSE)</f>
        <v>#REF!</v>
      </c>
    </row>
    <row r="365" spans="1:70" ht="15" customHeight="1" outlineLevel="2">
      <c r="A365" s="7"/>
      <c r="B365" s="7"/>
      <c r="C365" s="7"/>
      <c r="D365" s="7"/>
      <c r="E365" s="7"/>
      <c r="F365" s="7"/>
      <c r="G365" s="7"/>
      <c r="H365" s="11"/>
      <c r="I365" s="11"/>
      <c r="J365" s="11"/>
      <c r="K365" s="11"/>
      <c r="L365" s="292"/>
      <c r="M365" s="22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47"/>
      <c r="Z365" s="47"/>
      <c r="AM365" s="185" t="e">
        <f>VLOOKUP(CLEAN(H365),#REF!,7,FALSE)</f>
        <v>#REF!</v>
      </c>
      <c r="AO365"/>
      <c r="AP365"/>
      <c r="AQ365"/>
      <c r="AR365" s="2" t="e">
        <f>VLOOKUP(CLEAN(H365),#REF!,2,FALSE)</f>
        <v>#REF!</v>
      </c>
      <c r="AZ365" s="2" t="e">
        <f>VLOOKUP(H365,#REF!,2,FALSE)</f>
        <v>#REF!</v>
      </c>
      <c r="BO365" s="2" t="e">
        <f>VLOOKUP(H365,#REF!,13,FALSE)</f>
        <v>#REF!</v>
      </c>
      <c r="BP365" s="293"/>
      <c r="BQ365" s="2" t="e">
        <f>VLOOKUP(H365,#REF!,13,FALSE)</f>
        <v>#REF!</v>
      </c>
    </row>
    <row r="366" spans="1:70" ht="18.75" customHeight="1" outlineLevel="1">
      <c r="A366" s="7"/>
      <c r="B366" s="7"/>
      <c r="C366" s="7"/>
      <c r="D366" s="7"/>
      <c r="E366" s="8"/>
      <c r="F366" s="7"/>
      <c r="G366" s="7"/>
      <c r="H366" s="11"/>
      <c r="I366" s="11"/>
      <c r="J366" s="11"/>
      <c r="K366" s="11"/>
      <c r="L366" s="45" t="s">
        <v>158</v>
      </c>
      <c r="M366" s="46">
        <f t="shared" ref="M366:X366" si="220">M364+M358+M343+M353+M349</f>
        <v>10193702331</v>
      </c>
      <c r="N366" s="46">
        <f t="shared" si="220"/>
        <v>6326210058</v>
      </c>
      <c r="O366" s="46">
        <f t="shared" si="220"/>
        <v>1375781294</v>
      </c>
      <c r="P366" s="46">
        <f t="shared" si="220"/>
        <v>122007605</v>
      </c>
      <c r="Q366" s="46">
        <f t="shared" si="220"/>
        <v>85164423</v>
      </c>
      <c r="R366" s="46">
        <f t="shared" si="220"/>
        <v>120858633</v>
      </c>
      <c r="S366" s="46">
        <f t="shared" si="220"/>
        <v>328030661</v>
      </c>
      <c r="T366" s="46">
        <f t="shared" si="220"/>
        <v>54925369</v>
      </c>
      <c r="U366" s="46">
        <f t="shared" si="220"/>
        <v>74146246</v>
      </c>
      <c r="V366" s="46">
        <f t="shared" si="220"/>
        <v>457102276</v>
      </c>
      <c r="W366" s="46">
        <f t="shared" si="220"/>
        <v>918679018</v>
      </c>
      <c r="X366" s="46">
        <f t="shared" si="220"/>
        <v>2491710979</v>
      </c>
      <c r="Y366" s="47"/>
      <c r="Z366" s="47"/>
      <c r="AM366" s="185" t="e">
        <f>VLOOKUP(CLEAN(H366),#REF!,7,FALSE)</f>
        <v>#REF!</v>
      </c>
      <c r="AO366"/>
      <c r="AP366"/>
      <c r="AQ366"/>
      <c r="AR366" s="2" t="e">
        <f>VLOOKUP(CLEAN(H366),#REF!,2,FALSE)</f>
        <v>#REF!</v>
      </c>
      <c r="AZ366" s="2" t="e">
        <f>VLOOKUP(H366,#REF!,2,FALSE)</f>
        <v>#REF!</v>
      </c>
      <c r="BO366" s="2" t="e">
        <f>VLOOKUP(H366,#REF!,13,FALSE)</f>
        <v>#REF!</v>
      </c>
      <c r="BQ366" s="2" t="e">
        <f>VLOOKUP(H366,#REF!,13,FALSE)</f>
        <v>#REF!</v>
      </c>
    </row>
    <row r="367" spans="1:70" s="3" customFormat="1" ht="15" customHeight="1" outlineLevel="1">
      <c r="A367" s="7"/>
      <c r="B367" s="7"/>
      <c r="C367" s="7"/>
      <c r="D367" s="7"/>
      <c r="E367" s="8"/>
      <c r="F367" s="7"/>
      <c r="G367" s="7"/>
      <c r="H367" s="11"/>
      <c r="I367" s="11"/>
      <c r="J367" s="11"/>
      <c r="K367" s="11"/>
      <c r="L367" s="294"/>
      <c r="M367" s="26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47"/>
      <c r="Z367" s="47"/>
      <c r="AJ367" s="186"/>
      <c r="AK367" s="186"/>
      <c r="AL367" s="186"/>
      <c r="AM367" s="185" t="e">
        <f>VLOOKUP(CLEAN(H367),#REF!,7,FALSE)</f>
        <v>#REF!</v>
      </c>
      <c r="AR367" s="2" t="e">
        <f>VLOOKUP(CLEAN(H367),#REF!,2,FALSE)</f>
        <v>#REF!</v>
      </c>
      <c r="AZ367" s="2" t="e">
        <f>VLOOKUP(H367,#REF!,2,FALSE)</f>
        <v>#REF!</v>
      </c>
      <c r="BF367" s="193"/>
      <c r="BO367" s="2" t="e">
        <f>VLOOKUP(H367,#REF!,13,FALSE)</f>
        <v>#REF!</v>
      </c>
      <c r="BP367" s="7"/>
      <c r="BQ367" s="2" t="e">
        <f>VLOOKUP(H367,#REF!,13,FALSE)</f>
        <v>#REF!</v>
      </c>
    </row>
    <row r="368" spans="1:70" ht="26.25" customHeight="1" outlineLevel="1">
      <c r="A368" s="7"/>
      <c r="B368" s="7"/>
      <c r="C368" s="7"/>
      <c r="D368" s="7"/>
      <c r="E368" s="8"/>
      <c r="F368" s="7"/>
      <c r="G368" s="7"/>
      <c r="H368" s="11"/>
      <c r="I368" s="11"/>
      <c r="J368" s="11"/>
      <c r="K368" s="11"/>
      <c r="L368" s="57" t="s">
        <v>192</v>
      </c>
      <c r="M368" s="26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49"/>
      <c r="Z368" s="49"/>
      <c r="AM368" s="185" t="e">
        <f>VLOOKUP(CLEAN(H368),#REF!,7,FALSE)</f>
        <v>#REF!</v>
      </c>
      <c r="AO368"/>
      <c r="AP368"/>
      <c r="AQ368"/>
      <c r="AR368" s="2" t="e">
        <f>VLOOKUP(CLEAN(H368),#REF!,2,FALSE)</f>
        <v>#REF!</v>
      </c>
      <c r="AZ368" s="2" t="e">
        <f>VLOOKUP(H368,#REF!,2,FALSE)</f>
        <v>#REF!</v>
      </c>
      <c r="BO368" s="2" t="e">
        <f>VLOOKUP(H368,#REF!,13,FALSE)</f>
        <v>#REF!</v>
      </c>
      <c r="BQ368" s="2" t="e">
        <f>VLOOKUP(H368,#REF!,13,FALSE)</f>
        <v>#REF!</v>
      </c>
    </row>
    <row r="369" spans="1:70" ht="15" customHeight="1" outlineLevel="2">
      <c r="A369" s="7"/>
      <c r="B369" s="7"/>
      <c r="C369" s="7"/>
      <c r="D369" s="7"/>
      <c r="E369" s="7"/>
      <c r="F369" s="7"/>
      <c r="G369" s="7"/>
      <c r="H369" s="11"/>
      <c r="I369" s="11"/>
      <c r="J369" s="11"/>
      <c r="K369" s="11"/>
      <c r="L369" s="18" t="s">
        <v>695</v>
      </c>
      <c r="M369" s="22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47"/>
      <c r="Z369" s="47"/>
      <c r="AM369" s="185" t="e">
        <f>VLOOKUP(CLEAN(H369),#REF!,7,FALSE)</f>
        <v>#REF!</v>
      </c>
      <c r="AO369"/>
      <c r="AP369"/>
      <c r="AQ369"/>
      <c r="AR369" s="2" t="e">
        <f>VLOOKUP(CLEAN(H369),#REF!,2,FALSE)</f>
        <v>#REF!</v>
      </c>
      <c r="AZ369" s="2" t="e">
        <f>VLOOKUP(H369,#REF!,2,FALSE)</f>
        <v>#REF!</v>
      </c>
      <c r="BO369" s="2" t="e">
        <f>VLOOKUP(H369,#REF!,13,FALSE)</f>
        <v>#REF!</v>
      </c>
      <c r="BQ369" s="2" t="e">
        <f>VLOOKUP(H369,#REF!,13,FALSE)</f>
        <v>#REF!</v>
      </c>
    </row>
    <row r="370" spans="1:70" s="2" customFormat="1" ht="15" customHeight="1" outlineLevel="2">
      <c r="A370" s="5">
        <v>31</v>
      </c>
      <c r="B370" s="5" t="s">
        <v>11</v>
      </c>
      <c r="C370" s="5" t="s">
        <v>251</v>
      </c>
      <c r="D370" s="5" t="s">
        <v>22</v>
      </c>
      <c r="E370" s="5" t="s">
        <v>22</v>
      </c>
      <c r="F370" s="5" t="s">
        <v>457</v>
      </c>
      <c r="G370" s="5" t="s">
        <v>144</v>
      </c>
      <c r="H370" s="12">
        <v>30076574</v>
      </c>
      <c r="I370" s="42" t="str">
        <f>CONCATENATE(H370,"-",G370)</f>
        <v>30076574-EJECUCION</v>
      </c>
      <c r="J370" s="12"/>
      <c r="K370" s="307" t="str">
        <f>CLEAN(H370)</f>
        <v>30076574</v>
      </c>
      <c r="L370" s="15" t="s">
        <v>271</v>
      </c>
      <c r="M370" s="23">
        <v>2806948000</v>
      </c>
      <c r="N370" s="34">
        <v>121552095</v>
      </c>
      <c r="O370" s="34">
        <v>300000000</v>
      </c>
      <c r="P370" s="310">
        <v>0</v>
      </c>
      <c r="Q370" s="34">
        <v>0</v>
      </c>
      <c r="R370" s="308">
        <v>3000000</v>
      </c>
      <c r="S370" s="34">
        <f>P370+Q370+R370</f>
        <v>3000000</v>
      </c>
      <c r="T370" s="34">
        <v>0</v>
      </c>
      <c r="U370" s="34">
        <v>0</v>
      </c>
      <c r="V370" s="34">
        <f>P370+Q370+R370+T370+U370</f>
        <v>3000000</v>
      </c>
      <c r="W370" s="34">
        <f>O370-V370</f>
        <v>297000000</v>
      </c>
      <c r="X370" s="34">
        <f>M370-(N370+O370)</f>
        <v>2385395905</v>
      </c>
      <c r="Y370" s="48" t="s">
        <v>239</v>
      </c>
      <c r="Z370" s="48" t="s">
        <v>8</v>
      </c>
      <c r="AA370" s="2" t="s">
        <v>843</v>
      </c>
      <c r="AB370" s="2" t="e">
        <f>VLOOKUP(H370,#REF!,2,FALSE)</f>
        <v>#REF!</v>
      </c>
      <c r="AC370" s="2" t="e">
        <f>VLOOKUP(I370,#REF!,2,FALSE)</f>
        <v>#REF!</v>
      </c>
      <c r="AD370" s="2" t="e">
        <f>VLOOKUP(H370,#REF!,13,FALSE)</f>
        <v>#REF!</v>
      </c>
      <c r="AE370" s="2" t="e">
        <f>VLOOKUP(I370,#REF!,7,FALSE)</f>
        <v>#REF!</v>
      </c>
      <c r="AG370" s="2" t="e">
        <f>VLOOKUP(H370,#REF!,13,FALSE)</f>
        <v>#REF!</v>
      </c>
      <c r="AH370" s="2" t="e">
        <f>VLOOKUP(I370,#REF!,2,FALSE)</f>
        <v>#REF!</v>
      </c>
      <c r="AJ370" s="185" t="e">
        <f>VLOOKUP(H370,#REF!,3,FALSE)</f>
        <v>#REF!</v>
      </c>
      <c r="AK370" s="185"/>
      <c r="AL370" s="185" t="e">
        <f>VLOOKUP(H370,#REF!,13,FALSE)</f>
        <v>#REF!</v>
      </c>
      <c r="AM370" s="185" t="e">
        <f>VLOOKUP(CLEAN(H370),#REF!,7,FALSE)</f>
        <v>#REF!</v>
      </c>
      <c r="AN370" s="2" t="e">
        <f>VLOOKUP(H370,#REF!,8,FALSE)</f>
        <v>#REF!</v>
      </c>
      <c r="AO370" s="189" t="e">
        <f>VLOOKUP(H370,#REF!,2,FALSE)</f>
        <v>#REF!</v>
      </c>
      <c r="AP370" s="189" t="e">
        <f>VLOOKUP(H370,#REF!,2,FALSE)</f>
        <v>#REF!</v>
      </c>
      <c r="AQ370" s="189"/>
      <c r="AR370" s="2" t="e">
        <f>VLOOKUP(CLEAN(H370),#REF!,2,FALSE)</f>
        <v>#REF!</v>
      </c>
      <c r="AT370" s="2" t="e">
        <f>VLOOKUP(H370,#REF!,13,FALSE)</f>
        <v>#REF!</v>
      </c>
      <c r="AU370" s="2" t="e">
        <f>VLOOKUP(H370,#REF!,13,FALSE)</f>
        <v>#REF!</v>
      </c>
      <c r="AV370" s="2" t="e">
        <f>VLOOKUP(H370,#REF!,13,FALSE)</f>
        <v>#REF!</v>
      </c>
      <c r="AW370" s="2" t="e">
        <f>VLOOKUP(H370,#REF!,13,FALSE)</f>
        <v>#REF!</v>
      </c>
      <c r="AX370" s="2" t="e">
        <f>VLOOKUP(H370,#REF!,9,FALSE)</f>
        <v>#REF!</v>
      </c>
      <c r="AZ370" s="189" t="e">
        <f>VLOOKUP(H370,#REF!,2,FALSE)</f>
        <v>#REF!</v>
      </c>
      <c r="BF370" s="189" t="e">
        <f>VLOOKUP(CLEAN(H370),#REF!,2,FALSE)</f>
        <v>#REF!</v>
      </c>
      <c r="BG370" s="189" t="e">
        <f>T370-BF370</f>
        <v>#REF!</v>
      </c>
      <c r="BO370" s="2" t="e">
        <f>VLOOKUP(H370,#REF!,13,FALSE)</f>
        <v>#REF!</v>
      </c>
      <c r="BP370" s="2" t="e">
        <f>VLOOKUP(H370,#REF!,2,FALSE)</f>
        <v>#REF!</v>
      </c>
      <c r="BQ370" s="2" t="e">
        <f>VLOOKUP(H370,#REF!,13,FALSE)</f>
        <v>#REF!</v>
      </c>
      <c r="BR370" s="2" t="e">
        <f>VLOOKUP(H370,#REF!,3,FALSE)</f>
        <v>#REF!</v>
      </c>
    </row>
    <row r="371" spans="1:70" ht="15" customHeight="1" outlineLevel="2">
      <c r="A371" s="7"/>
      <c r="B371" s="7"/>
      <c r="C371" s="7"/>
      <c r="D371" s="7"/>
      <c r="E371" s="7"/>
      <c r="F371" s="7"/>
      <c r="G371" s="7"/>
      <c r="H371" s="11"/>
      <c r="I371" s="11"/>
      <c r="J371" s="11"/>
      <c r="K371" s="11"/>
      <c r="L371" s="17" t="s">
        <v>691</v>
      </c>
      <c r="M371" s="27">
        <f t="shared" ref="M371:X371" si="221">SUBTOTAL(9,M370:M370)</f>
        <v>2806948000</v>
      </c>
      <c r="N371" s="27">
        <f t="shared" si="221"/>
        <v>121552095</v>
      </c>
      <c r="O371" s="27">
        <f t="shared" si="221"/>
        <v>300000000</v>
      </c>
      <c r="P371" s="24">
        <f t="shared" si="221"/>
        <v>0</v>
      </c>
      <c r="Q371" s="24">
        <f t="shared" si="221"/>
        <v>0</v>
      </c>
      <c r="R371" s="24">
        <f t="shared" si="221"/>
        <v>3000000</v>
      </c>
      <c r="S371" s="27">
        <f t="shared" si="221"/>
        <v>3000000</v>
      </c>
      <c r="T371" s="27">
        <f t="shared" si="221"/>
        <v>0</v>
      </c>
      <c r="U371" s="27">
        <f t="shared" si="221"/>
        <v>0</v>
      </c>
      <c r="V371" s="27">
        <f t="shared" si="221"/>
        <v>3000000</v>
      </c>
      <c r="W371" s="27">
        <f t="shared" si="221"/>
        <v>297000000</v>
      </c>
      <c r="X371" s="27">
        <f t="shared" si="221"/>
        <v>2385395905</v>
      </c>
      <c r="Y371" s="47"/>
      <c r="Z371" s="47"/>
      <c r="AM371" s="185" t="e">
        <f>VLOOKUP(CLEAN(H371),#REF!,7,FALSE)</f>
        <v>#REF!</v>
      </c>
      <c r="AO371"/>
      <c r="AP371"/>
      <c r="AQ371"/>
      <c r="AR371" s="2" t="e">
        <f>VLOOKUP(CLEAN(H371),#REF!,2,FALSE)</f>
        <v>#REF!</v>
      </c>
      <c r="AZ371" s="2" t="e">
        <f>VLOOKUP(H371,#REF!,2,FALSE)</f>
        <v>#REF!</v>
      </c>
      <c r="BO371" s="2" t="e">
        <f>VLOOKUP(H371,#REF!,13,FALSE)</f>
        <v>#REF!</v>
      </c>
      <c r="BQ371" s="2" t="e">
        <f>VLOOKUP(H371,#REF!,13,FALSE)</f>
        <v>#REF!</v>
      </c>
    </row>
    <row r="372" spans="1:70" ht="15" customHeight="1" outlineLevel="2">
      <c r="A372" s="7"/>
      <c r="B372" s="7"/>
      <c r="C372" s="7"/>
      <c r="D372" s="7"/>
      <c r="E372" s="7"/>
      <c r="F372" s="7"/>
      <c r="G372" s="7"/>
      <c r="H372" s="11"/>
      <c r="I372" s="11"/>
      <c r="J372" s="11"/>
      <c r="K372" s="11"/>
      <c r="L372" s="292"/>
      <c r="M372" s="22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47"/>
      <c r="Z372" s="47"/>
      <c r="AM372" s="185" t="e">
        <f>VLOOKUP(CLEAN(H372),#REF!,7,FALSE)</f>
        <v>#REF!</v>
      </c>
      <c r="AO372"/>
      <c r="AP372"/>
      <c r="AQ372"/>
      <c r="AR372" s="2" t="e">
        <f>VLOOKUP(CLEAN(H372),#REF!,2,FALSE)</f>
        <v>#REF!</v>
      </c>
      <c r="AZ372" s="2" t="e">
        <f>VLOOKUP(H372,#REF!,2,FALSE)</f>
        <v>#REF!</v>
      </c>
      <c r="BO372" s="2" t="e">
        <f>VLOOKUP(H372,#REF!,13,FALSE)</f>
        <v>#REF!</v>
      </c>
      <c r="BP372" s="293"/>
      <c r="BQ372" s="2" t="e">
        <f>VLOOKUP(H372,#REF!,13,FALSE)</f>
        <v>#REF!</v>
      </c>
    </row>
    <row r="373" spans="1:70" ht="15" customHeight="1" outlineLevel="2">
      <c r="A373" s="7"/>
      <c r="B373" s="7"/>
      <c r="C373" s="7"/>
      <c r="D373" s="7"/>
      <c r="E373" s="7"/>
      <c r="F373" s="7"/>
      <c r="G373" s="7"/>
      <c r="H373" s="11"/>
      <c r="I373" s="11"/>
      <c r="J373" s="11"/>
      <c r="K373" s="11"/>
      <c r="L373" s="18" t="s">
        <v>701</v>
      </c>
      <c r="M373" s="22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47"/>
      <c r="Z373" s="47"/>
      <c r="AM373" s="185" t="e">
        <f>VLOOKUP(CLEAN(H373),#REF!,7,FALSE)</f>
        <v>#REF!</v>
      </c>
      <c r="AO373"/>
      <c r="AP373"/>
      <c r="AQ373"/>
      <c r="AR373" s="2" t="e">
        <f>VLOOKUP(CLEAN(H373),#REF!,2,FALSE)</f>
        <v>#REF!</v>
      </c>
      <c r="AZ373" s="2" t="e">
        <f>VLOOKUP(H373,#REF!,2,FALSE)</f>
        <v>#REF!</v>
      </c>
      <c r="BO373" s="2" t="e">
        <f>VLOOKUP(H373,#REF!,13,FALSE)</f>
        <v>#REF!</v>
      </c>
      <c r="BQ373" s="2" t="e">
        <f>VLOOKUP(H373,#REF!,13,FALSE)</f>
        <v>#REF!</v>
      </c>
    </row>
    <row r="374" spans="1:70" s="2" customFormat="1" ht="15" customHeight="1" outlineLevel="2">
      <c r="A374" s="5">
        <v>29</v>
      </c>
      <c r="B374" s="5" t="s">
        <v>11</v>
      </c>
      <c r="C374" s="5" t="s">
        <v>240</v>
      </c>
      <c r="D374" s="5" t="s">
        <v>22</v>
      </c>
      <c r="E374" s="5" t="s">
        <v>22</v>
      </c>
      <c r="F374" s="5" t="s">
        <v>457</v>
      </c>
      <c r="G374" s="5" t="s">
        <v>144</v>
      </c>
      <c r="H374" s="12">
        <v>30458984</v>
      </c>
      <c r="I374" s="311" t="str">
        <f>CONCATENATE(H374,"-",G374)</f>
        <v>30458984-EJECUCION</v>
      </c>
      <c r="J374" s="190"/>
      <c r="K374" s="309" t="str">
        <f>CLEAN(H374)</f>
        <v>30458984</v>
      </c>
      <c r="L374" s="15" t="s">
        <v>636</v>
      </c>
      <c r="M374" s="23">
        <v>136057000</v>
      </c>
      <c r="N374" s="34">
        <v>0</v>
      </c>
      <c r="O374" s="34">
        <v>136057000</v>
      </c>
      <c r="P374" s="310">
        <v>0</v>
      </c>
      <c r="Q374" s="34">
        <v>0</v>
      </c>
      <c r="R374" s="308">
        <v>0</v>
      </c>
      <c r="S374" s="34">
        <f>P374+Q374+R374</f>
        <v>0</v>
      </c>
      <c r="T374" s="34">
        <v>0</v>
      </c>
      <c r="U374" s="34">
        <v>0</v>
      </c>
      <c r="V374" s="34">
        <f>P374+Q374+R374+T374+U374</f>
        <v>0</v>
      </c>
      <c r="W374" s="34">
        <f>O374-V374</f>
        <v>136057000</v>
      </c>
      <c r="X374" s="34">
        <f>M374-(N374+O374)</f>
        <v>0</v>
      </c>
      <c r="Y374" s="48" t="s">
        <v>460</v>
      </c>
      <c r="Z374" s="48" t="s">
        <v>10</v>
      </c>
      <c r="AA374" s="2" t="e">
        <v>#N/A</v>
      </c>
      <c r="AB374" s="2" t="e">
        <f>VLOOKUP(H374,#REF!,2,FALSE)</f>
        <v>#REF!</v>
      </c>
      <c r="AD374" s="2" t="e">
        <f>VLOOKUP(H374,#REF!,13,FALSE)</f>
        <v>#REF!</v>
      </c>
      <c r="AE374" s="2" t="e">
        <f>VLOOKUP(I374,#REF!,7,FALSE)</f>
        <v>#REF!</v>
      </c>
      <c r="AG374" s="2" t="e">
        <f>VLOOKUP(H374,#REF!,13,FALSE)</f>
        <v>#REF!</v>
      </c>
      <c r="AH374" s="2" t="e">
        <f>VLOOKUP(I374,#REF!,2,FALSE)</f>
        <v>#REF!</v>
      </c>
      <c r="AJ374" s="185" t="e">
        <f>VLOOKUP(H374,#REF!,3,FALSE)</f>
        <v>#REF!</v>
      </c>
      <c r="AK374" s="185"/>
      <c r="AL374" s="185" t="e">
        <f>VLOOKUP(H374,#REF!,13,FALSE)</f>
        <v>#REF!</v>
      </c>
      <c r="AM374" s="185" t="e">
        <f>VLOOKUP(CLEAN(H374),#REF!,7,FALSE)</f>
        <v>#REF!</v>
      </c>
      <c r="AN374" s="2" t="e">
        <f>VLOOKUP(H374,#REF!,8,FALSE)</f>
        <v>#REF!</v>
      </c>
      <c r="AO374" s="189" t="e">
        <f>VLOOKUP(H374,#REF!,2,FALSE)</f>
        <v>#REF!</v>
      </c>
      <c r="AP374" s="189" t="e">
        <f>VLOOKUP(H374,#REF!,2,FALSE)</f>
        <v>#REF!</v>
      </c>
      <c r="AQ374" s="189"/>
      <c r="AR374" s="2" t="e">
        <f>VLOOKUP(CLEAN(H374),#REF!,2,FALSE)</f>
        <v>#REF!</v>
      </c>
      <c r="AT374" s="2" t="e">
        <f>VLOOKUP(H374,#REF!,13,FALSE)</f>
        <v>#REF!</v>
      </c>
      <c r="AU374" s="2" t="e">
        <f>VLOOKUP(H374,#REF!,13,FALSE)</f>
        <v>#REF!</v>
      </c>
      <c r="AV374" s="2" t="e">
        <f>VLOOKUP(H374,#REF!,13,FALSE)</f>
        <v>#REF!</v>
      </c>
      <c r="AW374" s="2" t="e">
        <f>VLOOKUP(H374,#REF!,13,FALSE)</f>
        <v>#REF!</v>
      </c>
      <c r="AX374" s="2" t="e">
        <f>VLOOKUP(H374,#REF!,9,FALSE)</f>
        <v>#REF!</v>
      </c>
      <c r="AY374" s="2" t="e">
        <f>VLOOKUP(H374,#REF!,2,FALSE)</f>
        <v>#REF!</v>
      </c>
      <c r="AZ374" s="189" t="e">
        <f>VLOOKUP(H374,#REF!,2,FALSE)</f>
        <v>#REF!</v>
      </c>
      <c r="BF374" s="189" t="e">
        <f>VLOOKUP(CLEAN(H374),#REF!,2,FALSE)</f>
        <v>#REF!</v>
      </c>
      <c r="BG374" s="189" t="e">
        <f>T374-BF374</f>
        <v>#REF!</v>
      </c>
      <c r="BO374" s="2" t="e">
        <f>VLOOKUP(H374,#REF!,13,FALSE)</f>
        <v>#REF!</v>
      </c>
      <c r="BP374" s="2" t="e">
        <f>VLOOKUP(H374,#REF!,2,FALSE)</f>
        <v>#REF!</v>
      </c>
      <c r="BQ374" s="2" t="e">
        <f>VLOOKUP(H374,#REF!,13,FALSE)</f>
        <v>#REF!</v>
      </c>
      <c r="BR374" s="2" t="e">
        <f>VLOOKUP(H374,#REF!,3,FALSE)</f>
        <v>#REF!</v>
      </c>
    </row>
    <row r="375" spans="1:70" ht="15" customHeight="1" outlineLevel="2">
      <c r="A375" s="7"/>
      <c r="B375" s="7"/>
      <c r="C375" s="7"/>
      <c r="D375" s="7"/>
      <c r="E375" s="7"/>
      <c r="F375" s="7"/>
      <c r="G375" s="7"/>
      <c r="H375" s="11"/>
      <c r="I375" s="11"/>
      <c r="J375" s="11"/>
      <c r="K375" s="11"/>
      <c r="L375" s="17" t="s">
        <v>702</v>
      </c>
      <c r="M375" s="27">
        <f t="shared" ref="M375:X375" si="222">SUBTOTAL(9,M374:M374)</f>
        <v>136057000</v>
      </c>
      <c r="N375" s="27">
        <f t="shared" si="222"/>
        <v>0</v>
      </c>
      <c r="O375" s="27">
        <f t="shared" si="222"/>
        <v>136057000</v>
      </c>
      <c r="P375" s="24">
        <f t="shared" si="222"/>
        <v>0</v>
      </c>
      <c r="Q375" s="24">
        <f t="shared" si="222"/>
        <v>0</v>
      </c>
      <c r="R375" s="24">
        <f t="shared" si="222"/>
        <v>0</v>
      </c>
      <c r="S375" s="27">
        <f t="shared" si="222"/>
        <v>0</v>
      </c>
      <c r="T375" s="27">
        <f t="shared" si="222"/>
        <v>0</v>
      </c>
      <c r="U375" s="27">
        <f t="shared" si="222"/>
        <v>0</v>
      </c>
      <c r="V375" s="27">
        <f t="shared" si="222"/>
        <v>0</v>
      </c>
      <c r="W375" s="27">
        <f t="shared" si="222"/>
        <v>136057000</v>
      </c>
      <c r="X375" s="27">
        <f t="shared" si="222"/>
        <v>0</v>
      </c>
      <c r="Y375" s="47"/>
      <c r="Z375" s="47"/>
      <c r="AM375" s="185" t="e">
        <f>VLOOKUP(CLEAN(H375),#REF!,7,FALSE)</f>
        <v>#REF!</v>
      </c>
      <c r="AO375"/>
      <c r="AP375"/>
      <c r="AQ375"/>
      <c r="AR375" s="2" t="e">
        <f>VLOOKUP(CLEAN(H375),#REF!,2,FALSE)</f>
        <v>#REF!</v>
      </c>
      <c r="AZ375" s="2" t="e">
        <f>VLOOKUP(H375,#REF!,2,FALSE)</f>
        <v>#REF!</v>
      </c>
      <c r="BO375" s="2" t="e">
        <f>VLOOKUP(H375,#REF!,13,FALSE)</f>
        <v>#REF!</v>
      </c>
      <c r="BQ375" s="2" t="e">
        <f>VLOOKUP(H375,#REF!,13,FALSE)</f>
        <v>#REF!</v>
      </c>
    </row>
    <row r="376" spans="1:70" ht="15" customHeight="1" outlineLevel="2">
      <c r="A376" s="7"/>
      <c r="B376" s="7"/>
      <c r="C376" s="7"/>
      <c r="D376" s="7"/>
      <c r="E376" s="7"/>
      <c r="F376" s="7"/>
      <c r="G376" s="7"/>
      <c r="H376" s="11"/>
      <c r="I376" s="11"/>
      <c r="J376" s="11"/>
      <c r="K376" s="11"/>
      <c r="L376" s="292"/>
      <c r="M376" s="22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47"/>
      <c r="Z376" s="47"/>
      <c r="AM376" s="185" t="e">
        <f>VLOOKUP(CLEAN(H376),#REF!,7,FALSE)</f>
        <v>#REF!</v>
      </c>
      <c r="AO376"/>
      <c r="AP376"/>
      <c r="AQ376"/>
      <c r="AR376" s="2" t="e">
        <f>VLOOKUP(CLEAN(H376),#REF!,2,FALSE)</f>
        <v>#REF!</v>
      </c>
      <c r="AZ376" s="2" t="e">
        <f>VLOOKUP(H376,#REF!,2,FALSE)</f>
        <v>#REF!</v>
      </c>
      <c r="BO376" s="2" t="e">
        <f>VLOOKUP(H376,#REF!,13,FALSE)</f>
        <v>#REF!</v>
      </c>
      <c r="BP376" s="293"/>
      <c r="BQ376" s="2" t="e">
        <f>VLOOKUP(H376,#REF!,13,FALSE)</f>
        <v>#REF!</v>
      </c>
    </row>
    <row r="377" spans="1:70" ht="15" customHeight="1" outlineLevel="2">
      <c r="A377" s="7"/>
      <c r="B377" s="7"/>
      <c r="C377" s="7"/>
      <c r="D377" s="7"/>
      <c r="E377" s="7"/>
      <c r="F377" s="7"/>
      <c r="G377" s="7"/>
      <c r="H377" s="11"/>
      <c r="I377" s="11"/>
      <c r="J377" s="11"/>
      <c r="K377" s="11"/>
      <c r="L377" s="18" t="s">
        <v>696</v>
      </c>
      <c r="M377" s="22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47"/>
      <c r="Z377" s="47"/>
      <c r="AM377" s="185" t="e">
        <f>VLOOKUP(CLEAN(H377),#REF!,7,FALSE)</f>
        <v>#REF!</v>
      </c>
      <c r="AO377"/>
      <c r="AP377"/>
      <c r="AQ377"/>
      <c r="AR377" s="2" t="e">
        <f>VLOOKUP(CLEAN(H377),#REF!,2,FALSE)</f>
        <v>#REF!</v>
      </c>
      <c r="AZ377" s="2" t="e">
        <f>VLOOKUP(H377,#REF!,2,FALSE)</f>
        <v>#REF!</v>
      </c>
      <c r="BO377" s="2" t="e">
        <f>VLOOKUP(H377,#REF!,13,FALSE)</f>
        <v>#REF!</v>
      </c>
      <c r="BQ377" s="2" t="e">
        <f>VLOOKUP(H377,#REF!,13,FALSE)</f>
        <v>#REF!</v>
      </c>
    </row>
    <row r="378" spans="1:70" s="2" customFormat="1" ht="15" customHeight="1" outlineLevel="2">
      <c r="A378" s="5">
        <v>31</v>
      </c>
      <c r="B378" s="5" t="s">
        <v>11</v>
      </c>
      <c r="C378" s="5" t="s">
        <v>238</v>
      </c>
      <c r="D378" s="5" t="s">
        <v>22</v>
      </c>
      <c r="E378" s="5" t="s">
        <v>22</v>
      </c>
      <c r="F378" s="5" t="s">
        <v>457</v>
      </c>
      <c r="G378" s="5" t="s">
        <v>9</v>
      </c>
      <c r="H378" s="12">
        <v>30463530</v>
      </c>
      <c r="I378" s="42" t="str">
        <f t="shared" ref="I378:I379" si="223">CONCATENATE(H378,"-",G378)</f>
        <v>30463530-DISEÑO</v>
      </c>
      <c r="J378" s="12"/>
      <c r="K378" s="307" t="str">
        <f t="shared" ref="K378:K379" si="224">CLEAN(H378)</f>
        <v>30463530</v>
      </c>
      <c r="L378" s="15" t="s">
        <v>325</v>
      </c>
      <c r="M378" s="23">
        <v>159342000</v>
      </c>
      <c r="N378" s="34">
        <v>0</v>
      </c>
      <c r="O378" s="34">
        <v>15000000</v>
      </c>
      <c r="P378" s="310">
        <v>0</v>
      </c>
      <c r="Q378" s="34">
        <v>0</v>
      </c>
      <c r="R378" s="308">
        <v>0</v>
      </c>
      <c r="S378" s="34">
        <f t="shared" ref="S378:S379" si="225">P378+Q378+R378</f>
        <v>0</v>
      </c>
      <c r="T378" s="34">
        <v>0</v>
      </c>
      <c r="U378" s="34">
        <v>0</v>
      </c>
      <c r="V378" s="34">
        <f>P378+Q378+R378+T378+U378</f>
        <v>0</v>
      </c>
      <c r="W378" s="34">
        <f>O378-V378</f>
        <v>15000000</v>
      </c>
      <c r="X378" s="34">
        <f>M378-(N378+O378)</f>
        <v>144342000</v>
      </c>
      <c r="Y378" s="48" t="s">
        <v>246</v>
      </c>
      <c r="Z378" s="48" t="s">
        <v>270</v>
      </c>
      <c r="AA378" s="2" t="e">
        <v>#N/A</v>
      </c>
      <c r="AB378" s="2" t="e">
        <f>VLOOKUP(H378,#REF!,2,FALSE)</f>
        <v>#REF!</v>
      </c>
      <c r="AC378" s="2" t="e">
        <f>VLOOKUP(I378,#REF!,2,FALSE)</f>
        <v>#REF!</v>
      </c>
      <c r="AD378" s="2" t="e">
        <f>VLOOKUP(H378,#REF!,13,FALSE)</f>
        <v>#REF!</v>
      </c>
      <c r="AE378" s="2" t="e">
        <f>VLOOKUP(I378,#REF!,7,FALSE)</f>
        <v>#REF!</v>
      </c>
      <c r="AG378" s="2" t="e">
        <f>VLOOKUP(H378,#REF!,13,FALSE)</f>
        <v>#REF!</v>
      </c>
      <c r="AH378" s="2" t="e">
        <f>VLOOKUP(I378,#REF!,2,FALSE)</f>
        <v>#REF!</v>
      </c>
      <c r="AJ378" s="185" t="e">
        <f>VLOOKUP(H378,#REF!,3,FALSE)</f>
        <v>#REF!</v>
      </c>
      <c r="AK378" s="185"/>
      <c r="AL378" s="185" t="e">
        <f>VLOOKUP(H378,#REF!,13,FALSE)</f>
        <v>#REF!</v>
      </c>
      <c r="AM378" s="185" t="e">
        <f>VLOOKUP(CLEAN(H378),#REF!,7,FALSE)</f>
        <v>#REF!</v>
      </c>
      <c r="AN378" s="2" t="e">
        <f>VLOOKUP(H378,#REF!,8,FALSE)</f>
        <v>#REF!</v>
      </c>
      <c r="AO378" s="189" t="e">
        <f>VLOOKUP(H378,#REF!,2,FALSE)</f>
        <v>#REF!</v>
      </c>
      <c r="AP378" s="189" t="e">
        <f>VLOOKUP(H378,#REF!,2,FALSE)</f>
        <v>#REF!</v>
      </c>
      <c r="AQ378" s="189"/>
      <c r="AR378" s="2" t="e">
        <f>VLOOKUP(CLEAN(H378),#REF!,2,FALSE)</f>
        <v>#REF!</v>
      </c>
      <c r="AT378" s="2" t="e">
        <f>VLOOKUP(H378,#REF!,13,FALSE)</f>
        <v>#REF!</v>
      </c>
      <c r="AU378" s="2" t="e">
        <f>VLOOKUP(H378,#REF!,13,FALSE)</f>
        <v>#REF!</v>
      </c>
      <c r="AV378" s="2" t="e">
        <f>VLOOKUP(H378,#REF!,13,FALSE)</f>
        <v>#REF!</v>
      </c>
      <c r="AW378" s="2" t="e">
        <f>VLOOKUP(H378,#REF!,13,FALSE)</f>
        <v>#REF!</v>
      </c>
      <c r="AX378" s="2" t="e">
        <f>VLOOKUP(H378,#REF!,9,FALSE)</f>
        <v>#REF!</v>
      </c>
      <c r="AZ378" s="2" t="e">
        <f>VLOOKUP(H378,#REF!,2,FALSE)</f>
        <v>#REF!</v>
      </c>
      <c r="BF378" s="189" t="e">
        <f>VLOOKUP(CLEAN(H378),#REF!,2,FALSE)</f>
        <v>#REF!</v>
      </c>
      <c r="BG378" s="189" t="e">
        <f>T378-BF378</f>
        <v>#REF!</v>
      </c>
      <c r="BO378" s="2" t="e">
        <f>VLOOKUP(H378,#REF!,13,FALSE)</f>
        <v>#REF!</v>
      </c>
      <c r="BP378" s="2" t="e">
        <f>VLOOKUP(H378,#REF!,2,FALSE)</f>
        <v>#REF!</v>
      </c>
      <c r="BQ378" s="2" t="e">
        <f>VLOOKUP(H378,#REF!,13,FALSE)</f>
        <v>#REF!</v>
      </c>
      <c r="BR378" s="2" t="e">
        <f>VLOOKUP(H378,#REF!,3,FALSE)</f>
        <v>#REF!</v>
      </c>
    </row>
    <row r="379" spans="1:70" s="2" customFormat="1" ht="15" customHeight="1" outlineLevel="2">
      <c r="A379" s="5">
        <v>31</v>
      </c>
      <c r="B379" s="5" t="s">
        <v>11</v>
      </c>
      <c r="C379" s="5" t="s">
        <v>241</v>
      </c>
      <c r="D379" s="5" t="s">
        <v>22</v>
      </c>
      <c r="E379" s="5" t="s">
        <v>22</v>
      </c>
      <c r="F379" s="5" t="s">
        <v>89</v>
      </c>
      <c r="G379" s="5" t="s">
        <v>9</v>
      </c>
      <c r="H379" s="12">
        <v>30427426</v>
      </c>
      <c r="I379" s="42" t="str">
        <f t="shared" si="223"/>
        <v>30427426-DISEÑO</v>
      </c>
      <c r="J379" s="12"/>
      <c r="K379" s="307" t="str">
        <f t="shared" si="224"/>
        <v>30427426</v>
      </c>
      <c r="L379" s="15" t="s">
        <v>342</v>
      </c>
      <c r="M379" s="23">
        <v>252242000</v>
      </c>
      <c r="N379" s="34">
        <v>0</v>
      </c>
      <c r="O379" s="34">
        <v>15000000</v>
      </c>
      <c r="P379" s="310">
        <v>0</v>
      </c>
      <c r="Q379" s="34">
        <v>0</v>
      </c>
      <c r="R379" s="308">
        <v>0</v>
      </c>
      <c r="S379" s="34">
        <f t="shared" si="225"/>
        <v>0</v>
      </c>
      <c r="T379" s="34">
        <v>0</v>
      </c>
      <c r="U379" s="34">
        <v>0</v>
      </c>
      <c r="V379" s="34">
        <f>P379+Q379+R379+T379+U379</f>
        <v>0</v>
      </c>
      <c r="W379" s="34">
        <f>O379-V379</f>
        <v>15000000</v>
      </c>
      <c r="X379" s="34">
        <f>M379-(N379+O379)</f>
        <v>237242000</v>
      </c>
      <c r="Y379" s="48" t="s">
        <v>246</v>
      </c>
      <c r="Z379" s="48" t="s">
        <v>270</v>
      </c>
      <c r="AA379" s="2" t="e">
        <v>#N/A</v>
      </c>
      <c r="AB379" s="2" t="e">
        <f>VLOOKUP(H379,#REF!,2,FALSE)</f>
        <v>#REF!</v>
      </c>
      <c r="AC379" s="2" t="e">
        <f>VLOOKUP(I379,#REF!,2,FALSE)</f>
        <v>#REF!</v>
      </c>
      <c r="AD379" s="2" t="e">
        <f>VLOOKUP(H379,#REF!,13,FALSE)</f>
        <v>#REF!</v>
      </c>
      <c r="AE379" s="2" t="e">
        <f>VLOOKUP(I379,#REF!,7,FALSE)</f>
        <v>#REF!</v>
      </c>
      <c r="AG379" s="2" t="e">
        <f>VLOOKUP(H379,#REF!,13,FALSE)</f>
        <v>#REF!</v>
      </c>
      <c r="AH379" s="2" t="e">
        <f>VLOOKUP(I379,#REF!,2,FALSE)</f>
        <v>#REF!</v>
      </c>
      <c r="AJ379" s="185" t="e">
        <f>VLOOKUP(H379,#REF!,3,FALSE)</f>
        <v>#REF!</v>
      </c>
      <c r="AK379" s="185"/>
      <c r="AL379" s="185" t="e">
        <f>VLOOKUP(H379,#REF!,13,FALSE)</f>
        <v>#REF!</v>
      </c>
      <c r="AM379" s="185" t="e">
        <f>VLOOKUP(CLEAN(H379),#REF!,7,FALSE)</f>
        <v>#REF!</v>
      </c>
      <c r="AN379" s="2" t="e">
        <f>VLOOKUP(H379,#REF!,8,FALSE)</f>
        <v>#REF!</v>
      </c>
      <c r="AO379" s="189" t="e">
        <f>VLOOKUP(H379,#REF!,2,FALSE)</f>
        <v>#REF!</v>
      </c>
      <c r="AP379" s="189" t="e">
        <f>VLOOKUP(H379,#REF!,2,FALSE)</f>
        <v>#REF!</v>
      </c>
      <c r="AQ379" s="189"/>
      <c r="AR379" s="2" t="e">
        <f>VLOOKUP(CLEAN(H379),#REF!,2,FALSE)</f>
        <v>#REF!</v>
      </c>
      <c r="AT379" s="2" t="e">
        <f>VLOOKUP(H379,#REF!,13,FALSE)</f>
        <v>#REF!</v>
      </c>
      <c r="AU379" s="2" t="e">
        <f>VLOOKUP(H379,#REF!,13,FALSE)</f>
        <v>#REF!</v>
      </c>
      <c r="AV379" s="2" t="e">
        <f>VLOOKUP(H379,#REF!,13,FALSE)</f>
        <v>#REF!</v>
      </c>
      <c r="AW379" s="2" t="e">
        <f>VLOOKUP(H379,#REF!,13,FALSE)</f>
        <v>#REF!</v>
      </c>
      <c r="AX379" s="2" t="e">
        <f>VLOOKUP(H379,#REF!,9,FALSE)</f>
        <v>#REF!</v>
      </c>
      <c r="AZ379" s="2" t="e">
        <f>VLOOKUP(H379,#REF!,2,FALSE)</f>
        <v>#REF!</v>
      </c>
      <c r="BF379" s="189" t="e">
        <f>VLOOKUP(CLEAN(H379),#REF!,2,FALSE)</f>
        <v>#REF!</v>
      </c>
      <c r="BG379" s="189" t="e">
        <f>T379-BF379</f>
        <v>#REF!</v>
      </c>
      <c r="BO379" s="2" t="e">
        <f>VLOOKUP(H379,#REF!,13,FALSE)</f>
        <v>#REF!</v>
      </c>
      <c r="BP379" s="2" t="e">
        <f>VLOOKUP(H379,#REF!,2,FALSE)</f>
        <v>#REF!</v>
      </c>
      <c r="BQ379" s="2" t="e">
        <f>VLOOKUP(H379,#REF!,13,FALSE)</f>
        <v>#REF!</v>
      </c>
      <c r="BR379" s="2" t="e">
        <f>VLOOKUP(H379,#REF!,3,FALSE)</f>
        <v>#REF!</v>
      </c>
    </row>
    <row r="380" spans="1:70" ht="15" customHeight="1" outlineLevel="2">
      <c r="A380" s="7"/>
      <c r="B380" s="7"/>
      <c r="C380" s="7"/>
      <c r="D380" s="7"/>
      <c r="E380" s="7"/>
      <c r="F380" s="7"/>
      <c r="G380" s="7"/>
      <c r="H380" s="11"/>
      <c r="I380" s="11"/>
      <c r="J380" s="11"/>
      <c r="K380" s="11"/>
      <c r="L380" s="17" t="s">
        <v>693</v>
      </c>
      <c r="M380" s="27">
        <f t="shared" ref="M380:X380" si="226">SUBTOTAL(9,M378:M379)</f>
        <v>411584000</v>
      </c>
      <c r="N380" s="27">
        <f t="shared" si="226"/>
        <v>0</v>
      </c>
      <c r="O380" s="27">
        <f t="shared" si="226"/>
        <v>30000000</v>
      </c>
      <c r="P380" s="24">
        <f t="shared" si="226"/>
        <v>0</v>
      </c>
      <c r="Q380" s="24">
        <f t="shared" si="226"/>
        <v>0</v>
      </c>
      <c r="R380" s="24">
        <f t="shared" si="226"/>
        <v>0</v>
      </c>
      <c r="S380" s="27">
        <f t="shared" si="226"/>
        <v>0</v>
      </c>
      <c r="T380" s="27">
        <f t="shared" si="226"/>
        <v>0</v>
      </c>
      <c r="U380" s="27">
        <f t="shared" si="226"/>
        <v>0</v>
      </c>
      <c r="V380" s="27">
        <f t="shared" si="226"/>
        <v>0</v>
      </c>
      <c r="W380" s="27">
        <f t="shared" si="226"/>
        <v>30000000</v>
      </c>
      <c r="X380" s="27">
        <f t="shared" si="226"/>
        <v>381584000</v>
      </c>
      <c r="Y380" s="47"/>
      <c r="Z380" s="47"/>
      <c r="AM380" s="185" t="e">
        <f>VLOOKUP(CLEAN(H380),#REF!,7,FALSE)</f>
        <v>#REF!</v>
      </c>
      <c r="AO380"/>
      <c r="AP380"/>
      <c r="AQ380"/>
      <c r="AR380" s="2" t="e">
        <f>VLOOKUP(CLEAN(H380),#REF!,2,FALSE)</f>
        <v>#REF!</v>
      </c>
      <c r="AZ380" s="2" t="e">
        <f>VLOOKUP(H380,#REF!,2,FALSE)</f>
        <v>#REF!</v>
      </c>
      <c r="BO380" s="2" t="e">
        <f>VLOOKUP(H380,#REF!,13,FALSE)</f>
        <v>#REF!</v>
      </c>
      <c r="BQ380" s="2" t="e">
        <f>VLOOKUP(H380,#REF!,13,FALSE)</f>
        <v>#REF!</v>
      </c>
    </row>
    <row r="381" spans="1:70" ht="15" customHeight="1" outlineLevel="2">
      <c r="A381" s="7"/>
      <c r="B381" s="7"/>
      <c r="C381" s="7"/>
      <c r="D381" s="7"/>
      <c r="E381" s="7"/>
      <c r="F381" s="7"/>
      <c r="G381" s="7"/>
      <c r="H381" s="11"/>
      <c r="I381" s="11"/>
      <c r="J381" s="11"/>
      <c r="K381" s="11"/>
      <c r="L381" s="292"/>
      <c r="M381" s="22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47"/>
      <c r="Z381" s="47"/>
      <c r="AO381"/>
      <c r="AP381"/>
      <c r="AQ381"/>
      <c r="AR381" s="2" t="e">
        <f>VLOOKUP(CLEAN(H381),#REF!,2,FALSE)</f>
        <v>#REF!</v>
      </c>
      <c r="AZ381" s="2" t="e">
        <f>VLOOKUP(H381,#REF!,2,FALSE)</f>
        <v>#REF!</v>
      </c>
      <c r="BO381" s="2" t="e">
        <f>VLOOKUP(H381,#REF!,13,FALSE)</f>
        <v>#REF!</v>
      </c>
      <c r="BP381" s="293"/>
      <c r="BQ381" s="2" t="e">
        <f>VLOOKUP(H381,#REF!,13,FALSE)</f>
        <v>#REF!</v>
      </c>
    </row>
    <row r="382" spans="1:70" ht="18.75" customHeight="1" outlineLevel="1">
      <c r="A382" s="7"/>
      <c r="B382" s="7"/>
      <c r="C382" s="7"/>
      <c r="D382" s="7"/>
      <c r="E382" s="8"/>
      <c r="F382" s="7"/>
      <c r="G382" s="7"/>
      <c r="H382" s="11"/>
      <c r="I382" s="11"/>
      <c r="J382" s="11"/>
      <c r="K382" s="11"/>
      <c r="L382" s="45" t="s">
        <v>159</v>
      </c>
      <c r="M382" s="46">
        <f t="shared" ref="M382:X382" si="227">M380+M375+M371</f>
        <v>3354589000</v>
      </c>
      <c r="N382" s="46">
        <f t="shared" si="227"/>
        <v>121552095</v>
      </c>
      <c r="O382" s="46">
        <f t="shared" si="227"/>
        <v>466057000</v>
      </c>
      <c r="P382" s="46">
        <f t="shared" si="227"/>
        <v>0</v>
      </c>
      <c r="Q382" s="46">
        <f t="shared" si="227"/>
        <v>0</v>
      </c>
      <c r="R382" s="46">
        <f t="shared" si="227"/>
        <v>3000000</v>
      </c>
      <c r="S382" s="46">
        <f t="shared" si="227"/>
        <v>3000000</v>
      </c>
      <c r="T382" s="46">
        <f t="shared" si="227"/>
        <v>0</v>
      </c>
      <c r="U382" s="46">
        <f t="shared" si="227"/>
        <v>0</v>
      </c>
      <c r="V382" s="46">
        <f t="shared" si="227"/>
        <v>3000000</v>
      </c>
      <c r="W382" s="46">
        <f t="shared" si="227"/>
        <v>463057000</v>
      </c>
      <c r="X382" s="46">
        <f t="shared" si="227"/>
        <v>2766979905</v>
      </c>
      <c r="Y382" s="47"/>
      <c r="Z382" s="47"/>
      <c r="AM382" s="185" t="e">
        <f>VLOOKUP(CLEAN(H382),#REF!,7,FALSE)</f>
        <v>#REF!</v>
      </c>
      <c r="AO382"/>
      <c r="AP382"/>
      <c r="AQ382"/>
      <c r="AR382" s="2" t="e">
        <f>VLOOKUP(CLEAN(H382),#REF!,2,FALSE)</f>
        <v>#REF!</v>
      </c>
      <c r="AZ382" s="2" t="e">
        <f>VLOOKUP(H382,#REF!,2,FALSE)</f>
        <v>#REF!</v>
      </c>
      <c r="BO382" s="2" t="e">
        <f>VLOOKUP(H382,#REF!,13,FALSE)</f>
        <v>#REF!</v>
      </c>
      <c r="BQ382" s="2" t="e">
        <f>VLOOKUP(H382,#REF!,13,FALSE)</f>
        <v>#REF!</v>
      </c>
    </row>
    <row r="383" spans="1:70" s="3" customFormat="1" ht="15" customHeight="1" outlineLevel="1">
      <c r="A383" s="7"/>
      <c r="B383" s="7"/>
      <c r="C383" s="7"/>
      <c r="D383" s="7"/>
      <c r="E383" s="8"/>
      <c r="F383" s="7"/>
      <c r="G383" s="7"/>
      <c r="H383" s="11"/>
      <c r="I383" s="11"/>
      <c r="J383" s="11"/>
      <c r="K383" s="11"/>
      <c r="L383" s="294"/>
      <c r="M383" s="26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47"/>
      <c r="Z383" s="47"/>
      <c r="AJ383" s="186"/>
      <c r="AK383" s="186"/>
      <c r="AL383" s="186"/>
      <c r="AM383" s="185" t="e">
        <f>VLOOKUP(CLEAN(H383),#REF!,7,FALSE)</f>
        <v>#REF!</v>
      </c>
      <c r="AR383" s="2" t="e">
        <f>VLOOKUP(CLEAN(H383),#REF!,2,FALSE)</f>
        <v>#REF!</v>
      </c>
      <c r="AZ383" s="2" t="e">
        <f>VLOOKUP(H383,#REF!,2,FALSE)</f>
        <v>#REF!</v>
      </c>
      <c r="BF383" s="193"/>
      <c r="BO383" s="2" t="e">
        <f>VLOOKUP(H383,#REF!,13,FALSE)</f>
        <v>#REF!</v>
      </c>
      <c r="BP383" s="7"/>
      <c r="BQ383" s="2" t="e">
        <f>VLOOKUP(H383,#REF!,13,FALSE)</f>
        <v>#REF!</v>
      </c>
    </row>
    <row r="384" spans="1:70" ht="26.25" customHeight="1" outlineLevel="1">
      <c r="A384" s="7"/>
      <c r="B384" s="7"/>
      <c r="C384" s="7"/>
      <c r="D384" s="7"/>
      <c r="E384" s="8"/>
      <c r="F384" s="7"/>
      <c r="G384" s="7"/>
      <c r="H384" s="11"/>
      <c r="I384" s="11"/>
      <c r="J384" s="11"/>
      <c r="K384" s="11"/>
      <c r="L384" s="57" t="s">
        <v>193</v>
      </c>
      <c r="M384" s="26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49"/>
      <c r="Z384" s="49"/>
      <c r="AM384" s="185" t="e">
        <f>VLOOKUP(CLEAN(H384),#REF!,7,FALSE)</f>
        <v>#REF!</v>
      </c>
      <c r="AO384"/>
      <c r="AP384"/>
      <c r="AQ384"/>
      <c r="AR384" s="2" t="e">
        <f>VLOOKUP(CLEAN(H384),#REF!,2,FALSE)</f>
        <v>#REF!</v>
      </c>
      <c r="AZ384" s="2" t="e">
        <f>VLOOKUP(H384,#REF!,2,FALSE)</f>
        <v>#REF!</v>
      </c>
      <c r="BO384" s="2" t="e">
        <f>VLOOKUP(H384,#REF!,13,FALSE)</f>
        <v>#REF!</v>
      </c>
      <c r="BQ384" s="2" t="e">
        <f>VLOOKUP(H384,#REF!,13,FALSE)</f>
        <v>#REF!</v>
      </c>
    </row>
    <row r="385" spans="1:70" ht="15" customHeight="1" outlineLevel="1">
      <c r="A385" s="7"/>
      <c r="B385" s="7"/>
      <c r="C385" s="7"/>
      <c r="D385" s="7"/>
      <c r="E385" s="8"/>
      <c r="F385" s="7"/>
      <c r="G385" s="7"/>
      <c r="H385" s="11"/>
      <c r="I385" s="11"/>
      <c r="J385" s="11"/>
      <c r="K385" s="11"/>
      <c r="L385" s="18" t="s">
        <v>695</v>
      </c>
      <c r="M385" s="26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47"/>
      <c r="Z385" s="47"/>
      <c r="AM385" s="185" t="e">
        <f>VLOOKUP(CLEAN(H385),#REF!,7,FALSE)</f>
        <v>#REF!</v>
      </c>
      <c r="AO385"/>
      <c r="AP385"/>
      <c r="AQ385"/>
      <c r="AR385" s="2" t="e">
        <f>VLOOKUP(CLEAN(H385),#REF!,2,FALSE)</f>
        <v>#REF!</v>
      </c>
      <c r="AZ385" s="2" t="e">
        <f>VLOOKUP(H385,#REF!,2,FALSE)</f>
        <v>#REF!</v>
      </c>
      <c r="BO385" s="2" t="e">
        <f>VLOOKUP(H385,#REF!,13,FALSE)</f>
        <v>#REF!</v>
      </c>
      <c r="BQ385" s="2" t="e">
        <f>VLOOKUP(H385,#REF!,13,FALSE)</f>
        <v>#REF!</v>
      </c>
    </row>
    <row r="386" spans="1:70" s="2" customFormat="1" ht="15" customHeight="1" outlineLevel="2">
      <c r="A386" s="5">
        <v>31</v>
      </c>
      <c r="B386" s="5" t="s">
        <v>5</v>
      </c>
      <c r="C386" s="5" t="s">
        <v>251</v>
      </c>
      <c r="D386" s="5" t="s">
        <v>22</v>
      </c>
      <c r="E386" s="5" t="s">
        <v>28</v>
      </c>
      <c r="F386" s="5" t="s">
        <v>457</v>
      </c>
      <c r="G386" s="5" t="s">
        <v>144</v>
      </c>
      <c r="H386" s="12">
        <v>30279673</v>
      </c>
      <c r="I386" s="42" t="str">
        <f t="shared" ref="I386:I390" si="228">CONCATENATE(H386,"-",G386)</f>
        <v>30279673-EJECUCION</v>
      </c>
      <c r="J386" s="12"/>
      <c r="K386" s="307" t="str">
        <f t="shared" ref="K386:K390" si="229">CLEAN(H386)</f>
        <v>30279673</v>
      </c>
      <c r="L386" s="15" t="s">
        <v>133</v>
      </c>
      <c r="M386" s="23">
        <v>589370000</v>
      </c>
      <c r="N386" s="34">
        <v>1500000</v>
      </c>
      <c r="O386" s="34">
        <v>517870000</v>
      </c>
      <c r="P386" s="310">
        <v>25410198</v>
      </c>
      <c r="Q386" s="34">
        <v>25833013</v>
      </c>
      <c r="R386" s="308">
        <v>30742366</v>
      </c>
      <c r="S386" s="34">
        <f t="shared" ref="S386:S390" si="230">P386+Q386+R386</f>
        <v>81985577</v>
      </c>
      <c r="T386" s="34">
        <v>37073031</v>
      </c>
      <c r="U386" s="34">
        <v>26749861</v>
      </c>
      <c r="V386" s="34">
        <f>P386+Q386+R386+T386+U386</f>
        <v>145808469</v>
      </c>
      <c r="W386" s="34">
        <f>O386-V386</f>
        <v>372061531</v>
      </c>
      <c r="X386" s="34">
        <f>M386-(N386+O386)</f>
        <v>70000000</v>
      </c>
      <c r="Y386" s="48" t="s">
        <v>239</v>
      </c>
      <c r="Z386" s="48" t="s">
        <v>8</v>
      </c>
      <c r="AA386" s="2" t="s">
        <v>843</v>
      </c>
      <c r="AB386" s="2" t="e">
        <f>VLOOKUP(H386,#REF!,2,FALSE)</f>
        <v>#REF!</v>
      </c>
      <c r="AC386" s="2" t="e">
        <f>VLOOKUP(I386,#REF!,2,FALSE)</f>
        <v>#REF!</v>
      </c>
      <c r="AD386" s="2" t="e">
        <f>VLOOKUP(H386,#REF!,13,FALSE)</f>
        <v>#REF!</v>
      </c>
      <c r="AE386" s="2" t="e">
        <f>VLOOKUP(I386,#REF!,7,FALSE)</f>
        <v>#REF!</v>
      </c>
      <c r="AG386" s="2" t="e">
        <f>VLOOKUP(H386,#REF!,13,FALSE)</f>
        <v>#REF!</v>
      </c>
      <c r="AH386" s="2" t="e">
        <f>VLOOKUP(I386,#REF!,2,FALSE)</f>
        <v>#REF!</v>
      </c>
      <c r="AJ386" s="185" t="e">
        <f>VLOOKUP(H386,#REF!,3,FALSE)</f>
        <v>#REF!</v>
      </c>
      <c r="AK386" s="185"/>
      <c r="AL386" s="185" t="e">
        <f>VLOOKUP(H386,#REF!,13,FALSE)</f>
        <v>#REF!</v>
      </c>
      <c r="AM386" s="185" t="e">
        <f>VLOOKUP(CLEAN(H386),#REF!,7,FALSE)</f>
        <v>#REF!</v>
      </c>
      <c r="AN386" s="2" t="e">
        <f>VLOOKUP(H386,#REF!,8,FALSE)</f>
        <v>#REF!</v>
      </c>
      <c r="AO386" s="189" t="e">
        <f>VLOOKUP(H386,#REF!,2,FALSE)</f>
        <v>#REF!</v>
      </c>
      <c r="AP386" s="189" t="e">
        <f>VLOOKUP(H386,#REF!,2,FALSE)</f>
        <v>#REF!</v>
      </c>
      <c r="AQ386" s="189" t="e">
        <f t="shared" ref="AQ386:AQ387" si="231">AO386-AP386</f>
        <v>#REF!</v>
      </c>
      <c r="AR386" s="189" t="e">
        <f>VLOOKUP(CLEAN(H386),#REF!,2,FALSE)</f>
        <v>#REF!</v>
      </c>
      <c r="AS386" s="189" t="e">
        <f>T386-AR386</f>
        <v>#REF!</v>
      </c>
      <c r="AT386" s="2" t="e">
        <f>VLOOKUP(H386,#REF!,13,FALSE)</f>
        <v>#REF!</v>
      </c>
      <c r="AU386" s="2" t="e">
        <f>VLOOKUP(H386,#REF!,13,FALSE)</f>
        <v>#REF!</v>
      </c>
      <c r="AV386" s="2" t="e">
        <f>VLOOKUP(H386,#REF!,13,FALSE)</f>
        <v>#REF!</v>
      </c>
      <c r="AW386" s="2" t="e">
        <f>VLOOKUP(H386,#REF!,13,FALSE)</f>
        <v>#REF!</v>
      </c>
      <c r="AX386" s="2" t="e">
        <f>VLOOKUP(H386,#REF!,9,FALSE)</f>
        <v>#REF!</v>
      </c>
      <c r="AZ386" s="189" t="e">
        <f>VLOOKUP(H386,#REF!,2,FALSE)</f>
        <v>#REF!</v>
      </c>
      <c r="BF386" s="189" t="e">
        <f>VLOOKUP(CLEAN(H386),#REF!,2,FALSE)</f>
        <v>#REF!</v>
      </c>
      <c r="BG386" s="189" t="e">
        <f>T386-BF386</f>
        <v>#REF!</v>
      </c>
      <c r="BO386" s="2" t="e">
        <f>VLOOKUP(H386,#REF!,13,FALSE)</f>
        <v>#REF!</v>
      </c>
      <c r="BP386" s="2" t="e">
        <f>VLOOKUP(H386,#REF!,2,FALSE)</f>
        <v>#REF!</v>
      </c>
      <c r="BQ386" s="2" t="e">
        <f>VLOOKUP(H386,#REF!,13,FALSE)</f>
        <v>#REF!</v>
      </c>
      <c r="BR386" s="2" t="e">
        <f>VLOOKUP(H386,#REF!,3,FALSE)</f>
        <v>#REF!</v>
      </c>
    </row>
    <row r="387" spans="1:70" s="2" customFormat="1" ht="15" customHeight="1" outlineLevel="2">
      <c r="A387" s="5">
        <v>31</v>
      </c>
      <c r="B387" s="5" t="s">
        <v>5</v>
      </c>
      <c r="C387" s="5" t="s">
        <v>248</v>
      </c>
      <c r="D387" s="5" t="s">
        <v>22</v>
      </c>
      <c r="E387" s="5" t="s">
        <v>28</v>
      </c>
      <c r="F387" s="5" t="s">
        <v>14</v>
      </c>
      <c r="G387" s="5" t="s">
        <v>144</v>
      </c>
      <c r="H387" s="12">
        <v>30108787</v>
      </c>
      <c r="I387" s="311" t="str">
        <f t="shared" si="228"/>
        <v>30108787-EJECUCION</v>
      </c>
      <c r="J387" s="190"/>
      <c r="K387" s="309" t="str">
        <f t="shared" si="229"/>
        <v>30108787</v>
      </c>
      <c r="L387" s="15" t="s">
        <v>455</v>
      </c>
      <c r="M387" s="23">
        <v>1587610000</v>
      </c>
      <c r="N387" s="34">
        <v>1405679649</v>
      </c>
      <c r="O387" s="34">
        <v>19813500</v>
      </c>
      <c r="P387" s="310">
        <v>0</v>
      </c>
      <c r="Q387" s="34">
        <v>0</v>
      </c>
      <c r="R387" s="308">
        <v>0</v>
      </c>
      <c r="S387" s="34">
        <f t="shared" si="230"/>
        <v>0</v>
      </c>
      <c r="T387" s="34">
        <v>14458500</v>
      </c>
      <c r="U387" s="34">
        <v>4819500</v>
      </c>
      <c r="V387" s="34">
        <f>P387+Q387+R387+T387+U387</f>
        <v>19278000</v>
      </c>
      <c r="W387" s="34">
        <f>O387-V387</f>
        <v>535500</v>
      </c>
      <c r="X387" s="34">
        <f>M387-(N387+O387)</f>
        <v>162116851</v>
      </c>
      <c r="Y387" s="48" t="s">
        <v>239</v>
      </c>
      <c r="Z387" s="48" t="s">
        <v>8</v>
      </c>
      <c r="AA387" s="2" t="s">
        <v>843</v>
      </c>
      <c r="AB387" s="2" t="e">
        <f>VLOOKUP(H387,#REF!,2,FALSE)</f>
        <v>#REF!</v>
      </c>
      <c r="AC387" s="2" t="e">
        <f>VLOOKUP(I387,#REF!,2,FALSE)</f>
        <v>#REF!</v>
      </c>
      <c r="AD387" s="2" t="e">
        <f>VLOOKUP(H387,#REF!,13,FALSE)</f>
        <v>#REF!</v>
      </c>
      <c r="AE387" s="2" t="e">
        <f>VLOOKUP(I387,#REF!,7,FALSE)</f>
        <v>#REF!</v>
      </c>
      <c r="AG387" s="2" t="e">
        <f>VLOOKUP(H387,#REF!,13,FALSE)</f>
        <v>#REF!</v>
      </c>
      <c r="AH387" s="2" t="e">
        <f>VLOOKUP(I387,#REF!,2,FALSE)</f>
        <v>#REF!</v>
      </c>
      <c r="AJ387" s="185" t="e">
        <f>VLOOKUP(H387,#REF!,3,FALSE)</f>
        <v>#REF!</v>
      </c>
      <c r="AK387" s="185"/>
      <c r="AL387" s="185" t="e">
        <f>VLOOKUP(H387,#REF!,13,FALSE)</f>
        <v>#REF!</v>
      </c>
      <c r="AM387" s="185" t="e">
        <f>VLOOKUP(CLEAN(H387),#REF!,7,FALSE)</f>
        <v>#REF!</v>
      </c>
      <c r="AN387" s="2" t="e">
        <f>VLOOKUP(H387,#REF!,8,FALSE)</f>
        <v>#REF!</v>
      </c>
      <c r="AO387" s="189" t="e">
        <f>VLOOKUP(H387,#REF!,2,FALSE)</f>
        <v>#REF!</v>
      </c>
      <c r="AP387" s="189" t="e">
        <f>VLOOKUP(H387,#REF!,2,FALSE)</f>
        <v>#REF!</v>
      </c>
      <c r="AQ387" s="189" t="e">
        <f t="shared" si="231"/>
        <v>#REF!</v>
      </c>
      <c r="AR387" s="189" t="e">
        <f>VLOOKUP(CLEAN(H387),#REF!,2,FALSE)</f>
        <v>#REF!</v>
      </c>
      <c r="AS387" s="189" t="e">
        <f>T387-AR387</f>
        <v>#REF!</v>
      </c>
      <c r="AT387" s="2" t="e">
        <f>VLOOKUP(H387,#REF!,13,FALSE)</f>
        <v>#REF!</v>
      </c>
      <c r="AU387" s="2" t="e">
        <f>VLOOKUP(H387,#REF!,13,FALSE)</f>
        <v>#REF!</v>
      </c>
      <c r="AV387" s="2" t="e">
        <f>VLOOKUP(H387,#REF!,13,FALSE)</f>
        <v>#REF!</v>
      </c>
      <c r="AW387" s="2" t="e">
        <f>VLOOKUP(H387,#REF!,13,FALSE)</f>
        <v>#REF!</v>
      </c>
      <c r="AX387" s="2" t="e">
        <f>VLOOKUP(H387,#REF!,9,FALSE)</f>
        <v>#REF!</v>
      </c>
      <c r="AZ387" s="189" t="e">
        <f>VLOOKUP(H387,#REF!,2,FALSE)</f>
        <v>#REF!</v>
      </c>
      <c r="BF387" s="189" t="e">
        <f>VLOOKUP(CLEAN(H387),#REF!,2,FALSE)</f>
        <v>#REF!</v>
      </c>
      <c r="BG387" s="189" t="e">
        <f>T387-BF387</f>
        <v>#REF!</v>
      </c>
      <c r="BO387" s="2" t="e">
        <f>VLOOKUP(H387,#REF!,13,FALSE)</f>
        <v>#REF!</v>
      </c>
      <c r="BP387" s="2" t="e">
        <f>VLOOKUP(H387,#REF!,2,FALSE)</f>
        <v>#REF!</v>
      </c>
      <c r="BQ387" s="2" t="e">
        <f>VLOOKUP(H387,#REF!,13,FALSE)</f>
        <v>#REF!</v>
      </c>
      <c r="BR387" s="2" t="e">
        <f>VLOOKUP(H387,#REF!,3,FALSE)</f>
        <v>#REF!</v>
      </c>
    </row>
    <row r="388" spans="1:70" s="2" customFormat="1" ht="15" customHeight="1" outlineLevel="2">
      <c r="A388" s="5">
        <v>31</v>
      </c>
      <c r="B388" s="5" t="s">
        <v>5</v>
      </c>
      <c r="C388" s="5" t="s">
        <v>253</v>
      </c>
      <c r="D388" s="5" t="s">
        <v>22</v>
      </c>
      <c r="E388" s="5" t="s">
        <v>28</v>
      </c>
      <c r="F388" s="5" t="s">
        <v>457</v>
      </c>
      <c r="G388" s="5" t="s">
        <v>144</v>
      </c>
      <c r="H388" s="12">
        <v>30071020</v>
      </c>
      <c r="I388" s="42" t="str">
        <f t="shared" si="228"/>
        <v>30071020-EJECUCION</v>
      </c>
      <c r="J388" s="12"/>
      <c r="K388" s="307" t="str">
        <f t="shared" si="229"/>
        <v>30071020</v>
      </c>
      <c r="L388" s="15" t="s">
        <v>531</v>
      </c>
      <c r="M388" s="23">
        <v>1286401095</v>
      </c>
      <c r="N388" s="34">
        <v>1121478997</v>
      </c>
      <c r="O388" s="34">
        <v>0</v>
      </c>
      <c r="P388" s="310">
        <v>0</v>
      </c>
      <c r="Q388" s="34">
        <v>0</v>
      </c>
      <c r="R388" s="308">
        <v>0</v>
      </c>
      <c r="S388" s="34">
        <f t="shared" si="230"/>
        <v>0</v>
      </c>
      <c r="T388" s="34">
        <v>0</v>
      </c>
      <c r="U388" s="34">
        <v>0</v>
      </c>
      <c r="V388" s="34">
        <f>P388+Q388+R388+T388+U388</f>
        <v>0</v>
      </c>
      <c r="W388" s="34">
        <f>O388-V388</f>
        <v>0</v>
      </c>
      <c r="X388" s="34">
        <f>M388-(N388+O388)</f>
        <v>164922098</v>
      </c>
      <c r="Y388" s="48" t="s">
        <v>239</v>
      </c>
      <c r="Z388" s="48" t="s">
        <v>8</v>
      </c>
      <c r="AA388" s="2" t="e">
        <v>#N/A</v>
      </c>
      <c r="AB388" s="2" t="e">
        <f>VLOOKUP(H388,#REF!,2,FALSE)</f>
        <v>#REF!</v>
      </c>
      <c r="AC388" s="2" t="e">
        <f>VLOOKUP(I388,#REF!,2,FALSE)</f>
        <v>#REF!</v>
      </c>
      <c r="AD388" s="2" t="e">
        <f>VLOOKUP(H388,#REF!,13,FALSE)</f>
        <v>#REF!</v>
      </c>
      <c r="AE388" s="177" t="e">
        <f>VLOOKUP(I388,#REF!,7,FALSE)</f>
        <v>#REF!</v>
      </c>
      <c r="AG388" s="2" t="e">
        <f>VLOOKUP(H388,#REF!,13,FALSE)</f>
        <v>#REF!</v>
      </c>
      <c r="AH388" s="2" t="e">
        <f>VLOOKUP(I388,#REF!,2,FALSE)</f>
        <v>#REF!</v>
      </c>
      <c r="AJ388" s="185" t="e">
        <f>VLOOKUP(H388,#REF!,3,FALSE)</f>
        <v>#REF!</v>
      </c>
      <c r="AK388" s="185"/>
      <c r="AL388" s="185" t="e">
        <f>VLOOKUP(H388,#REF!,13,FALSE)</f>
        <v>#REF!</v>
      </c>
      <c r="AM388" s="185" t="e">
        <f>VLOOKUP(CLEAN(H388),#REF!,7,FALSE)</f>
        <v>#REF!</v>
      </c>
      <c r="AN388" s="2" t="e">
        <f>VLOOKUP(H388,#REF!,8,FALSE)</f>
        <v>#REF!</v>
      </c>
      <c r="AO388" s="189" t="e">
        <f>VLOOKUP(H388,#REF!,2,FALSE)</f>
        <v>#REF!</v>
      </c>
      <c r="AP388" s="189" t="e">
        <f>VLOOKUP(H388,#REF!,2,FALSE)</f>
        <v>#REF!</v>
      </c>
      <c r="AQ388" s="189"/>
      <c r="AR388" s="2" t="e">
        <f>VLOOKUP(CLEAN(H388),#REF!,2,FALSE)</f>
        <v>#REF!</v>
      </c>
      <c r="AT388" s="2" t="e">
        <f>VLOOKUP(H388,#REF!,13,FALSE)</f>
        <v>#REF!</v>
      </c>
      <c r="AU388" s="2" t="e">
        <f>VLOOKUP(H388,#REF!,13,FALSE)</f>
        <v>#REF!</v>
      </c>
      <c r="AV388" s="2" t="e">
        <f>VLOOKUP(H388,#REF!,13,FALSE)</f>
        <v>#REF!</v>
      </c>
      <c r="AW388" s="2" t="e">
        <f>VLOOKUP(H388,#REF!,13,FALSE)</f>
        <v>#REF!</v>
      </c>
      <c r="AX388" s="2" t="e">
        <f>VLOOKUP(H388,#REF!,9,FALSE)</f>
        <v>#REF!</v>
      </c>
      <c r="AZ388" s="2" t="e">
        <f>VLOOKUP(H388,#REF!,2,FALSE)</f>
        <v>#REF!</v>
      </c>
      <c r="BF388" s="189" t="e">
        <f>VLOOKUP(CLEAN(H388),#REF!,2,FALSE)</f>
        <v>#REF!</v>
      </c>
      <c r="BG388" s="189" t="e">
        <f>T388-BF388</f>
        <v>#REF!</v>
      </c>
      <c r="BO388" s="2" t="e">
        <f>VLOOKUP(H388,#REF!,13,FALSE)</f>
        <v>#REF!</v>
      </c>
      <c r="BP388" s="2" t="e">
        <f>VLOOKUP(H388,#REF!,2,FALSE)</f>
        <v>#REF!</v>
      </c>
      <c r="BQ388" s="2" t="e">
        <f>VLOOKUP(H388,#REF!,13,FALSE)</f>
        <v>#REF!</v>
      </c>
      <c r="BR388" s="2" t="e">
        <f>VLOOKUP(H388,#REF!,3,FALSE)</f>
        <v>#REF!</v>
      </c>
    </row>
    <row r="389" spans="1:70" s="2" customFormat="1" ht="15" customHeight="1" outlineLevel="2">
      <c r="A389" s="5">
        <v>31</v>
      </c>
      <c r="B389" s="5" t="s">
        <v>54</v>
      </c>
      <c r="C389" s="5" t="s">
        <v>251</v>
      </c>
      <c r="D389" s="5" t="s">
        <v>22</v>
      </c>
      <c r="E389" s="5" t="s">
        <v>28</v>
      </c>
      <c r="F389" s="5" t="s">
        <v>457</v>
      </c>
      <c r="G389" s="5" t="s">
        <v>144</v>
      </c>
      <c r="H389" s="12">
        <v>30464833</v>
      </c>
      <c r="I389" s="42" t="str">
        <f t="shared" si="228"/>
        <v>30464833-EJECUCION</v>
      </c>
      <c r="J389" s="12"/>
      <c r="K389" s="307" t="str">
        <f t="shared" si="229"/>
        <v>30464833</v>
      </c>
      <c r="L389" s="15" t="s">
        <v>402</v>
      </c>
      <c r="M389" s="23">
        <v>547246000</v>
      </c>
      <c r="N389" s="34">
        <v>0</v>
      </c>
      <c r="O389" s="34">
        <f>124567846+12473000</f>
        <v>137040846</v>
      </c>
      <c r="P389" s="310">
        <v>0</v>
      </c>
      <c r="Q389" s="34">
        <v>0</v>
      </c>
      <c r="R389" s="308">
        <v>0</v>
      </c>
      <c r="S389" s="34">
        <f t="shared" si="230"/>
        <v>0</v>
      </c>
      <c r="T389" s="34">
        <v>0</v>
      </c>
      <c r="U389" s="34">
        <v>137040846</v>
      </c>
      <c r="V389" s="34">
        <f>P389+Q389+R389+T389+U389</f>
        <v>137040846</v>
      </c>
      <c r="W389" s="34">
        <f>O389-V389</f>
        <v>0</v>
      </c>
      <c r="X389" s="34">
        <f>M389-(N389+O389)</f>
        <v>410205154</v>
      </c>
      <c r="Y389" s="48" t="s">
        <v>239</v>
      </c>
      <c r="Z389" s="48" t="s">
        <v>10</v>
      </c>
      <c r="AA389" s="2" t="s">
        <v>843</v>
      </c>
      <c r="AB389" s="2" t="e">
        <f>VLOOKUP(H389,#REF!,2,FALSE)</f>
        <v>#REF!</v>
      </c>
      <c r="AC389" s="2" t="e">
        <f>VLOOKUP(I389,#REF!,2,FALSE)</f>
        <v>#REF!</v>
      </c>
      <c r="AD389" s="2" t="e">
        <f>VLOOKUP(H389,#REF!,13,FALSE)</f>
        <v>#REF!</v>
      </c>
      <c r="AE389" s="2" t="e">
        <f>VLOOKUP(I389,#REF!,7,FALSE)</f>
        <v>#REF!</v>
      </c>
      <c r="AG389" s="2" t="e">
        <f>VLOOKUP(H389,#REF!,13,FALSE)</f>
        <v>#REF!</v>
      </c>
      <c r="AH389" s="2" t="e">
        <f>VLOOKUP(I389,#REF!,2,FALSE)</f>
        <v>#REF!</v>
      </c>
      <c r="AJ389" s="2" t="e">
        <f>VLOOKUP(H389,#REF!,3,FALSE)</f>
        <v>#REF!</v>
      </c>
      <c r="AL389" s="2" t="e">
        <f>VLOOKUP(H389,#REF!,13,FALSE)</f>
        <v>#REF!</v>
      </c>
      <c r="AM389" s="2" t="e">
        <f>VLOOKUP(CLEAN(H389),#REF!,7,FALSE)</f>
        <v>#REF!</v>
      </c>
      <c r="AN389" s="2" t="e">
        <f>VLOOKUP(H389,#REF!,8,FALSE)</f>
        <v>#REF!</v>
      </c>
      <c r="AO389" s="189" t="e">
        <f>VLOOKUP(H389,#REF!,2,FALSE)</f>
        <v>#REF!</v>
      </c>
      <c r="AP389" s="189" t="e">
        <f>VLOOKUP(H389,#REF!,2,FALSE)</f>
        <v>#REF!</v>
      </c>
      <c r="AQ389" s="189"/>
      <c r="AR389" s="2" t="e">
        <f>VLOOKUP(CLEAN(H389),#REF!,2,FALSE)</f>
        <v>#REF!</v>
      </c>
      <c r="AT389" s="2" t="e">
        <f>VLOOKUP(H389,#REF!,13,FALSE)</f>
        <v>#REF!</v>
      </c>
      <c r="AU389" s="2" t="e">
        <f>VLOOKUP(H389,#REF!,13,FALSE)</f>
        <v>#REF!</v>
      </c>
      <c r="AV389" s="2" t="e">
        <f>VLOOKUP(H389,#REF!,13,FALSE)</f>
        <v>#REF!</v>
      </c>
      <c r="AW389" s="2" t="e">
        <f>VLOOKUP(H389,#REF!,13,FALSE)</f>
        <v>#REF!</v>
      </c>
      <c r="AX389" s="2" t="e">
        <f>VLOOKUP(H389,#REF!,9,FALSE)</f>
        <v>#REF!</v>
      </c>
      <c r="AZ389" s="189" t="e">
        <f>VLOOKUP(H389,#REF!,2,FALSE)</f>
        <v>#REF!</v>
      </c>
      <c r="BF389" s="189" t="e">
        <f>VLOOKUP(CLEAN(H389),#REF!,2,FALSE)</f>
        <v>#REF!</v>
      </c>
      <c r="BG389" s="189" t="e">
        <f>T389-BF389</f>
        <v>#REF!</v>
      </c>
      <c r="BO389" s="2" t="e">
        <f>VLOOKUP(H389,#REF!,13,FALSE)</f>
        <v>#REF!</v>
      </c>
      <c r="BP389" s="2" t="e">
        <f>VLOOKUP(H389,#REF!,2,FALSE)</f>
        <v>#REF!</v>
      </c>
      <c r="BQ389" s="2" t="e">
        <f>VLOOKUP(H389,#REF!,13,FALSE)</f>
        <v>#REF!</v>
      </c>
      <c r="BR389" s="2" t="e">
        <f>VLOOKUP(H389,#REF!,3,FALSE)</f>
        <v>#REF!</v>
      </c>
    </row>
    <row r="390" spans="1:70" s="2" customFormat="1" ht="15" customHeight="1" outlineLevel="2">
      <c r="A390" s="5">
        <v>31</v>
      </c>
      <c r="B390" s="5" t="s">
        <v>5</v>
      </c>
      <c r="C390" s="5" t="s">
        <v>251</v>
      </c>
      <c r="D390" s="5" t="s">
        <v>22</v>
      </c>
      <c r="E390" s="5" t="s">
        <v>28</v>
      </c>
      <c r="F390" s="5" t="s">
        <v>13</v>
      </c>
      <c r="G390" s="5" t="s">
        <v>144</v>
      </c>
      <c r="H390" s="12">
        <v>30103323</v>
      </c>
      <c r="I390" s="42" t="str">
        <f t="shared" si="228"/>
        <v>30103323-EJECUCION</v>
      </c>
      <c r="J390" s="12"/>
      <c r="K390" s="307" t="str">
        <f t="shared" si="229"/>
        <v>30103323</v>
      </c>
      <c r="L390" s="15" t="s">
        <v>272</v>
      </c>
      <c r="M390" s="23">
        <v>207019710</v>
      </c>
      <c r="N390" s="34">
        <v>99601553</v>
      </c>
      <c r="O390" s="34">
        <f>107418157-12852000-2677500-55000000</f>
        <v>36888657</v>
      </c>
      <c r="P390" s="310">
        <v>0</v>
      </c>
      <c r="Q390" s="34">
        <v>0</v>
      </c>
      <c r="R390" s="308">
        <v>0</v>
      </c>
      <c r="S390" s="34">
        <f t="shared" si="230"/>
        <v>0</v>
      </c>
      <c r="T390" s="34">
        <v>0</v>
      </c>
      <c r="U390" s="34">
        <v>0</v>
      </c>
      <c r="V390" s="34">
        <f>P390+Q390+R390+T390+U390</f>
        <v>0</v>
      </c>
      <c r="W390" s="34">
        <f>O390-V390</f>
        <v>36888657</v>
      </c>
      <c r="X390" s="34">
        <f>M390-(N390+O390)</f>
        <v>70529500</v>
      </c>
      <c r="Y390" s="48" t="s">
        <v>239</v>
      </c>
      <c r="Z390" s="48" t="s">
        <v>8</v>
      </c>
      <c r="AA390" s="2" t="s">
        <v>846</v>
      </c>
      <c r="AB390" s="2" t="e">
        <f>VLOOKUP(H390,#REF!,2,FALSE)</f>
        <v>#REF!</v>
      </c>
      <c r="AC390" s="2" t="e">
        <f>VLOOKUP(I390,#REF!,2,FALSE)</f>
        <v>#REF!</v>
      </c>
      <c r="AD390" s="2" t="e">
        <f>VLOOKUP(H390,#REF!,13,FALSE)</f>
        <v>#REF!</v>
      </c>
      <c r="AE390" s="2" t="e">
        <f>VLOOKUP(I390,#REF!,7,FALSE)</f>
        <v>#REF!</v>
      </c>
      <c r="AG390" s="2" t="e">
        <f>VLOOKUP(H390,#REF!,13,FALSE)</f>
        <v>#REF!</v>
      </c>
      <c r="AH390" s="2" t="e">
        <f>VLOOKUP(I390,#REF!,2,FALSE)</f>
        <v>#REF!</v>
      </c>
      <c r="AJ390" s="185" t="e">
        <f>VLOOKUP(H390,#REF!,3,FALSE)</f>
        <v>#REF!</v>
      </c>
      <c r="AK390" s="185"/>
      <c r="AL390" s="185" t="e">
        <f>VLOOKUP(H390,#REF!,13,FALSE)</f>
        <v>#REF!</v>
      </c>
      <c r="AM390" s="185" t="e">
        <f>VLOOKUP(CLEAN(H390),#REF!,7,FALSE)</f>
        <v>#REF!</v>
      </c>
      <c r="AN390" s="2" t="e">
        <f>VLOOKUP(H390,#REF!,8,FALSE)</f>
        <v>#REF!</v>
      </c>
      <c r="AO390" s="189" t="e">
        <f>VLOOKUP(H390,#REF!,2,FALSE)</f>
        <v>#REF!</v>
      </c>
      <c r="AP390" s="189" t="e">
        <f>VLOOKUP(H390,#REF!,2,FALSE)</f>
        <v>#REF!</v>
      </c>
      <c r="AQ390" s="189"/>
      <c r="AR390" s="2" t="e">
        <f>VLOOKUP(CLEAN(H390),#REF!,2,FALSE)</f>
        <v>#REF!</v>
      </c>
      <c r="AT390" s="2" t="e">
        <f>VLOOKUP(H390,#REF!,13,FALSE)</f>
        <v>#REF!</v>
      </c>
      <c r="AU390" s="2" t="e">
        <f>VLOOKUP(H390,#REF!,13,FALSE)</f>
        <v>#REF!</v>
      </c>
      <c r="AV390" s="2" t="e">
        <f>VLOOKUP(H390,#REF!,13,FALSE)</f>
        <v>#REF!</v>
      </c>
      <c r="AW390" s="2" t="e">
        <f>VLOOKUP(H390,#REF!,13,FALSE)</f>
        <v>#REF!</v>
      </c>
      <c r="AX390" s="2" t="e">
        <f>VLOOKUP(H390,#REF!,9,FALSE)</f>
        <v>#REF!</v>
      </c>
      <c r="AZ390" s="2" t="e">
        <f>VLOOKUP(H390,#REF!,2,FALSE)</f>
        <v>#REF!</v>
      </c>
      <c r="BF390" s="189" t="e">
        <f>VLOOKUP(CLEAN(H390),#REF!,2,FALSE)</f>
        <v>#REF!</v>
      </c>
      <c r="BG390" s="189" t="e">
        <f>T390-BF390</f>
        <v>#REF!</v>
      </c>
      <c r="BO390" s="2" t="e">
        <f>VLOOKUP(H390,#REF!,13,FALSE)</f>
        <v>#REF!</v>
      </c>
      <c r="BP390" s="2" t="e">
        <f>VLOOKUP(H390,#REF!,2,FALSE)</f>
        <v>#REF!</v>
      </c>
      <c r="BQ390" s="2" t="e">
        <f>VLOOKUP(H390,#REF!,13,FALSE)</f>
        <v>#REF!</v>
      </c>
      <c r="BR390" s="2" t="e">
        <f>VLOOKUP(H390,#REF!,3,FALSE)</f>
        <v>#REF!</v>
      </c>
    </row>
    <row r="391" spans="1:70" ht="15" customHeight="1" outlineLevel="2">
      <c r="A391" s="7"/>
      <c r="B391" s="7"/>
      <c r="C391" s="7"/>
      <c r="D391" s="7"/>
      <c r="E391" s="7"/>
      <c r="F391" s="7"/>
      <c r="G391" s="7"/>
      <c r="H391" s="11"/>
      <c r="I391" s="11"/>
      <c r="J391" s="11"/>
      <c r="K391" s="11"/>
      <c r="L391" s="17" t="s">
        <v>691</v>
      </c>
      <c r="M391" s="27">
        <f t="shared" ref="M391:X391" si="232">SUBTOTAL(9,M386:M390)</f>
        <v>4217646805</v>
      </c>
      <c r="N391" s="27">
        <f t="shared" si="232"/>
        <v>2628260199</v>
      </c>
      <c r="O391" s="27">
        <f t="shared" si="232"/>
        <v>711613003</v>
      </c>
      <c r="P391" s="24">
        <f t="shared" si="232"/>
        <v>25410198</v>
      </c>
      <c r="Q391" s="24">
        <f t="shared" si="232"/>
        <v>25833013</v>
      </c>
      <c r="R391" s="24">
        <f t="shared" si="232"/>
        <v>30742366</v>
      </c>
      <c r="S391" s="27">
        <f t="shared" si="232"/>
        <v>81985577</v>
      </c>
      <c r="T391" s="27">
        <f t="shared" si="232"/>
        <v>51531531</v>
      </c>
      <c r="U391" s="27">
        <f t="shared" si="232"/>
        <v>168610207</v>
      </c>
      <c r="V391" s="27">
        <f t="shared" si="232"/>
        <v>302127315</v>
      </c>
      <c r="W391" s="27">
        <f t="shared" si="232"/>
        <v>409485688</v>
      </c>
      <c r="X391" s="27">
        <f t="shared" si="232"/>
        <v>877773603</v>
      </c>
      <c r="Y391" s="47"/>
      <c r="Z391" s="47"/>
      <c r="AM391" s="185" t="e">
        <f>VLOOKUP(CLEAN(H391),#REF!,7,FALSE)</f>
        <v>#REF!</v>
      </c>
      <c r="AO391"/>
      <c r="AP391"/>
      <c r="AQ391"/>
      <c r="AR391" s="2" t="e">
        <f>VLOOKUP(CLEAN(H391),#REF!,2,FALSE)</f>
        <v>#REF!</v>
      </c>
      <c r="AZ391" s="2" t="e">
        <f>VLOOKUP(H391,#REF!,2,FALSE)</f>
        <v>#REF!</v>
      </c>
      <c r="BO391" s="2" t="e">
        <f>VLOOKUP(H391,#REF!,13,FALSE)</f>
        <v>#REF!</v>
      </c>
      <c r="BQ391" s="2" t="e">
        <f>VLOOKUP(H391,#REF!,13,FALSE)</f>
        <v>#REF!</v>
      </c>
    </row>
    <row r="392" spans="1:70" ht="15" customHeight="1" outlineLevel="2">
      <c r="A392" s="7"/>
      <c r="B392" s="7"/>
      <c r="C392" s="7"/>
      <c r="D392" s="7"/>
      <c r="E392" s="7"/>
      <c r="F392" s="7"/>
      <c r="G392" s="7"/>
      <c r="H392" s="11"/>
      <c r="I392" s="11"/>
      <c r="J392" s="11"/>
      <c r="K392" s="11"/>
      <c r="L392" s="292"/>
      <c r="M392" s="22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47"/>
      <c r="Z392" s="47"/>
      <c r="AM392" s="185" t="e">
        <f>VLOOKUP(CLEAN(H392),#REF!,7,FALSE)</f>
        <v>#REF!</v>
      </c>
      <c r="AO392"/>
      <c r="AP392"/>
      <c r="AQ392"/>
      <c r="AR392" s="2" t="e">
        <f>VLOOKUP(CLEAN(H392),#REF!,2,FALSE)</f>
        <v>#REF!</v>
      </c>
      <c r="AZ392" s="2" t="e">
        <f>VLOOKUP(H392,#REF!,2,FALSE)</f>
        <v>#REF!</v>
      </c>
      <c r="BO392" s="2" t="e">
        <f>VLOOKUP(H392,#REF!,13,FALSE)</f>
        <v>#REF!</v>
      </c>
      <c r="BP392" s="293"/>
      <c r="BQ392" s="2" t="e">
        <f>VLOOKUP(H392,#REF!,13,FALSE)</f>
        <v>#REF!</v>
      </c>
    </row>
    <row r="393" spans="1:70" ht="15" customHeight="1" outlineLevel="2">
      <c r="A393" s="7"/>
      <c r="B393" s="7"/>
      <c r="C393" s="7"/>
      <c r="D393" s="7"/>
      <c r="E393" s="7"/>
      <c r="F393" s="7"/>
      <c r="G393" s="7"/>
      <c r="H393" s="11"/>
      <c r="I393" s="11"/>
      <c r="J393" s="11"/>
      <c r="K393" s="11"/>
      <c r="L393" s="18" t="s">
        <v>698</v>
      </c>
      <c r="M393" s="22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47"/>
      <c r="Z393" s="47"/>
      <c r="AO393"/>
      <c r="AP393"/>
      <c r="AQ393"/>
      <c r="AR393" s="2"/>
      <c r="AZ393" s="2" t="e">
        <f>VLOOKUP(H393,#REF!,2,FALSE)</f>
        <v>#REF!</v>
      </c>
      <c r="BO393" s="2" t="e">
        <f>VLOOKUP(H393,#REF!,13,FALSE)</f>
        <v>#REF!</v>
      </c>
      <c r="BQ393" s="2" t="e">
        <f>VLOOKUP(H393,#REF!,13,FALSE)</f>
        <v>#REF!</v>
      </c>
    </row>
    <row r="394" spans="1:70" s="2" customFormat="1" ht="15" customHeight="1" outlineLevel="2">
      <c r="A394" s="5">
        <v>29</v>
      </c>
      <c r="B394" s="5" t="s">
        <v>11</v>
      </c>
      <c r="C394" s="5" t="s">
        <v>242</v>
      </c>
      <c r="D394" s="5" t="s">
        <v>22</v>
      </c>
      <c r="E394" s="5" t="s">
        <v>28</v>
      </c>
      <c r="F394" s="5" t="s">
        <v>457</v>
      </c>
      <c r="G394" s="5" t="s">
        <v>144</v>
      </c>
      <c r="H394" s="12">
        <v>30482544</v>
      </c>
      <c r="I394" s="42" t="str">
        <f>CONCATENATE(H394,"-",G394)</f>
        <v>30482544-EJECUCION</v>
      </c>
      <c r="J394" s="12"/>
      <c r="K394" s="307" t="str">
        <f>CLEAN(H394)</f>
        <v>30482544</v>
      </c>
      <c r="L394" s="15" t="s">
        <v>393</v>
      </c>
      <c r="M394" s="23">
        <v>192302000</v>
      </c>
      <c r="N394" s="34">
        <v>0</v>
      </c>
      <c r="O394" s="34">
        <v>192302000</v>
      </c>
      <c r="P394" s="310">
        <v>0</v>
      </c>
      <c r="Q394" s="34">
        <v>0</v>
      </c>
      <c r="R394" s="308">
        <v>0</v>
      </c>
      <c r="S394" s="34">
        <f>P394+Q394+R394</f>
        <v>0</v>
      </c>
      <c r="T394" s="34">
        <v>0</v>
      </c>
      <c r="U394" s="34">
        <v>0</v>
      </c>
      <c r="V394" s="34">
        <f>P394+Q394+R394+T394+U394</f>
        <v>0</v>
      </c>
      <c r="W394" s="34">
        <f>O394-V394</f>
        <v>192302000</v>
      </c>
      <c r="X394" s="34">
        <f>M394-(N394+O394)</f>
        <v>0</v>
      </c>
      <c r="Y394" s="48" t="s">
        <v>649</v>
      </c>
      <c r="Z394" s="48" t="s">
        <v>10</v>
      </c>
      <c r="AA394" s="2" t="e">
        <v>#N/A</v>
      </c>
      <c r="AB394" s="2" t="e">
        <f>VLOOKUP(H394,#REF!,2,FALSE)</f>
        <v>#REF!</v>
      </c>
      <c r="AC394" s="2" t="e">
        <f>VLOOKUP(I394,#REF!,2,FALSE)</f>
        <v>#REF!</v>
      </c>
      <c r="AD394" s="2" t="e">
        <f>VLOOKUP(H394,#REF!,13,FALSE)</f>
        <v>#REF!</v>
      </c>
      <c r="AE394" s="2" t="e">
        <f>VLOOKUP(I394,#REF!,7,FALSE)</f>
        <v>#REF!</v>
      </c>
      <c r="AG394" s="2" t="e">
        <f>VLOOKUP(H394,#REF!,13,FALSE)</f>
        <v>#REF!</v>
      </c>
      <c r="AH394" s="2" t="e">
        <f>VLOOKUP(I394,#REF!,2,FALSE)</f>
        <v>#REF!</v>
      </c>
      <c r="AJ394" s="185" t="e">
        <f>VLOOKUP(H394,#REF!,3,FALSE)</f>
        <v>#REF!</v>
      </c>
      <c r="AK394" s="185"/>
      <c r="AL394" s="185" t="e">
        <f>VLOOKUP(H394,#REF!,13,FALSE)</f>
        <v>#REF!</v>
      </c>
      <c r="AM394" s="185" t="e">
        <f>VLOOKUP(CLEAN(H394),#REF!,7,FALSE)</f>
        <v>#REF!</v>
      </c>
      <c r="AN394" s="2" t="e">
        <f>VLOOKUP(H394,#REF!,8,FALSE)</f>
        <v>#REF!</v>
      </c>
      <c r="AO394" s="189" t="e">
        <f>VLOOKUP(H394,#REF!,2,FALSE)</f>
        <v>#REF!</v>
      </c>
      <c r="AP394" s="189" t="e">
        <f>VLOOKUP(H394,#REF!,2,FALSE)</f>
        <v>#REF!</v>
      </c>
      <c r="AQ394" s="189"/>
      <c r="AR394" s="2" t="e">
        <f>VLOOKUP(CLEAN(H394),#REF!,2,FALSE)</f>
        <v>#REF!</v>
      </c>
      <c r="AT394" s="2" t="e">
        <f>VLOOKUP(H394,#REF!,13,FALSE)</f>
        <v>#REF!</v>
      </c>
      <c r="AU394" s="2" t="e">
        <f>VLOOKUP(H394,#REF!,13,FALSE)</f>
        <v>#REF!</v>
      </c>
      <c r="AV394" s="2" t="e">
        <f>VLOOKUP(H394,#REF!,13,FALSE)</f>
        <v>#REF!</v>
      </c>
      <c r="AW394" s="2" t="e">
        <f>VLOOKUP(H394,#REF!,13,FALSE)</f>
        <v>#REF!</v>
      </c>
      <c r="AX394" s="2" t="e">
        <f>VLOOKUP(H394,#REF!,9,FALSE)</f>
        <v>#REF!</v>
      </c>
      <c r="AY394" s="2" t="s">
        <v>649</v>
      </c>
      <c r="AZ394" s="189" t="e">
        <f>VLOOKUP(H394,#REF!,2,FALSE)</f>
        <v>#REF!</v>
      </c>
      <c r="BF394" s="189" t="e">
        <f>VLOOKUP(CLEAN(H394),#REF!,2,FALSE)</f>
        <v>#REF!</v>
      </c>
      <c r="BG394" s="189" t="e">
        <f>T394-BF394</f>
        <v>#REF!</v>
      </c>
      <c r="BO394" s="2" t="e">
        <f>VLOOKUP(H394,#REF!,13,FALSE)</f>
        <v>#REF!</v>
      </c>
      <c r="BP394" s="2" t="e">
        <f>VLOOKUP(H394,#REF!,2,FALSE)</f>
        <v>#REF!</v>
      </c>
      <c r="BQ394" s="2" t="e">
        <f>VLOOKUP(H394,#REF!,13,FALSE)</f>
        <v>#REF!</v>
      </c>
      <c r="BR394" s="2" t="e">
        <f>VLOOKUP(H394,#REF!,3,FALSE)</f>
        <v>#REF!</v>
      </c>
    </row>
    <row r="395" spans="1:70" ht="15" customHeight="1" outlineLevel="2">
      <c r="A395" s="7"/>
      <c r="B395" s="7"/>
      <c r="C395" s="7"/>
      <c r="D395" s="7"/>
      <c r="E395" s="7"/>
      <c r="F395" s="7"/>
      <c r="G395" s="7"/>
      <c r="H395" s="11"/>
      <c r="I395" s="11"/>
      <c r="J395" s="11"/>
      <c r="K395" s="11"/>
      <c r="L395" s="17" t="s">
        <v>692</v>
      </c>
      <c r="M395" s="27">
        <f>SUBTOTAL(9,M394)</f>
        <v>192302000</v>
      </c>
      <c r="N395" s="27">
        <f t="shared" ref="N395:O395" si="233">SUBTOTAL(9,N394)</f>
        <v>0</v>
      </c>
      <c r="O395" s="27">
        <f t="shared" si="233"/>
        <v>192302000</v>
      </c>
      <c r="P395" s="24">
        <f t="shared" ref="P395:X395" si="234">SUBTOTAL(9,P394)</f>
        <v>0</v>
      </c>
      <c r="Q395" s="24">
        <f t="shared" si="234"/>
        <v>0</v>
      </c>
      <c r="R395" s="24">
        <f t="shared" si="234"/>
        <v>0</v>
      </c>
      <c r="S395" s="27">
        <f t="shared" si="234"/>
        <v>0</v>
      </c>
      <c r="T395" s="27">
        <f t="shared" si="234"/>
        <v>0</v>
      </c>
      <c r="U395" s="27">
        <f t="shared" si="234"/>
        <v>0</v>
      </c>
      <c r="V395" s="27">
        <f t="shared" si="234"/>
        <v>0</v>
      </c>
      <c r="W395" s="27">
        <f t="shared" si="234"/>
        <v>192302000</v>
      </c>
      <c r="X395" s="27">
        <f t="shared" si="234"/>
        <v>0</v>
      </c>
      <c r="Y395" s="47"/>
      <c r="Z395" s="47"/>
      <c r="AO395"/>
      <c r="AP395"/>
      <c r="AQ395"/>
      <c r="AR395" s="2"/>
      <c r="AZ395" s="2" t="e">
        <f>VLOOKUP(H395,#REF!,2,FALSE)</f>
        <v>#REF!</v>
      </c>
      <c r="BO395" s="2" t="e">
        <f>VLOOKUP(H395,#REF!,13,FALSE)</f>
        <v>#REF!</v>
      </c>
      <c r="BQ395" s="2" t="e">
        <f>VLOOKUP(H395,#REF!,13,FALSE)</f>
        <v>#REF!</v>
      </c>
    </row>
    <row r="396" spans="1:70" ht="15" customHeight="1" outlineLevel="2">
      <c r="A396" s="7"/>
      <c r="B396" s="7"/>
      <c r="C396" s="7"/>
      <c r="D396" s="7"/>
      <c r="E396" s="7"/>
      <c r="F396" s="7"/>
      <c r="G396" s="7"/>
      <c r="H396" s="11"/>
      <c r="I396" s="11"/>
      <c r="J396" s="11"/>
      <c r="K396" s="11"/>
      <c r="L396" s="292"/>
      <c r="M396" s="22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47"/>
      <c r="Z396" s="47"/>
      <c r="AO396"/>
      <c r="AP396"/>
      <c r="AQ396"/>
      <c r="AR396" s="2"/>
      <c r="AZ396" s="2" t="e">
        <f>VLOOKUP(H396,#REF!,2,FALSE)</f>
        <v>#REF!</v>
      </c>
      <c r="BO396" s="2" t="e">
        <f>VLOOKUP(H396,#REF!,13,FALSE)</f>
        <v>#REF!</v>
      </c>
      <c r="BP396" s="293"/>
      <c r="BQ396" s="2" t="e">
        <f>VLOOKUP(H396,#REF!,13,FALSE)</f>
        <v>#REF!</v>
      </c>
    </row>
    <row r="397" spans="1:70" ht="15" customHeight="1" outlineLevel="2">
      <c r="A397" s="7"/>
      <c r="B397" s="7"/>
      <c r="C397" s="7"/>
      <c r="D397" s="7"/>
      <c r="E397" s="7"/>
      <c r="F397" s="7"/>
      <c r="G397" s="7"/>
      <c r="H397" s="11"/>
      <c r="I397" s="11"/>
      <c r="J397" s="11"/>
      <c r="K397" s="11"/>
      <c r="L397" s="18" t="s">
        <v>701</v>
      </c>
      <c r="M397" s="22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47"/>
      <c r="Z397" s="47"/>
      <c r="AM397" s="185" t="e">
        <f>VLOOKUP(CLEAN(H397),#REF!,7,FALSE)</f>
        <v>#REF!</v>
      </c>
      <c r="AO397"/>
      <c r="AP397"/>
      <c r="AQ397"/>
      <c r="AR397" s="2" t="e">
        <f>VLOOKUP(CLEAN(H397),#REF!,2,FALSE)</f>
        <v>#REF!</v>
      </c>
      <c r="AZ397" s="2" t="e">
        <f>VLOOKUP(H397,#REF!,2,FALSE)</f>
        <v>#REF!</v>
      </c>
      <c r="BO397" s="2" t="e">
        <f>VLOOKUP(H397,#REF!,13,FALSE)</f>
        <v>#REF!</v>
      </c>
      <c r="BQ397" s="2" t="e">
        <f>VLOOKUP(H397,#REF!,13,FALSE)</f>
        <v>#REF!</v>
      </c>
    </row>
    <row r="398" spans="1:70" s="2" customFormat="1" ht="15" customHeight="1" outlineLevel="2">
      <c r="A398" s="5">
        <v>29</v>
      </c>
      <c r="B398" s="5" t="s">
        <v>11</v>
      </c>
      <c r="C398" s="5" t="s">
        <v>251</v>
      </c>
      <c r="D398" s="5" t="s">
        <v>22</v>
      </c>
      <c r="E398" s="5" t="s">
        <v>28</v>
      </c>
      <c r="F398" s="5" t="s">
        <v>457</v>
      </c>
      <c r="G398" s="5" t="s">
        <v>144</v>
      </c>
      <c r="H398" s="12">
        <v>30427424</v>
      </c>
      <c r="I398" s="311" t="str">
        <f t="shared" ref="I398:I404" si="235">CONCATENATE(H398,"-",G398)</f>
        <v>30427424-EJECUCION</v>
      </c>
      <c r="J398" s="190"/>
      <c r="K398" s="309" t="str">
        <f t="shared" ref="K398:K404" si="236">CLEAN(H398)</f>
        <v>30427424</v>
      </c>
      <c r="L398" s="15" t="s">
        <v>394</v>
      </c>
      <c r="M398" s="23">
        <v>65441000</v>
      </c>
      <c r="N398" s="34">
        <v>0</v>
      </c>
      <c r="O398" s="34">
        <v>52270986</v>
      </c>
      <c r="P398" s="310">
        <v>0</v>
      </c>
      <c r="Q398" s="34">
        <v>0</v>
      </c>
      <c r="R398" s="308">
        <v>0</v>
      </c>
      <c r="S398" s="34">
        <f t="shared" ref="S398:S404" si="237">P398+Q398+R398</f>
        <v>0</v>
      </c>
      <c r="T398" s="34">
        <v>0</v>
      </c>
      <c r="U398" s="34">
        <v>0</v>
      </c>
      <c r="V398" s="34">
        <f>P398+Q398+R398+T398+U398</f>
        <v>0</v>
      </c>
      <c r="W398" s="34">
        <f>O398-V398</f>
        <v>52270986</v>
      </c>
      <c r="X398" s="34">
        <f>M398-(N398+O398)</f>
        <v>13170014</v>
      </c>
      <c r="Y398" s="48" t="s">
        <v>243</v>
      </c>
      <c r="Z398" s="48" t="s">
        <v>10</v>
      </c>
      <c r="AA398" s="2" t="e">
        <v>#N/A</v>
      </c>
      <c r="AB398" s="2" t="e">
        <f>VLOOKUP(H398,#REF!,2,FALSE)</f>
        <v>#REF!</v>
      </c>
      <c r="AC398" s="2" t="e">
        <f>VLOOKUP(I398,#REF!,2,FALSE)</f>
        <v>#REF!</v>
      </c>
      <c r="AD398" s="2" t="e">
        <f>VLOOKUP(H398,#REF!,13,FALSE)</f>
        <v>#REF!</v>
      </c>
      <c r="AE398" s="2" t="e">
        <f>VLOOKUP(I398,#REF!,7,FALSE)</f>
        <v>#REF!</v>
      </c>
      <c r="AG398" s="2" t="e">
        <f>VLOOKUP(H398,#REF!,13,FALSE)</f>
        <v>#REF!</v>
      </c>
      <c r="AH398" s="2" t="e">
        <f>VLOOKUP(I398,#REF!,2,FALSE)</f>
        <v>#REF!</v>
      </c>
      <c r="AJ398" s="185" t="e">
        <f>VLOOKUP(H398,#REF!,3,FALSE)</f>
        <v>#REF!</v>
      </c>
      <c r="AK398" s="185"/>
      <c r="AL398" s="185" t="e">
        <f>VLOOKUP(H398,#REF!,13,FALSE)</f>
        <v>#REF!</v>
      </c>
      <c r="AM398" s="185" t="e">
        <f>VLOOKUP(CLEAN(H398),#REF!,7,FALSE)</f>
        <v>#REF!</v>
      </c>
      <c r="AN398" s="2" t="e">
        <f>VLOOKUP(H398,#REF!,8,FALSE)</f>
        <v>#REF!</v>
      </c>
      <c r="AO398" s="189" t="e">
        <f>VLOOKUP(H398,#REF!,2,FALSE)</f>
        <v>#REF!</v>
      </c>
      <c r="AP398" s="189" t="e">
        <f>VLOOKUP(H398,#REF!,2,FALSE)</f>
        <v>#REF!</v>
      </c>
      <c r="AQ398" s="189"/>
      <c r="AR398" s="2" t="e">
        <f>VLOOKUP(CLEAN(H398),#REF!,2,FALSE)</f>
        <v>#REF!</v>
      </c>
      <c r="AT398" s="2" t="e">
        <f>VLOOKUP(H398,#REF!,13,FALSE)</f>
        <v>#REF!</v>
      </c>
      <c r="AU398" s="2" t="e">
        <f>VLOOKUP(H398,#REF!,13,FALSE)</f>
        <v>#REF!</v>
      </c>
      <c r="AV398" s="2" t="e">
        <f>VLOOKUP(H398,#REF!,13,FALSE)</f>
        <v>#REF!</v>
      </c>
      <c r="AW398" s="2" t="e">
        <f>VLOOKUP(H398,#REF!,13,FALSE)</f>
        <v>#REF!</v>
      </c>
      <c r="AX398" s="2" t="e">
        <f>VLOOKUP(H398,#REF!,9,FALSE)</f>
        <v>#REF!</v>
      </c>
      <c r="AY398" s="2" t="e">
        <f>VLOOKUP(H398,#REF!,2,FALSE)</f>
        <v>#REF!</v>
      </c>
      <c r="AZ398" s="189" t="e">
        <f>VLOOKUP(H398,#REF!,2,FALSE)</f>
        <v>#REF!</v>
      </c>
      <c r="BF398" s="189" t="e">
        <f>VLOOKUP(CLEAN(H398),#REF!,2,FALSE)</f>
        <v>#REF!</v>
      </c>
      <c r="BG398" s="189" t="e">
        <f>T398-BF398</f>
        <v>#REF!</v>
      </c>
      <c r="BO398" s="2" t="e">
        <f>VLOOKUP(H398,#REF!,13,FALSE)</f>
        <v>#REF!</v>
      </c>
      <c r="BP398" s="2" t="e">
        <f>VLOOKUP(H398,#REF!,2,FALSE)</f>
        <v>#REF!</v>
      </c>
      <c r="BQ398" s="2" t="e">
        <f>VLOOKUP(H398,#REF!,13,FALSE)</f>
        <v>#REF!</v>
      </c>
      <c r="BR398" s="2" t="e">
        <f>VLOOKUP(H398,#REF!,3,FALSE)</f>
        <v>#REF!</v>
      </c>
    </row>
    <row r="399" spans="1:70" s="2" customFormat="1" ht="15" customHeight="1" outlineLevel="2">
      <c r="A399" s="5">
        <v>29</v>
      </c>
      <c r="B399" s="5" t="s">
        <v>11</v>
      </c>
      <c r="C399" s="5" t="s">
        <v>251</v>
      </c>
      <c r="D399" s="5" t="s">
        <v>22</v>
      </c>
      <c r="E399" s="5" t="s">
        <v>28</v>
      </c>
      <c r="F399" s="5" t="s">
        <v>457</v>
      </c>
      <c r="G399" s="5" t="s">
        <v>144</v>
      </c>
      <c r="H399" s="12">
        <v>30427472</v>
      </c>
      <c r="I399" s="311" t="str">
        <f t="shared" si="235"/>
        <v>30427472-EJECUCION</v>
      </c>
      <c r="J399" s="190"/>
      <c r="K399" s="309" t="str">
        <f t="shared" si="236"/>
        <v>30427472</v>
      </c>
      <c r="L399" s="15" t="s">
        <v>403</v>
      </c>
      <c r="M399" s="23">
        <v>123418000</v>
      </c>
      <c r="N399" s="34">
        <v>0</v>
      </c>
      <c r="O399" s="34">
        <v>117485000</v>
      </c>
      <c r="P399" s="310">
        <v>0</v>
      </c>
      <c r="Q399" s="34">
        <v>0</v>
      </c>
      <c r="R399" s="308">
        <v>0</v>
      </c>
      <c r="S399" s="34">
        <f t="shared" si="237"/>
        <v>0</v>
      </c>
      <c r="T399" s="34">
        <v>0</v>
      </c>
      <c r="U399" s="34">
        <v>0</v>
      </c>
      <c r="V399" s="34">
        <f>P399+Q399+R399+T399+U399</f>
        <v>0</v>
      </c>
      <c r="W399" s="34">
        <f>O399-V399</f>
        <v>117485000</v>
      </c>
      <c r="X399" s="34">
        <f>M399-(N399+O399)</f>
        <v>5933000</v>
      </c>
      <c r="Y399" s="48" t="s">
        <v>243</v>
      </c>
      <c r="Z399" s="48" t="s">
        <v>10</v>
      </c>
      <c r="AA399" s="2" t="e">
        <v>#N/A</v>
      </c>
      <c r="AB399" s="2" t="e">
        <f>VLOOKUP(H399,#REF!,2,FALSE)</f>
        <v>#REF!</v>
      </c>
      <c r="AC399" s="2" t="e">
        <f>VLOOKUP(I399,#REF!,2,FALSE)</f>
        <v>#REF!</v>
      </c>
      <c r="AD399" s="2" t="e">
        <f>VLOOKUP(H399,#REF!,13,FALSE)</f>
        <v>#REF!</v>
      </c>
      <c r="AE399" s="2" t="e">
        <f>VLOOKUP(I399,#REF!,7,FALSE)</f>
        <v>#REF!</v>
      </c>
      <c r="AG399" s="2" t="e">
        <f>VLOOKUP(H399,#REF!,13,FALSE)</f>
        <v>#REF!</v>
      </c>
      <c r="AH399" s="2" t="e">
        <f>VLOOKUP(I399,#REF!,2,FALSE)</f>
        <v>#REF!</v>
      </c>
      <c r="AJ399" s="185" t="e">
        <f>VLOOKUP(H399,#REF!,3,FALSE)</f>
        <v>#REF!</v>
      </c>
      <c r="AK399" s="185"/>
      <c r="AL399" s="185" t="e">
        <f>VLOOKUP(H399,#REF!,13,FALSE)</f>
        <v>#REF!</v>
      </c>
      <c r="AM399" s="185" t="e">
        <f>VLOOKUP(CLEAN(H399),#REF!,7,FALSE)</f>
        <v>#REF!</v>
      </c>
      <c r="AN399" s="2" t="e">
        <f>VLOOKUP(H399,#REF!,8,FALSE)</f>
        <v>#REF!</v>
      </c>
      <c r="AO399" s="189" t="e">
        <f>VLOOKUP(H399,#REF!,2,FALSE)</f>
        <v>#REF!</v>
      </c>
      <c r="AP399" s="189" t="e">
        <f>VLOOKUP(H399,#REF!,2,FALSE)</f>
        <v>#REF!</v>
      </c>
      <c r="AQ399" s="189"/>
      <c r="AR399" s="2" t="e">
        <f>VLOOKUP(CLEAN(H399),#REF!,2,FALSE)</f>
        <v>#REF!</v>
      </c>
      <c r="AT399" s="2" t="e">
        <f>VLOOKUP(H399,#REF!,13,FALSE)</f>
        <v>#REF!</v>
      </c>
      <c r="AU399" s="2" t="e">
        <f>VLOOKUP(H399,#REF!,13,FALSE)</f>
        <v>#REF!</v>
      </c>
      <c r="AV399" s="2" t="e">
        <f>VLOOKUP(H399,#REF!,13,FALSE)</f>
        <v>#REF!</v>
      </c>
      <c r="AW399" s="2" t="e">
        <f>VLOOKUP(H399,#REF!,13,FALSE)</f>
        <v>#REF!</v>
      </c>
      <c r="AX399" s="2" t="e">
        <f>VLOOKUP(H399,#REF!,9,FALSE)</f>
        <v>#REF!</v>
      </c>
      <c r="AY399" s="2" t="e">
        <f>VLOOKUP(H399,#REF!,2,FALSE)</f>
        <v>#REF!</v>
      </c>
      <c r="AZ399" s="189" t="e">
        <f>VLOOKUP(H399,#REF!,2,FALSE)</f>
        <v>#REF!</v>
      </c>
      <c r="BF399" s="189" t="e">
        <f>VLOOKUP(CLEAN(H399),#REF!,2,FALSE)</f>
        <v>#REF!</v>
      </c>
      <c r="BG399" s="189" t="e">
        <f>T399-BF399</f>
        <v>#REF!</v>
      </c>
      <c r="BO399" s="2" t="e">
        <f>VLOOKUP(H399,#REF!,13,FALSE)</f>
        <v>#REF!</v>
      </c>
      <c r="BP399" s="2" t="e">
        <f>VLOOKUP(H399,#REF!,2,FALSE)</f>
        <v>#REF!</v>
      </c>
      <c r="BQ399" s="2" t="e">
        <f>VLOOKUP(H399,#REF!,13,FALSE)</f>
        <v>#REF!</v>
      </c>
      <c r="BR399" s="2" t="e">
        <f>VLOOKUP(H399,#REF!,3,FALSE)</f>
        <v>#REF!</v>
      </c>
    </row>
    <row r="400" spans="1:70" s="2" customFormat="1" ht="15" customHeight="1" outlineLevel="2">
      <c r="A400" s="5">
        <v>29</v>
      </c>
      <c r="B400" s="5" t="s">
        <v>11</v>
      </c>
      <c r="C400" s="5" t="s">
        <v>241</v>
      </c>
      <c r="D400" s="5" t="s">
        <v>22</v>
      </c>
      <c r="E400" s="5" t="s">
        <v>28</v>
      </c>
      <c r="F400" s="5" t="s">
        <v>457</v>
      </c>
      <c r="G400" s="5" t="s">
        <v>144</v>
      </c>
      <c r="H400" s="12">
        <v>30220122</v>
      </c>
      <c r="I400" s="311" t="str">
        <f>CONCATENATE(H400,"-",G400)</f>
        <v>30220122-EJECUCION</v>
      </c>
      <c r="J400" s="190"/>
      <c r="K400" s="309" t="str">
        <f>CLEAN(H400)</f>
        <v>30220122</v>
      </c>
      <c r="L400" s="15" t="s">
        <v>812</v>
      </c>
      <c r="M400" s="23">
        <v>377417000</v>
      </c>
      <c r="N400" s="34">
        <v>0</v>
      </c>
      <c r="O400" s="34">
        <v>377417000</v>
      </c>
      <c r="P400" s="310">
        <v>0</v>
      </c>
      <c r="Q400" s="34">
        <v>0</v>
      </c>
      <c r="R400" s="308">
        <v>0</v>
      </c>
      <c r="S400" s="34">
        <f t="shared" si="237"/>
        <v>0</v>
      </c>
      <c r="T400" s="34">
        <v>0</v>
      </c>
      <c r="U400" s="34">
        <v>0</v>
      </c>
      <c r="V400" s="34">
        <f>P400+Q400+R400+T400+U400</f>
        <v>0</v>
      </c>
      <c r="W400" s="34">
        <f>O400-V400</f>
        <v>377417000</v>
      </c>
      <c r="X400" s="34">
        <f>M400-(N400+O400)</f>
        <v>0</v>
      </c>
      <c r="Y400" s="48" t="s">
        <v>460</v>
      </c>
      <c r="Z400" s="48" t="s">
        <v>10</v>
      </c>
      <c r="AA400" s="2" t="e">
        <v>#N/A</v>
      </c>
      <c r="AB400" s="2" t="e">
        <f>VLOOKUP(H400,#REF!,2,FALSE)</f>
        <v>#REF!</v>
      </c>
      <c r="AJ400" s="185"/>
      <c r="AK400" s="185"/>
      <c r="AL400" s="185"/>
      <c r="AM400" s="185"/>
      <c r="AN400" s="2" t="e">
        <f>VLOOKUP(H400,#REF!,8,FALSE)</f>
        <v>#REF!</v>
      </c>
      <c r="AO400" s="189" t="e">
        <f>VLOOKUP(H400,#REF!,2,FALSE)</f>
        <v>#REF!</v>
      </c>
      <c r="AP400" s="189" t="e">
        <f>VLOOKUP(H400,#REF!,2,FALSE)</f>
        <v>#REF!</v>
      </c>
      <c r="AQ400" s="189"/>
      <c r="AR400" s="2" t="e">
        <f>VLOOKUP(CLEAN(H400),#REF!,2,FALSE)</f>
        <v>#REF!</v>
      </c>
      <c r="AT400" s="2" t="e">
        <f>VLOOKUP(H400,#REF!,13,FALSE)</f>
        <v>#REF!</v>
      </c>
      <c r="AU400" s="2" t="e">
        <f>VLOOKUP(H400,#REF!,13,FALSE)</f>
        <v>#REF!</v>
      </c>
      <c r="AV400" s="2" t="e">
        <f>VLOOKUP(H400,#REF!,13,FALSE)</f>
        <v>#REF!</v>
      </c>
      <c r="AW400" s="2" t="e">
        <f>VLOOKUP(H400,#REF!,13,FALSE)</f>
        <v>#REF!</v>
      </c>
      <c r="AX400" s="2" t="e">
        <f>VLOOKUP(H400,#REF!,9,FALSE)</f>
        <v>#REF!</v>
      </c>
      <c r="AZ400" s="189" t="e">
        <f>VLOOKUP(H400,#REF!,2,FALSE)</f>
        <v>#REF!</v>
      </c>
      <c r="BF400" s="189" t="e">
        <f>VLOOKUP(CLEAN(H400),#REF!,2,FALSE)</f>
        <v>#REF!</v>
      </c>
      <c r="BG400" s="189" t="e">
        <f>T400-BF400</f>
        <v>#REF!</v>
      </c>
      <c r="BO400" s="2" t="e">
        <f>VLOOKUP(H400,#REF!,13,FALSE)</f>
        <v>#REF!</v>
      </c>
      <c r="BP400" s="2" t="e">
        <f>VLOOKUP(H400,#REF!,2,FALSE)</f>
        <v>#REF!</v>
      </c>
      <c r="BQ400" s="2" t="e">
        <f>VLOOKUP(H400,#REF!,13,FALSE)</f>
        <v>#REF!</v>
      </c>
      <c r="BR400" s="2" t="e">
        <f>VLOOKUP(H400,#REF!,3,FALSE)</f>
        <v>#REF!</v>
      </c>
    </row>
    <row r="401" spans="1:70" s="2" customFormat="1" ht="15" customHeight="1" outlineLevel="2">
      <c r="A401" s="5">
        <v>31</v>
      </c>
      <c r="B401" s="5" t="s">
        <v>54</v>
      </c>
      <c r="C401" s="5" t="s">
        <v>248</v>
      </c>
      <c r="D401" s="5" t="s">
        <v>22</v>
      </c>
      <c r="E401" s="5" t="s">
        <v>28</v>
      </c>
      <c r="F401" s="5" t="s">
        <v>14</v>
      </c>
      <c r="G401" s="5" t="s">
        <v>144</v>
      </c>
      <c r="H401" s="12">
        <v>30289473</v>
      </c>
      <c r="I401" s="42" t="str">
        <f t="shared" si="235"/>
        <v>30289473-EJECUCION</v>
      </c>
      <c r="J401" s="12"/>
      <c r="K401" s="307" t="str">
        <f t="shared" si="236"/>
        <v>30289473</v>
      </c>
      <c r="L401" s="15" t="s">
        <v>273</v>
      </c>
      <c r="M401" s="23">
        <v>730281000</v>
      </c>
      <c r="N401" s="34">
        <v>0</v>
      </c>
      <c r="O401" s="34">
        <f>100000000-1753899</f>
        <v>98246101</v>
      </c>
      <c r="P401" s="310">
        <v>0</v>
      </c>
      <c r="Q401" s="34">
        <v>0</v>
      </c>
      <c r="R401" s="308">
        <v>0</v>
      </c>
      <c r="S401" s="34">
        <f t="shared" si="237"/>
        <v>0</v>
      </c>
      <c r="T401" s="34">
        <v>0</v>
      </c>
      <c r="U401" s="34">
        <v>0</v>
      </c>
      <c r="V401" s="34">
        <f>P401+Q401+R401+T401+U401</f>
        <v>0</v>
      </c>
      <c r="W401" s="34">
        <f>O401-V401</f>
        <v>98246101</v>
      </c>
      <c r="X401" s="34">
        <f>M401-(N401+O401)</f>
        <v>632034899</v>
      </c>
      <c r="Y401" s="48" t="s">
        <v>418</v>
      </c>
      <c r="Z401" s="48" t="s">
        <v>8</v>
      </c>
      <c r="AA401" s="2" t="e">
        <v>#N/A</v>
      </c>
      <c r="AB401" s="2" t="e">
        <f>VLOOKUP(H401,#REF!,2,FALSE)</f>
        <v>#REF!</v>
      </c>
      <c r="AC401" s="2" t="e">
        <f>VLOOKUP(I401,#REF!,2,FALSE)</f>
        <v>#REF!</v>
      </c>
      <c r="AD401" s="2" t="e">
        <f>VLOOKUP(H401,#REF!,13,FALSE)</f>
        <v>#REF!</v>
      </c>
      <c r="AE401" s="2" t="e">
        <f>VLOOKUP(I401,#REF!,7,FALSE)</f>
        <v>#REF!</v>
      </c>
      <c r="AG401" s="2" t="e">
        <f>VLOOKUP(H401,#REF!,13,FALSE)</f>
        <v>#REF!</v>
      </c>
      <c r="AH401" s="2" t="e">
        <f>VLOOKUP(I401,#REF!,2,FALSE)</f>
        <v>#REF!</v>
      </c>
      <c r="AJ401" s="185" t="e">
        <f>VLOOKUP(H401,#REF!,3,FALSE)</f>
        <v>#REF!</v>
      </c>
      <c r="AK401" s="185" t="s">
        <v>685</v>
      </c>
      <c r="AL401" s="185" t="e">
        <f>VLOOKUP(H401,#REF!,13,FALSE)</f>
        <v>#REF!</v>
      </c>
      <c r="AM401" s="185" t="e">
        <f>VLOOKUP(CLEAN(H401),#REF!,7,FALSE)</f>
        <v>#REF!</v>
      </c>
      <c r="AN401" s="2" t="e">
        <f>VLOOKUP(H401,#REF!,8,FALSE)</f>
        <v>#REF!</v>
      </c>
      <c r="AO401" s="189" t="e">
        <f>VLOOKUP(H401,#REF!,2,FALSE)</f>
        <v>#REF!</v>
      </c>
      <c r="AP401" s="189" t="e">
        <f>VLOOKUP(H401,#REF!,2,FALSE)</f>
        <v>#REF!</v>
      </c>
      <c r="AQ401" s="189"/>
      <c r="AR401" s="2" t="e">
        <f>VLOOKUP(CLEAN(H401),#REF!,2,FALSE)</f>
        <v>#REF!</v>
      </c>
      <c r="AT401" s="2" t="e">
        <f>VLOOKUP(H401,#REF!,13,FALSE)</f>
        <v>#REF!</v>
      </c>
      <c r="AU401" s="2" t="e">
        <f>VLOOKUP(H401,#REF!,13,FALSE)</f>
        <v>#REF!</v>
      </c>
      <c r="AV401" s="2" t="e">
        <f>VLOOKUP(H401,#REF!,13,FALSE)</f>
        <v>#REF!</v>
      </c>
      <c r="AW401" s="2" t="e">
        <f>VLOOKUP(H401,#REF!,13,FALSE)</f>
        <v>#REF!</v>
      </c>
      <c r="AX401" s="2" t="e">
        <f>VLOOKUP(H401,#REF!,9,FALSE)</f>
        <v>#REF!</v>
      </c>
      <c r="AZ401" s="2" t="e">
        <f>VLOOKUP(H401,#REF!,2,FALSE)</f>
        <v>#REF!</v>
      </c>
      <c r="BF401" s="189" t="e">
        <f>VLOOKUP(CLEAN(H401),#REF!,2,FALSE)</f>
        <v>#REF!</v>
      </c>
      <c r="BG401" s="189" t="e">
        <f>T401-BF401</f>
        <v>#REF!</v>
      </c>
      <c r="BO401" s="2" t="e">
        <f>VLOOKUP(H401,#REF!,13,FALSE)</f>
        <v>#REF!</v>
      </c>
      <c r="BP401" s="2" t="e">
        <f>VLOOKUP(H401,#REF!,2,FALSE)</f>
        <v>#REF!</v>
      </c>
      <c r="BQ401" s="2" t="e">
        <f>VLOOKUP(H401,#REF!,13,FALSE)</f>
        <v>#REF!</v>
      </c>
      <c r="BR401" s="2" t="e">
        <f>VLOOKUP(H401,#REF!,3,FALSE)</f>
        <v>#REF!</v>
      </c>
    </row>
    <row r="402" spans="1:70" s="2" customFormat="1" ht="15" customHeight="1" outlineLevel="2">
      <c r="A402" s="5">
        <v>31</v>
      </c>
      <c r="B402" s="5" t="s">
        <v>11</v>
      </c>
      <c r="C402" s="5" t="s">
        <v>252</v>
      </c>
      <c r="D402" s="5" t="s">
        <v>22</v>
      </c>
      <c r="E402" s="5" t="s">
        <v>28</v>
      </c>
      <c r="F402" s="5" t="s">
        <v>75</v>
      </c>
      <c r="G402" s="5" t="s">
        <v>144</v>
      </c>
      <c r="H402" s="12">
        <v>40001034</v>
      </c>
      <c r="I402" s="311" t="str">
        <f t="shared" si="235"/>
        <v>40001034-EJECUCION</v>
      </c>
      <c r="J402" s="190"/>
      <c r="K402" s="309" t="str">
        <f t="shared" si="236"/>
        <v>40001034</v>
      </c>
      <c r="L402" s="15" t="s">
        <v>796</v>
      </c>
      <c r="M402" s="23">
        <v>78830000</v>
      </c>
      <c r="N402" s="34">
        <v>0</v>
      </c>
      <c r="O402" s="34">
        <v>70628000</v>
      </c>
      <c r="P402" s="310">
        <v>0</v>
      </c>
      <c r="Q402" s="34">
        <v>0</v>
      </c>
      <c r="R402" s="308">
        <v>0</v>
      </c>
      <c r="S402" s="34">
        <f t="shared" si="237"/>
        <v>0</v>
      </c>
      <c r="T402" s="34">
        <v>0</v>
      </c>
      <c r="U402" s="34">
        <v>0</v>
      </c>
      <c r="V402" s="34">
        <f>P402+Q402+R402+T402+U402</f>
        <v>0</v>
      </c>
      <c r="W402" s="34">
        <f>O402-V402</f>
        <v>70628000</v>
      </c>
      <c r="X402" s="34">
        <f>M402-(N402+O402)</f>
        <v>8202000</v>
      </c>
      <c r="Y402" s="48" t="s">
        <v>418</v>
      </c>
      <c r="Z402" s="48" t="s">
        <v>8</v>
      </c>
      <c r="AA402" s="2" t="e">
        <v>#N/A</v>
      </c>
      <c r="AB402" s="2" t="e">
        <f>VLOOKUP(H402,#REF!,2,FALSE)</f>
        <v>#REF!</v>
      </c>
      <c r="AJ402" s="185"/>
      <c r="AK402" s="185"/>
      <c r="AL402" s="185"/>
      <c r="AM402" s="185"/>
      <c r="AN402" s="2" t="e">
        <f>VLOOKUP(H402,#REF!,8,FALSE)</f>
        <v>#REF!</v>
      </c>
      <c r="AO402" s="189" t="e">
        <f>VLOOKUP(H402,#REF!,2,FALSE)</f>
        <v>#REF!</v>
      </c>
      <c r="AP402" s="189" t="e">
        <f>VLOOKUP(H402,#REF!,2,FALSE)</f>
        <v>#REF!</v>
      </c>
      <c r="AQ402" s="189"/>
      <c r="AR402" s="2" t="e">
        <f>VLOOKUP(CLEAN(H402),#REF!,2,FALSE)</f>
        <v>#REF!</v>
      </c>
      <c r="AT402" s="2" t="e">
        <f>VLOOKUP(H402,#REF!,13,FALSE)</f>
        <v>#REF!</v>
      </c>
      <c r="AU402" s="2" t="e">
        <f>VLOOKUP(H402,#REF!,13,FALSE)</f>
        <v>#REF!</v>
      </c>
      <c r="AV402" s="2" t="e">
        <f>VLOOKUP(H402,#REF!,13,FALSE)</f>
        <v>#REF!</v>
      </c>
      <c r="AW402" s="2" t="e">
        <f>VLOOKUP(H402,#REF!,13,FALSE)</f>
        <v>#REF!</v>
      </c>
      <c r="AX402" s="2" t="e">
        <f>VLOOKUP(H402,#REF!,9,FALSE)</f>
        <v>#REF!</v>
      </c>
      <c r="AZ402" s="189" t="e">
        <f>VLOOKUP(H402,#REF!,2,FALSE)</f>
        <v>#REF!</v>
      </c>
      <c r="BF402" s="189" t="e">
        <f>VLOOKUP(CLEAN(H402),#REF!,2,FALSE)</f>
        <v>#REF!</v>
      </c>
      <c r="BG402" s="189" t="e">
        <f>T402-BF402</f>
        <v>#REF!</v>
      </c>
      <c r="BO402" s="2" t="e">
        <f>VLOOKUP(H402,#REF!,13,FALSE)</f>
        <v>#REF!</v>
      </c>
      <c r="BP402" s="2" t="e">
        <f>VLOOKUP(H402,#REF!,2,FALSE)</f>
        <v>#REF!</v>
      </c>
      <c r="BQ402" s="2" t="e">
        <f>VLOOKUP(H402,#REF!,13,FALSE)</f>
        <v>#REF!</v>
      </c>
      <c r="BR402" s="2" t="e">
        <f>VLOOKUP(H402,#REF!,3,FALSE)</f>
        <v>#REF!</v>
      </c>
    </row>
    <row r="403" spans="1:70" s="2" customFormat="1" ht="15" customHeight="1" outlineLevel="2">
      <c r="A403" s="5">
        <v>31</v>
      </c>
      <c r="B403" s="5" t="s">
        <v>11</v>
      </c>
      <c r="C403" s="5" t="s">
        <v>252</v>
      </c>
      <c r="D403" s="5" t="s">
        <v>22</v>
      </c>
      <c r="E403" s="5" t="s">
        <v>28</v>
      </c>
      <c r="F403" s="5" t="s">
        <v>75</v>
      </c>
      <c r="G403" s="5" t="s">
        <v>144</v>
      </c>
      <c r="H403" s="12">
        <v>40001307</v>
      </c>
      <c r="I403" s="42" t="str">
        <f>CONCATENATE(H403,"-",G403)</f>
        <v>40001307-EJECUCION</v>
      </c>
      <c r="J403" s="12"/>
      <c r="K403" s="307" t="str">
        <f>CLEAN(H403)</f>
        <v>40001307</v>
      </c>
      <c r="L403" s="15" t="s">
        <v>857</v>
      </c>
      <c r="M403" s="23">
        <v>46982000</v>
      </c>
      <c r="N403" s="34">
        <v>0</v>
      </c>
      <c r="O403" s="34">
        <v>0</v>
      </c>
      <c r="P403" s="310">
        <v>0</v>
      </c>
      <c r="Q403" s="34">
        <v>0</v>
      </c>
      <c r="R403" s="308">
        <v>0</v>
      </c>
      <c r="S403" s="34">
        <f t="shared" si="237"/>
        <v>0</v>
      </c>
      <c r="T403" s="34">
        <v>0</v>
      </c>
      <c r="U403" s="34">
        <v>0</v>
      </c>
      <c r="V403" s="34">
        <f>P403+Q403+R403+T403+U403</f>
        <v>0</v>
      </c>
      <c r="W403" s="34">
        <f>O403-V403</f>
        <v>0</v>
      </c>
      <c r="X403" s="34">
        <f>M403-(N403+O403)</f>
        <v>46982000</v>
      </c>
      <c r="Y403" s="48" t="s">
        <v>418</v>
      </c>
      <c r="Z403" s="48" t="s">
        <v>8</v>
      </c>
      <c r="AJ403" s="185"/>
      <c r="AK403" s="185"/>
      <c r="AL403" s="185"/>
      <c r="AM403" s="185"/>
      <c r="AO403" s="189"/>
      <c r="AP403" s="189"/>
      <c r="AQ403" s="189"/>
      <c r="BF403" s="189"/>
      <c r="BG403" s="189"/>
      <c r="BO403" s="2" t="e">
        <f>VLOOKUP(H403,#REF!,13,FALSE)</f>
        <v>#REF!</v>
      </c>
      <c r="BP403" s="2" t="e">
        <f>VLOOKUP(H403,#REF!,2,FALSE)</f>
        <v>#REF!</v>
      </c>
      <c r="BQ403" s="2" t="e">
        <f>VLOOKUP(H403,#REF!,13,FALSE)</f>
        <v>#REF!</v>
      </c>
      <c r="BR403" s="2" t="e">
        <f>VLOOKUP(H403,#REF!,3,FALSE)</f>
        <v>#REF!</v>
      </c>
    </row>
    <row r="404" spans="1:70" s="2" customFormat="1" ht="15" customHeight="1" outlineLevel="2">
      <c r="A404" s="5">
        <v>31</v>
      </c>
      <c r="B404" s="5" t="s">
        <v>54</v>
      </c>
      <c r="C404" s="5" t="s">
        <v>248</v>
      </c>
      <c r="D404" s="5" t="s">
        <v>22</v>
      </c>
      <c r="E404" s="5" t="s">
        <v>28</v>
      </c>
      <c r="F404" s="5" t="s">
        <v>14</v>
      </c>
      <c r="G404" s="5" t="s">
        <v>9</v>
      </c>
      <c r="H404" s="12">
        <v>30465403</v>
      </c>
      <c r="I404" s="42" t="str">
        <f t="shared" si="235"/>
        <v>30465403-DISEÑO</v>
      </c>
      <c r="J404" s="12"/>
      <c r="K404" s="307" t="str">
        <f t="shared" si="236"/>
        <v>30465403</v>
      </c>
      <c r="L404" s="15" t="s">
        <v>274</v>
      </c>
      <c r="M404" s="23">
        <v>30000000</v>
      </c>
      <c r="N404" s="34">
        <v>0</v>
      </c>
      <c r="O404" s="34">
        <v>3000000</v>
      </c>
      <c r="P404" s="310">
        <v>0</v>
      </c>
      <c r="Q404" s="34">
        <v>0</v>
      </c>
      <c r="R404" s="308">
        <v>0</v>
      </c>
      <c r="S404" s="34">
        <f t="shared" si="237"/>
        <v>0</v>
      </c>
      <c r="T404" s="34">
        <v>0</v>
      </c>
      <c r="U404" s="34">
        <v>0</v>
      </c>
      <c r="V404" s="34">
        <f>P404+Q404+R404+T404+U404</f>
        <v>0</v>
      </c>
      <c r="W404" s="34">
        <f>O404-V404</f>
        <v>3000000</v>
      </c>
      <c r="X404" s="34">
        <f>M404-(N404+O404)</f>
        <v>27000000</v>
      </c>
      <c r="Y404" s="48" t="s">
        <v>418</v>
      </c>
      <c r="Z404" s="48" t="s">
        <v>8</v>
      </c>
      <c r="AA404" s="2" t="e">
        <v>#N/A</v>
      </c>
      <c r="AB404" s="2" t="e">
        <f>VLOOKUP(H404,#REF!,2,FALSE)</f>
        <v>#REF!</v>
      </c>
      <c r="AC404" s="2" t="e">
        <f>VLOOKUP(I404,#REF!,2,FALSE)</f>
        <v>#REF!</v>
      </c>
      <c r="AD404" s="2" t="e">
        <f>VLOOKUP(H404,#REF!,13,FALSE)</f>
        <v>#REF!</v>
      </c>
      <c r="AE404" s="2" t="e">
        <f>VLOOKUP(I404,#REF!,7,FALSE)</f>
        <v>#REF!</v>
      </c>
      <c r="AG404" s="2" t="e">
        <f>VLOOKUP(H404,#REF!,13,FALSE)</f>
        <v>#REF!</v>
      </c>
      <c r="AH404" s="2" t="e">
        <f>VLOOKUP(I404,#REF!,2,FALSE)</f>
        <v>#REF!</v>
      </c>
      <c r="AJ404" s="185" t="e">
        <f>VLOOKUP(H404,#REF!,3,FALSE)</f>
        <v>#REF!</v>
      </c>
      <c r="AK404" s="185" t="s">
        <v>685</v>
      </c>
      <c r="AL404" s="185" t="e">
        <f>VLOOKUP(H404,#REF!,13,FALSE)</f>
        <v>#REF!</v>
      </c>
      <c r="AM404" s="185" t="e">
        <f>VLOOKUP(CLEAN(H404),#REF!,7,FALSE)</f>
        <v>#REF!</v>
      </c>
      <c r="AN404" s="2" t="e">
        <f>VLOOKUP(H404,#REF!,8,FALSE)</f>
        <v>#REF!</v>
      </c>
      <c r="AO404" s="189" t="e">
        <f>VLOOKUP(H404,#REF!,2,FALSE)</f>
        <v>#REF!</v>
      </c>
      <c r="AP404" s="189" t="e">
        <f>VLOOKUP(H404,#REF!,2,FALSE)</f>
        <v>#REF!</v>
      </c>
      <c r="AQ404" s="189"/>
      <c r="AR404" s="2" t="e">
        <f>VLOOKUP(CLEAN(H404),#REF!,2,FALSE)</f>
        <v>#REF!</v>
      </c>
      <c r="AT404" s="2" t="e">
        <f>VLOOKUP(H404,#REF!,13,FALSE)</f>
        <v>#REF!</v>
      </c>
      <c r="AU404" s="2" t="e">
        <f>VLOOKUP(H404,#REF!,13,FALSE)</f>
        <v>#REF!</v>
      </c>
      <c r="AV404" s="2" t="e">
        <f>VLOOKUP(H404,#REF!,13,FALSE)</f>
        <v>#REF!</v>
      </c>
      <c r="AW404" s="2" t="e">
        <f>VLOOKUP(H404,#REF!,13,FALSE)</f>
        <v>#REF!</v>
      </c>
      <c r="AX404" s="2" t="e">
        <f>VLOOKUP(H404,#REF!,9,FALSE)</f>
        <v>#REF!</v>
      </c>
      <c r="AZ404" s="2" t="e">
        <f>VLOOKUP(H404,#REF!,2,FALSE)</f>
        <v>#REF!</v>
      </c>
      <c r="BF404" s="189" t="e">
        <f>VLOOKUP(CLEAN(H404),#REF!,2,FALSE)</f>
        <v>#REF!</v>
      </c>
      <c r="BG404" s="189" t="e">
        <f>T404-BF404</f>
        <v>#REF!</v>
      </c>
      <c r="BO404" s="2" t="e">
        <f>VLOOKUP(H404,#REF!,13,FALSE)</f>
        <v>#REF!</v>
      </c>
      <c r="BP404" s="2" t="e">
        <f>VLOOKUP(H404,#REF!,2,FALSE)</f>
        <v>#REF!</v>
      </c>
      <c r="BQ404" s="2" t="e">
        <f>VLOOKUP(H404,#REF!,13,FALSE)</f>
        <v>#REF!</v>
      </c>
      <c r="BR404" s="2" t="e">
        <f>VLOOKUP(H404,#REF!,3,FALSE)</f>
        <v>#REF!</v>
      </c>
    </row>
    <row r="405" spans="1:70" ht="15" customHeight="1" outlineLevel="2">
      <c r="A405" s="7"/>
      <c r="B405" s="7"/>
      <c r="C405" s="7"/>
      <c r="D405" s="7"/>
      <c r="E405" s="7"/>
      <c r="F405" s="7"/>
      <c r="G405" s="7"/>
      <c r="H405" s="11"/>
      <c r="I405" s="11"/>
      <c r="J405" s="11"/>
      <c r="K405" s="11"/>
      <c r="L405" s="17" t="s">
        <v>702</v>
      </c>
      <c r="M405" s="27">
        <f t="shared" ref="M405:X405" si="238">SUBTOTAL(9,M398:M404)</f>
        <v>1452369000</v>
      </c>
      <c r="N405" s="27">
        <f t="shared" si="238"/>
        <v>0</v>
      </c>
      <c r="O405" s="27">
        <f t="shared" si="238"/>
        <v>719047087</v>
      </c>
      <c r="P405" s="24">
        <f t="shared" si="238"/>
        <v>0</v>
      </c>
      <c r="Q405" s="24">
        <f t="shared" si="238"/>
        <v>0</v>
      </c>
      <c r="R405" s="24">
        <f t="shared" si="238"/>
        <v>0</v>
      </c>
      <c r="S405" s="27">
        <f t="shared" si="238"/>
        <v>0</v>
      </c>
      <c r="T405" s="27">
        <f t="shared" si="238"/>
        <v>0</v>
      </c>
      <c r="U405" s="27">
        <f t="shared" si="238"/>
        <v>0</v>
      </c>
      <c r="V405" s="27">
        <f t="shared" si="238"/>
        <v>0</v>
      </c>
      <c r="W405" s="27">
        <f t="shared" si="238"/>
        <v>719047087</v>
      </c>
      <c r="X405" s="27">
        <f t="shared" si="238"/>
        <v>733321913</v>
      </c>
      <c r="Y405" s="47"/>
      <c r="Z405" s="47"/>
      <c r="AM405" s="185" t="e">
        <f>VLOOKUP(CLEAN(H405),#REF!,7,FALSE)</f>
        <v>#REF!</v>
      </c>
      <c r="AO405"/>
      <c r="AP405"/>
      <c r="AQ405"/>
      <c r="AR405" s="2" t="e">
        <f>VLOOKUP(CLEAN(H405),#REF!,2,FALSE)</f>
        <v>#REF!</v>
      </c>
      <c r="AT405" s="2" t="e">
        <f>VLOOKUP(H405,#REF!,13,FALSE)</f>
        <v>#REF!</v>
      </c>
      <c r="AZ405" s="2" t="e">
        <f>VLOOKUP(H405,#REF!,2,FALSE)</f>
        <v>#REF!</v>
      </c>
      <c r="BO405" s="2" t="e">
        <f>VLOOKUP(H405,#REF!,13,FALSE)</f>
        <v>#REF!</v>
      </c>
      <c r="BQ405" s="2" t="e">
        <f>VLOOKUP(H405,#REF!,13,FALSE)</f>
        <v>#REF!</v>
      </c>
    </row>
    <row r="406" spans="1:70" ht="15" customHeight="1" outlineLevel="2">
      <c r="A406" s="7"/>
      <c r="B406" s="7"/>
      <c r="C406" s="7"/>
      <c r="D406" s="7"/>
      <c r="E406" s="7"/>
      <c r="F406" s="7"/>
      <c r="G406" s="7"/>
      <c r="H406" s="11"/>
      <c r="I406" s="11"/>
      <c r="J406" s="11"/>
      <c r="K406" s="11"/>
      <c r="L406" s="292"/>
      <c r="M406" s="22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47"/>
      <c r="Z406" s="47"/>
      <c r="AM406" s="185" t="e">
        <f>VLOOKUP(CLEAN(H406),#REF!,7,FALSE)</f>
        <v>#REF!</v>
      </c>
      <c r="AO406"/>
      <c r="AP406"/>
      <c r="AQ406"/>
      <c r="AR406" s="2" t="e">
        <f>VLOOKUP(CLEAN(H406),#REF!,2,FALSE)</f>
        <v>#REF!</v>
      </c>
      <c r="AT406" s="2" t="e">
        <f>VLOOKUP(H406,#REF!,13,FALSE)</f>
        <v>#REF!</v>
      </c>
      <c r="AZ406" s="2" t="e">
        <f>VLOOKUP(H406,#REF!,2,FALSE)</f>
        <v>#REF!</v>
      </c>
      <c r="BO406" s="2" t="e">
        <f>VLOOKUP(H406,#REF!,13,FALSE)</f>
        <v>#REF!</v>
      </c>
      <c r="BP406" s="293"/>
      <c r="BQ406" s="2" t="e">
        <f>VLOOKUP(H406,#REF!,13,FALSE)</f>
        <v>#REF!</v>
      </c>
    </row>
    <row r="407" spans="1:70" ht="15" customHeight="1" outlineLevel="2">
      <c r="A407" s="7"/>
      <c r="B407" s="7"/>
      <c r="C407" s="7"/>
      <c r="D407" s="7"/>
      <c r="E407" s="7"/>
      <c r="F407" s="7"/>
      <c r="G407" s="7"/>
      <c r="H407" s="11"/>
      <c r="I407" s="11"/>
      <c r="J407" s="11"/>
      <c r="K407" s="11"/>
      <c r="L407" s="18" t="s">
        <v>696</v>
      </c>
      <c r="M407" s="22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47"/>
      <c r="Z407" s="47"/>
      <c r="AM407" s="185" t="e">
        <f>VLOOKUP(CLEAN(H407),#REF!,7,FALSE)</f>
        <v>#REF!</v>
      </c>
      <c r="AO407"/>
      <c r="AP407"/>
      <c r="AQ407"/>
      <c r="AR407" s="2" t="e">
        <f>VLOOKUP(CLEAN(H407),#REF!,2,FALSE)</f>
        <v>#REF!</v>
      </c>
      <c r="AT407" s="2" t="e">
        <f>VLOOKUP(H407,#REF!,13,FALSE)</f>
        <v>#REF!</v>
      </c>
      <c r="AZ407" s="2" t="e">
        <f>VLOOKUP(H407,#REF!,2,FALSE)</f>
        <v>#REF!</v>
      </c>
      <c r="BO407" s="2" t="e">
        <f>VLOOKUP(H407,#REF!,13,FALSE)</f>
        <v>#REF!</v>
      </c>
      <c r="BQ407" s="2" t="e">
        <f>VLOOKUP(H407,#REF!,13,FALSE)</f>
        <v>#REF!</v>
      </c>
    </row>
    <row r="408" spans="1:70" s="2" customFormat="1" ht="15" customHeight="1" outlineLevel="2">
      <c r="A408" s="5">
        <v>31</v>
      </c>
      <c r="B408" s="5" t="s">
        <v>11</v>
      </c>
      <c r="C408" s="5" t="s">
        <v>253</v>
      </c>
      <c r="D408" s="5" t="s">
        <v>22</v>
      </c>
      <c r="E408" s="5" t="s">
        <v>28</v>
      </c>
      <c r="F408" s="5" t="s">
        <v>457</v>
      </c>
      <c r="G408" s="5" t="s">
        <v>144</v>
      </c>
      <c r="H408" s="12">
        <v>30182972</v>
      </c>
      <c r="I408" s="42" t="str">
        <f t="shared" ref="I408:I409" si="239">CONCATENATE(H408,"-",G408)</f>
        <v>30182972-EJECUCION</v>
      </c>
      <c r="J408" s="12"/>
      <c r="K408" s="307" t="str">
        <f t="shared" ref="K408:K409" si="240">CLEAN(H408)</f>
        <v>30182972</v>
      </c>
      <c r="L408" s="15" t="s">
        <v>759</v>
      </c>
      <c r="M408" s="23">
        <v>1575731000</v>
      </c>
      <c r="N408" s="34">
        <v>0</v>
      </c>
      <c r="O408" s="34">
        <f>78786550-1606500-2677500-49812736</f>
        <v>24689814</v>
      </c>
      <c r="P408" s="310">
        <v>0</v>
      </c>
      <c r="Q408" s="34">
        <v>0</v>
      </c>
      <c r="R408" s="308">
        <v>0</v>
      </c>
      <c r="S408" s="34">
        <f t="shared" ref="S408:S409" si="241">P408+Q408+R408</f>
        <v>0</v>
      </c>
      <c r="T408" s="34">
        <v>0</v>
      </c>
      <c r="U408" s="34">
        <v>0</v>
      </c>
      <c r="V408" s="34">
        <f>P408+Q408+R408+T408+U408</f>
        <v>0</v>
      </c>
      <c r="W408" s="34">
        <f>O408-V408</f>
        <v>24689814</v>
      </c>
      <c r="X408" s="34">
        <f>M408-(N408+O408)</f>
        <v>1551041186</v>
      </c>
      <c r="Y408" s="48" t="s">
        <v>246</v>
      </c>
      <c r="Z408" s="48" t="s">
        <v>357</v>
      </c>
      <c r="AA408" s="2" t="e">
        <v>#N/A</v>
      </c>
      <c r="AB408" s="2" t="e">
        <f>VLOOKUP(H408,#REF!,2,FALSE)</f>
        <v>#REF!</v>
      </c>
      <c r="AC408" s="2" t="e">
        <f>VLOOKUP(I408,#REF!,2,FALSE)</f>
        <v>#REF!</v>
      </c>
      <c r="AD408" s="2" t="e">
        <f>VLOOKUP(H408,#REF!,13,FALSE)</f>
        <v>#REF!</v>
      </c>
      <c r="AE408" s="2" t="e">
        <f>VLOOKUP(I408,#REF!,7,FALSE)</f>
        <v>#REF!</v>
      </c>
      <c r="AG408" s="2" t="e">
        <f>VLOOKUP(H408,#REF!,13,FALSE)</f>
        <v>#REF!</v>
      </c>
      <c r="AH408" s="2" t="e">
        <f>VLOOKUP(I408,#REF!,2,FALSE)</f>
        <v>#REF!</v>
      </c>
      <c r="AJ408" s="185" t="e">
        <f>VLOOKUP(H408,#REF!,3,FALSE)</f>
        <v>#REF!</v>
      </c>
      <c r="AK408" s="185"/>
      <c r="AL408" s="185" t="e">
        <f>VLOOKUP(H408,#REF!,13,FALSE)</f>
        <v>#REF!</v>
      </c>
      <c r="AM408" s="185" t="e">
        <f>VLOOKUP(CLEAN(H408),#REF!,7,FALSE)</f>
        <v>#REF!</v>
      </c>
      <c r="AN408" s="2" t="e">
        <f>VLOOKUP(H408,#REF!,8,FALSE)</f>
        <v>#REF!</v>
      </c>
      <c r="AO408" s="189" t="e">
        <f>VLOOKUP(H408,#REF!,2,FALSE)</f>
        <v>#REF!</v>
      </c>
      <c r="AP408" s="189" t="e">
        <f>VLOOKUP(H408,#REF!,2,FALSE)</f>
        <v>#REF!</v>
      </c>
      <c r="AQ408" s="189"/>
      <c r="AR408" s="2" t="e">
        <f>VLOOKUP(CLEAN(H408),#REF!,2,FALSE)</f>
        <v>#REF!</v>
      </c>
      <c r="AT408" s="2" t="e">
        <f>VLOOKUP(H408,#REF!,13,FALSE)</f>
        <v>#REF!</v>
      </c>
      <c r="AU408" s="2" t="e">
        <f>VLOOKUP(H408,#REF!,13,FALSE)</f>
        <v>#REF!</v>
      </c>
      <c r="AV408" s="2" t="e">
        <f>VLOOKUP(H408,#REF!,13,FALSE)</f>
        <v>#REF!</v>
      </c>
      <c r="AW408" s="2" t="e">
        <f>VLOOKUP(H408,#REF!,13,FALSE)</f>
        <v>#REF!</v>
      </c>
      <c r="AX408" s="2" t="e">
        <f>VLOOKUP(H408,#REF!,9,FALSE)</f>
        <v>#REF!</v>
      </c>
      <c r="AZ408" s="2" t="e">
        <f>VLOOKUP(H408,#REF!,2,FALSE)</f>
        <v>#REF!</v>
      </c>
      <c r="BF408" s="189" t="e">
        <f>VLOOKUP(CLEAN(H408),#REF!,2,FALSE)</f>
        <v>#REF!</v>
      </c>
      <c r="BG408" s="189" t="e">
        <f>T408-BF408</f>
        <v>#REF!</v>
      </c>
      <c r="BO408" s="2" t="e">
        <f>VLOOKUP(H408,#REF!,13,FALSE)</f>
        <v>#REF!</v>
      </c>
      <c r="BP408" s="2" t="e">
        <f>VLOOKUP(H408,#REF!,2,FALSE)</f>
        <v>#REF!</v>
      </c>
      <c r="BQ408" s="2" t="e">
        <f>VLOOKUP(H408,#REF!,13,FALSE)</f>
        <v>#REF!</v>
      </c>
      <c r="BR408" s="2" t="e">
        <f>VLOOKUP(H408,#REF!,3,FALSE)</f>
        <v>#REF!</v>
      </c>
    </row>
    <row r="409" spans="1:70" s="2" customFormat="1" ht="15" customHeight="1" outlineLevel="2">
      <c r="A409" s="5">
        <v>31</v>
      </c>
      <c r="B409" s="5" t="s">
        <v>11</v>
      </c>
      <c r="C409" s="5" t="s">
        <v>248</v>
      </c>
      <c r="D409" s="5" t="s">
        <v>22</v>
      </c>
      <c r="E409" s="5" t="s">
        <v>28</v>
      </c>
      <c r="F409" s="5" t="s">
        <v>14</v>
      </c>
      <c r="G409" s="5" t="s">
        <v>144</v>
      </c>
      <c r="H409" s="12">
        <v>30422722</v>
      </c>
      <c r="I409" s="42" t="str">
        <f t="shared" si="239"/>
        <v>30422722-EJECUCION</v>
      </c>
      <c r="J409" s="12"/>
      <c r="K409" s="307" t="str">
        <f t="shared" si="240"/>
        <v>30422722</v>
      </c>
      <c r="L409" s="15" t="s">
        <v>318</v>
      </c>
      <c r="M409" s="23">
        <v>432960000</v>
      </c>
      <c r="N409" s="34">
        <v>0</v>
      </c>
      <c r="O409" s="34">
        <f>21648000-12473000</f>
        <v>9175000</v>
      </c>
      <c r="P409" s="310">
        <v>0</v>
      </c>
      <c r="Q409" s="34">
        <v>0</v>
      </c>
      <c r="R409" s="308">
        <v>0</v>
      </c>
      <c r="S409" s="34">
        <f t="shared" si="241"/>
        <v>0</v>
      </c>
      <c r="T409" s="34">
        <v>0</v>
      </c>
      <c r="U409" s="34">
        <v>0</v>
      </c>
      <c r="V409" s="34">
        <f>P409+Q409+R409+T409+U409</f>
        <v>0</v>
      </c>
      <c r="W409" s="34">
        <f>O409-V409</f>
        <v>9175000</v>
      </c>
      <c r="X409" s="34">
        <f>M409-(N409+O409)</f>
        <v>423785000</v>
      </c>
      <c r="Y409" s="48" t="s">
        <v>246</v>
      </c>
      <c r="Z409" s="48" t="s">
        <v>357</v>
      </c>
      <c r="AA409" s="2" t="e">
        <v>#N/A</v>
      </c>
      <c r="AB409" s="2" t="e">
        <f>VLOOKUP(H409,#REF!,2,FALSE)</f>
        <v>#REF!</v>
      </c>
      <c r="AC409" s="2" t="e">
        <f>VLOOKUP(I409,#REF!,2,FALSE)</f>
        <v>#REF!</v>
      </c>
      <c r="AD409" s="2" t="e">
        <f>VLOOKUP(H409,#REF!,13,FALSE)</f>
        <v>#REF!</v>
      </c>
      <c r="AE409" s="2" t="e">
        <f>VLOOKUP(I409,#REF!,7,FALSE)</f>
        <v>#REF!</v>
      </c>
      <c r="AG409" s="2" t="e">
        <f>VLOOKUP(H409,#REF!,13,FALSE)</f>
        <v>#REF!</v>
      </c>
      <c r="AH409" s="2" t="e">
        <f>VLOOKUP(I409,#REF!,2,FALSE)</f>
        <v>#REF!</v>
      </c>
      <c r="AJ409" s="185" t="e">
        <f>VLOOKUP(H409,#REF!,3,FALSE)</f>
        <v>#REF!</v>
      </c>
      <c r="AK409" s="185"/>
      <c r="AL409" s="185" t="e">
        <f>VLOOKUP(H409,#REF!,13,FALSE)</f>
        <v>#REF!</v>
      </c>
      <c r="AM409" s="185" t="e">
        <f>VLOOKUP(CLEAN(H409),#REF!,7,FALSE)</f>
        <v>#REF!</v>
      </c>
      <c r="AN409" s="2" t="e">
        <f>VLOOKUP(H409,#REF!,8,FALSE)</f>
        <v>#REF!</v>
      </c>
      <c r="AO409" s="189" t="e">
        <f>VLOOKUP(H409,#REF!,2,FALSE)</f>
        <v>#REF!</v>
      </c>
      <c r="AP409" s="189" t="e">
        <f>VLOOKUP(H409,#REF!,2,FALSE)</f>
        <v>#REF!</v>
      </c>
      <c r="AQ409" s="189"/>
      <c r="AR409" s="2" t="e">
        <f>VLOOKUP(CLEAN(H409),#REF!,2,FALSE)</f>
        <v>#REF!</v>
      </c>
      <c r="AT409" s="2" t="e">
        <f>VLOOKUP(H409,#REF!,13,FALSE)</f>
        <v>#REF!</v>
      </c>
      <c r="AU409" s="2" t="e">
        <f>VLOOKUP(H409,#REF!,13,FALSE)</f>
        <v>#REF!</v>
      </c>
      <c r="AV409" s="2" t="e">
        <f>VLOOKUP(H409,#REF!,13,FALSE)</f>
        <v>#REF!</v>
      </c>
      <c r="AW409" s="2" t="e">
        <f>VLOOKUP(H409,#REF!,13,FALSE)</f>
        <v>#REF!</v>
      </c>
      <c r="AX409" s="2" t="e">
        <f>VLOOKUP(H409,#REF!,9,FALSE)</f>
        <v>#REF!</v>
      </c>
      <c r="AZ409" s="2" t="e">
        <f>VLOOKUP(H409,#REF!,2,FALSE)</f>
        <v>#REF!</v>
      </c>
      <c r="BF409" s="189" t="e">
        <f>VLOOKUP(CLEAN(H409),#REF!,2,FALSE)</f>
        <v>#REF!</v>
      </c>
      <c r="BG409" s="189" t="e">
        <f>T409-BF409</f>
        <v>#REF!</v>
      </c>
      <c r="BO409" s="2" t="e">
        <f>VLOOKUP(H409,#REF!,13,FALSE)</f>
        <v>#REF!</v>
      </c>
      <c r="BP409" s="2" t="e">
        <f>VLOOKUP(H409,#REF!,2,FALSE)</f>
        <v>#REF!</v>
      </c>
      <c r="BQ409" s="2" t="e">
        <f>VLOOKUP(H409,#REF!,13,FALSE)</f>
        <v>#REF!</v>
      </c>
      <c r="BR409" s="2" t="e">
        <f>VLOOKUP(H409,#REF!,3,FALSE)</f>
        <v>#REF!</v>
      </c>
    </row>
    <row r="410" spans="1:70" ht="15" customHeight="1" outlineLevel="2">
      <c r="A410" s="7"/>
      <c r="B410" s="7"/>
      <c r="C410" s="7"/>
      <c r="D410" s="7"/>
      <c r="E410" s="7"/>
      <c r="F410" s="7"/>
      <c r="G410" s="7"/>
      <c r="H410" s="11"/>
      <c r="I410" s="11"/>
      <c r="J410" s="11"/>
      <c r="K410" s="11"/>
      <c r="L410" s="17" t="s">
        <v>693</v>
      </c>
      <c r="M410" s="27">
        <f t="shared" ref="M410:X410" si="242">SUBTOTAL(9,M408:M409)</f>
        <v>2008691000</v>
      </c>
      <c r="N410" s="27">
        <f t="shared" si="242"/>
        <v>0</v>
      </c>
      <c r="O410" s="27">
        <f t="shared" si="242"/>
        <v>33864814</v>
      </c>
      <c r="P410" s="24">
        <f t="shared" si="242"/>
        <v>0</v>
      </c>
      <c r="Q410" s="24">
        <f t="shared" si="242"/>
        <v>0</v>
      </c>
      <c r="R410" s="24">
        <f t="shared" si="242"/>
        <v>0</v>
      </c>
      <c r="S410" s="27">
        <f t="shared" si="242"/>
        <v>0</v>
      </c>
      <c r="T410" s="27">
        <f t="shared" si="242"/>
        <v>0</v>
      </c>
      <c r="U410" s="27">
        <f t="shared" si="242"/>
        <v>0</v>
      </c>
      <c r="V410" s="27">
        <f t="shared" si="242"/>
        <v>0</v>
      </c>
      <c r="W410" s="27">
        <f t="shared" si="242"/>
        <v>33864814</v>
      </c>
      <c r="X410" s="27">
        <f t="shared" si="242"/>
        <v>1974826186</v>
      </c>
      <c r="Y410" s="47"/>
      <c r="Z410" s="47"/>
      <c r="AM410" s="185" t="e">
        <f>VLOOKUP(CLEAN(H410),#REF!,7,FALSE)</f>
        <v>#REF!</v>
      </c>
      <c r="AO410"/>
      <c r="AP410"/>
      <c r="AQ410"/>
      <c r="AR410" s="2" t="e">
        <f>VLOOKUP(CLEAN(H410),#REF!,2,FALSE)</f>
        <v>#REF!</v>
      </c>
      <c r="AT410" s="2" t="e">
        <f>VLOOKUP(H410,#REF!,13,FALSE)</f>
        <v>#REF!</v>
      </c>
      <c r="AZ410" s="2" t="e">
        <f>VLOOKUP(H410,#REF!,2,FALSE)</f>
        <v>#REF!</v>
      </c>
      <c r="BO410" s="2" t="e">
        <f>VLOOKUP(H410,#REF!,13,FALSE)</f>
        <v>#REF!</v>
      </c>
      <c r="BQ410" s="2" t="e">
        <f>VLOOKUP(H410,#REF!,13,FALSE)</f>
        <v>#REF!</v>
      </c>
    </row>
    <row r="411" spans="1:70" ht="15" customHeight="1" outlineLevel="2">
      <c r="A411" s="7"/>
      <c r="B411" s="7"/>
      <c r="C411" s="7"/>
      <c r="D411" s="7"/>
      <c r="E411" s="7"/>
      <c r="F411" s="7"/>
      <c r="G411" s="7"/>
      <c r="H411" s="11"/>
      <c r="I411" s="11"/>
      <c r="J411" s="11"/>
      <c r="K411" s="11"/>
      <c r="L411" s="292"/>
      <c r="M411" s="22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47"/>
      <c r="Z411" s="47"/>
      <c r="AM411" s="185" t="e">
        <f>VLOOKUP(CLEAN(H411),#REF!,7,FALSE)</f>
        <v>#REF!</v>
      </c>
      <c r="AO411"/>
      <c r="AP411"/>
      <c r="AQ411"/>
      <c r="AR411" s="2" t="e">
        <f>VLOOKUP(CLEAN(H411),#REF!,2,FALSE)</f>
        <v>#REF!</v>
      </c>
      <c r="AT411" s="2" t="e">
        <f>VLOOKUP(H411,#REF!,13,FALSE)</f>
        <v>#REF!</v>
      </c>
      <c r="AZ411" s="2" t="e">
        <f>VLOOKUP(H411,#REF!,2,FALSE)</f>
        <v>#REF!</v>
      </c>
      <c r="BO411" s="2" t="e">
        <f>VLOOKUP(H411,#REF!,13,FALSE)</f>
        <v>#REF!</v>
      </c>
      <c r="BP411" s="293"/>
      <c r="BQ411" s="2" t="e">
        <f>VLOOKUP(H411,#REF!,13,FALSE)</f>
        <v>#REF!</v>
      </c>
    </row>
    <row r="412" spans="1:70" ht="18.75" customHeight="1" outlineLevel="1">
      <c r="A412" s="7"/>
      <c r="B412" s="7"/>
      <c r="C412" s="7"/>
      <c r="D412" s="7"/>
      <c r="E412" s="8"/>
      <c r="F412" s="7"/>
      <c r="G412" s="7"/>
      <c r="H412" s="11"/>
      <c r="I412" s="11"/>
      <c r="J412" s="11"/>
      <c r="K412" s="11"/>
      <c r="L412" s="45" t="s">
        <v>160</v>
      </c>
      <c r="M412" s="46">
        <f t="shared" ref="M412:X412" si="243">M410+M405+M395+M391</f>
        <v>7871008805</v>
      </c>
      <c r="N412" s="46">
        <f t="shared" si="243"/>
        <v>2628260199</v>
      </c>
      <c r="O412" s="46">
        <f t="shared" si="243"/>
        <v>1656826904</v>
      </c>
      <c r="P412" s="46">
        <f t="shared" si="243"/>
        <v>25410198</v>
      </c>
      <c r="Q412" s="46">
        <f t="shared" si="243"/>
        <v>25833013</v>
      </c>
      <c r="R412" s="46">
        <f t="shared" si="243"/>
        <v>30742366</v>
      </c>
      <c r="S412" s="46">
        <f t="shared" si="243"/>
        <v>81985577</v>
      </c>
      <c r="T412" s="46">
        <f t="shared" si="243"/>
        <v>51531531</v>
      </c>
      <c r="U412" s="46">
        <f t="shared" si="243"/>
        <v>168610207</v>
      </c>
      <c r="V412" s="46">
        <f t="shared" si="243"/>
        <v>302127315</v>
      </c>
      <c r="W412" s="46">
        <f t="shared" si="243"/>
        <v>1354699589</v>
      </c>
      <c r="X412" s="46">
        <f t="shared" si="243"/>
        <v>3585921702</v>
      </c>
      <c r="Y412" s="47"/>
      <c r="Z412" s="47"/>
      <c r="AM412" s="185" t="e">
        <f>VLOOKUP(CLEAN(H412),#REF!,7,FALSE)</f>
        <v>#REF!</v>
      </c>
      <c r="AO412"/>
      <c r="AP412"/>
      <c r="AQ412"/>
      <c r="AR412" s="2" t="e">
        <f>VLOOKUP(CLEAN(H412),#REF!,2,FALSE)</f>
        <v>#REF!</v>
      </c>
      <c r="AT412" s="2" t="e">
        <f>VLOOKUP(H412,#REF!,13,FALSE)</f>
        <v>#REF!</v>
      </c>
      <c r="AZ412" s="2" t="e">
        <f>VLOOKUP(H412,#REF!,2,FALSE)</f>
        <v>#REF!</v>
      </c>
      <c r="BO412" s="2" t="e">
        <f>VLOOKUP(H412,#REF!,13,FALSE)</f>
        <v>#REF!</v>
      </c>
      <c r="BQ412" s="2" t="e">
        <f>VLOOKUP(H412,#REF!,13,FALSE)</f>
        <v>#REF!</v>
      </c>
    </row>
    <row r="413" spans="1:70" s="3" customFormat="1" ht="15" customHeight="1" outlineLevel="1">
      <c r="A413" s="7"/>
      <c r="B413" s="7"/>
      <c r="C413" s="7"/>
      <c r="D413" s="7"/>
      <c r="E413" s="8"/>
      <c r="F413" s="7"/>
      <c r="G413" s="7"/>
      <c r="H413" s="11"/>
      <c r="I413" s="11"/>
      <c r="J413" s="11"/>
      <c r="K413" s="11"/>
      <c r="L413" s="294"/>
      <c r="M413" s="26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47"/>
      <c r="Z413" s="47"/>
      <c r="AJ413" s="186"/>
      <c r="AK413" s="186"/>
      <c r="AL413" s="186"/>
      <c r="AM413" s="185" t="e">
        <f>VLOOKUP(CLEAN(H413),#REF!,7,FALSE)</f>
        <v>#REF!</v>
      </c>
      <c r="AR413" s="2" t="e">
        <f>VLOOKUP(CLEAN(H413),#REF!,2,FALSE)</f>
        <v>#REF!</v>
      </c>
      <c r="AT413" s="2" t="e">
        <f>VLOOKUP(H413,#REF!,13,FALSE)</f>
        <v>#REF!</v>
      </c>
      <c r="AZ413" s="2" t="e">
        <f>VLOOKUP(H413,#REF!,2,FALSE)</f>
        <v>#REF!</v>
      </c>
      <c r="BF413" s="193"/>
      <c r="BO413" s="2" t="e">
        <f>VLOOKUP(H413,#REF!,13,FALSE)</f>
        <v>#REF!</v>
      </c>
      <c r="BP413" s="7"/>
      <c r="BQ413" s="2" t="e">
        <f>VLOOKUP(H413,#REF!,13,FALSE)</f>
        <v>#REF!</v>
      </c>
    </row>
    <row r="414" spans="1:70" ht="26.25" customHeight="1" outlineLevel="1">
      <c r="A414" s="7"/>
      <c r="B414" s="7"/>
      <c r="C414" s="7"/>
      <c r="D414" s="7"/>
      <c r="E414" s="8"/>
      <c r="F414" s="7"/>
      <c r="G414" s="7"/>
      <c r="H414" s="11"/>
      <c r="I414" s="11"/>
      <c r="J414" s="11"/>
      <c r="K414" s="11"/>
      <c r="L414" s="57" t="s">
        <v>194</v>
      </c>
      <c r="M414" s="26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47"/>
      <c r="Z414" s="47"/>
      <c r="AM414" s="185" t="e">
        <f>VLOOKUP(CLEAN(H414),#REF!,7,FALSE)</f>
        <v>#REF!</v>
      </c>
      <c r="AO414"/>
      <c r="AP414"/>
      <c r="AQ414"/>
      <c r="AR414" s="2" t="e">
        <f>VLOOKUP(CLEAN(H414),#REF!,2,FALSE)</f>
        <v>#REF!</v>
      </c>
      <c r="AT414" s="2" t="e">
        <f>VLOOKUP(H414,#REF!,13,FALSE)</f>
        <v>#REF!</v>
      </c>
      <c r="AZ414" s="2" t="e">
        <f>VLOOKUP(H414,#REF!,2,FALSE)</f>
        <v>#REF!</v>
      </c>
      <c r="BO414" s="2" t="e">
        <f>VLOOKUP(H414,#REF!,13,FALSE)</f>
        <v>#REF!</v>
      </c>
      <c r="BQ414" s="2" t="e">
        <f>VLOOKUP(H414,#REF!,13,FALSE)</f>
        <v>#REF!</v>
      </c>
    </row>
    <row r="415" spans="1:70" s="3" customFormat="1" ht="15" customHeight="1" outlineLevel="1">
      <c r="A415" s="7"/>
      <c r="B415" s="7"/>
      <c r="C415" s="7"/>
      <c r="D415" s="7"/>
      <c r="E415" s="8"/>
      <c r="F415" s="7"/>
      <c r="G415" s="7"/>
      <c r="H415" s="11"/>
      <c r="I415" s="14"/>
      <c r="J415" s="14"/>
      <c r="K415" s="14"/>
      <c r="L415" s="294"/>
      <c r="M415" s="26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47"/>
      <c r="Z415" s="47"/>
      <c r="AJ415" s="186"/>
      <c r="AK415" s="186"/>
      <c r="AL415" s="186"/>
      <c r="AM415" s="185" t="e">
        <f>VLOOKUP(CLEAN(H415),#REF!,7,FALSE)</f>
        <v>#REF!</v>
      </c>
      <c r="AR415" s="2" t="e">
        <f>VLOOKUP(CLEAN(H415),#REF!,2,FALSE)</f>
        <v>#REF!</v>
      </c>
      <c r="AT415" s="2" t="e">
        <f>VLOOKUP(H415,#REF!,13,FALSE)</f>
        <v>#REF!</v>
      </c>
      <c r="AZ415" s="2" t="e">
        <f>VLOOKUP(H415,#REF!,2,FALSE)</f>
        <v>#REF!</v>
      </c>
      <c r="BF415" s="193"/>
      <c r="BO415" s="2" t="e">
        <f>VLOOKUP(H415,#REF!,13,FALSE)</f>
        <v>#REF!</v>
      </c>
      <c r="BP415" s="7"/>
      <c r="BQ415" s="2" t="e">
        <f>VLOOKUP(H415,#REF!,13,FALSE)</f>
        <v>#REF!</v>
      </c>
    </row>
    <row r="416" spans="1:70" s="3" customFormat="1" ht="15" customHeight="1" outlineLevel="1">
      <c r="A416" s="7"/>
      <c r="B416" s="7"/>
      <c r="C416" s="7"/>
      <c r="D416" s="7"/>
      <c r="E416" s="8"/>
      <c r="F416" s="7"/>
      <c r="G416" s="7"/>
      <c r="H416" s="11"/>
      <c r="I416" s="14"/>
      <c r="J416" s="14"/>
      <c r="K416" s="14"/>
      <c r="L416" s="18" t="s">
        <v>695</v>
      </c>
      <c r="M416" s="29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50"/>
      <c r="Z416" s="50"/>
      <c r="AJ416" s="186"/>
      <c r="AK416" s="186"/>
      <c r="AL416" s="186"/>
      <c r="AM416" s="185"/>
      <c r="AR416" s="2" t="e">
        <f>VLOOKUP(CLEAN(H416),#REF!,2,FALSE)</f>
        <v>#REF!</v>
      </c>
      <c r="AT416" s="2" t="e">
        <f>VLOOKUP(H416,#REF!,13,FALSE)</f>
        <v>#REF!</v>
      </c>
      <c r="AZ416" s="2" t="e">
        <f>VLOOKUP(H416,#REF!,2,FALSE)</f>
        <v>#REF!</v>
      </c>
      <c r="BF416" s="193"/>
      <c r="BO416" s="2" t="e">
        <f>VLOOKUP(H416,#REF!,13,FALSE)</f>
        <v>#REF!</v>
      </c>
      <c r="BQ416" s="2" t="e">
        <f>VLOOKUP(H416,#REF!,13,FALSE)</f>
        <v>#REF!</v>
      </c>
    </row>
    <row r="417" spans="1:70" s="3" customFormat="1" ht="15" customHeight="1" outlineLevel="1">
      <c r="A417" s="5">
        <v>31</v>
      </c>
      <c r="B417" s="5" t="s">
        <v>5</v>
      </c>
      <c r="C417" s="5" t="s">
        <v>241</v>
      </c>
      <c r="D417" s="5" t="s">
        <v>22</v>
      </c>
      <c r="E417" s="9" t="s">
        <v>29</v>
      </c>
      <c r="F417" s="9" t="s">
        <v>457</v>
      </c>
      <c r="G417" s="9" t="s">
        <v>9</v>
      </c>
      <c r="H417" s="12">
        <v>30117895</v>
      </c>
      <c r="I417" s="42" t="str">
        <f>CONCATENATE(H417,"-",G417)</f>
        <v>30117895-DISEÑO</v>
      </c>
      <c r="J417" s="12"/>
      <c r="K417" s="307" t="str">
        <f>CLEAN(H417)</f>
        <v>30117895</v>
      </c>
      <c r="L417" s="19" t="s">
        <v>607</v>
      </c>
      <c r="M417" s="28">
        <v>19000000</v>
      </c>
      <c r="N417" s="36">
        <v>6470000</v>
      </c>
      <c r="O417" s="36">
        <v>12530000</v>
      </c>
      <c r="P417" s="310">
        <v>0</v>
      </c>
      <c r="Q417" s="34">
        <v>0</v>
      </c>
      <c r="R417" s="308">
        <v>0</v>
      </c>
      <c r="S417" s="34">
        <f t="shared" ref="S417:S418" si="244">P417+Q417+R417</f>
        <v>0</v>
      </c>
      <c r="T417" s="34">
        <v>0</v>
      </c>
      <c r="U417" s="34">
        <v>0</v>
      </c>
      <c r="V417" s="34">
        <f>P417+Q417+R417+T417+U417</f>
        <v>0</v>
      </c>
      <c r="W417" s="34">
        <f>O417-V417</f>
        <v>12530000</v>
      </c>
      <c r="X417" s="34">
        <f>M417-(N417+O417)</f>
        <v>0</v>
      </c>
      <c r="Y417" s="48" t="s">
        <v>239</v>
      </c>
      <c r="Z417" s="48" t="s">
        <v>8</v>
      </c>
      <c r="AA417" s="2" t="s">
        <v>847</v>
      </c>
      <c r="AB417" s="2" t="e">
        <f>VLOOKUP(H417,#REF!,2,FALSE)</f>
        <v>#REF!</v>
      </c>
      <c r="AJ417" s="186"/>
      <c r="AK417" s="186"/>
      <c r="AL417" s="186"/>
      <c r="AM417" s="185"/>
      <c r="AN417" s="2" t="e">
        <f>VLOOKUP(H417,#REF!,8,FALSE)</f>
        <v>#REF!</v>
      </c>
      <c r="AO417" s="189" t="e">
        <f>VLOOKUP(H417,#REF!,2,FALSE)</f>
        <v>#REF!</v>
      </c>
      <c r="AP417" s="189" t="e">
        <f>VLOOKUP(H417,#REF!,2,FALSE)</f>
        <v>#REF!</v>
      </c>
      <c r="AQ417" s="189"/>
      <c r="AR417" s="2" t="e">
        <f>VLOOKUP(CLEAN(H417),#REF!,2,FALSE)</f>
        <v>#REF!</v>
      </c>
      <c r="AT417" s="2" t="e">
        <f>VLOOKUP(H417,#REF!,13,FALSE)</f>
        <v>#REF!</v>
      </c>
      <c r="AU417" s="2" t="e">
        <f>VLOOKUP(H417,#REF!,13,FALSE)</f>
        <v>#REF!</v>
      </c>
      <c r="AV417" s="2" t="e">
        <f>VLOOKUP(H417,#REF!,13,FALSE)</f>
        <v>#REF!</v>
      </c>
      <c r="AW417" s="2" t="e">
        <f>VLOOKUP(H417,#REF!,13,FALSE)</f>
        <v>#REF!</v>
      </c>
      <c r="AX417" s="2" t="e">
        <f>VLOOKUP(H417,#REF!,9,FALSE)</f>
        <v>#REF!</v>
      </c>
      <c r="AZ417" s="2" t="e">
        <f>VLOOKUP(H417,#REF!,2,FALSE)</f>
        <v>#REF!</v>
      </c>
      <c r="BF417" s="189" t="e">
        <f>VLOOKUP(CLEAN(H417),#REF!,2,FALSE)</f>
        <v>#REF!</v>
      </c>
      <c r="BG417" s="189" t="e">
        <f>T417-BF417</f>
        <v>#REF!</v>
      </c>
      <c r="BO417" s="2" t="e">
        <f>VLOOKUP(H417,#REF!,13,FALSE)</f>
        <v>#REF!</v>
      </c>
      <c r="BP417" s="2" t="e">
        <f>VLOOKUP(H417,#REF!,2,FALSE)</f>
        <v>#REF!</v>
      </c>
      <c r="BQ417" s="2" t="e">
        <f>VLOOKUP(H417,#REF!,13,FALSE)</f>
        <v>#REF!</v>
      </c>
      <c r="BR417" s="2" t="e">
        <f>VLOOKUP(H417,#REF!,3,FALSE)</f>
        <v>#REF!</v>
      </c>
    </row>
    <row r="418" spans="1:70" s="2" customFormat="1" ht="15" customHeight="1" outlineLevel="2">
      <c r="A418" s="5">
        <v>31</v>
      </c>
      <c r="B418" s="5" t="s">
        <v>54</v>
      </c>
      <c r="C418" s="5" t="s">
        <v>240</v>
      </c>
      <c r="D418" s="5" t="s">
        <v>22</v>
      </c>
      <c r="E418" s="5" t="s">
        <v>29</v>
      </c>
      <c r="F418" s="5" t="s">
        <v>457</v>
      </c>
      <c r="G418" s="5" t="s">
        <v>144</v>
      </c>
      <c r="H418" s="12">
        <v>30134380</v>
      </c>
      <c r="I418" s="42" t="str">
        <f>CONCATENATE(H418,"-",G418)</f>
        <v>30134380-EJECUCION</v>
      </c>
      <c r="J418" s="12" t="s">
        <v>726</v>
      </c>
      <c r="K418" s="307" t="str">
        <f>CLEAN(H418)</f>
        <v>30134380</v>
      </c>
      <c r="L418" s="15" t="s">
        <v>539</v>
      </c>
      <c r="M418" s="23">
        <v>363409000</v>
      </c>
      <c r="N418" s="34">
        <v>344153769</v>
      </c>
      <c r="O418" s="34">
        <f>1753899+10244890</f>
        <v>11998789</v>
      </c>
      <c r="P418" s="310">
        <v>11998789</v>
      </c>
      <c r="Q418" s="34">
        <v>0</v>
      </c>
      <c r="R418" s="308">
        <v>0</v>
      </c>
      <c r="S418" s="34">
        <f t="shared" si="244"/>
        <v>11998789</v>
      </c>
      <c r="T418" s="34">
        <v>0</v>
      </c>
      <c r="U418" s="34">
        <v>0</v>
      </c>
      <c r="V418" s="34">
        <f>P418+Q418+R418+T418+U418</f>
        <v>11998789</v>
      </c>
      <c r="W418" s="34">
        <f>O418-V418</f>
        <v>0</v>
      </c>
      <c r="X418" s="34">
        <f>M418-(N418+O418)</f>
        <v>7256442</v>
      </c>
      <c r="Y418" s="48" t="s">
        <v>239</v>
      </c>
      <c r="Z418" s="48" t="s">
        <v>8</v>
      </c>
      <c r="AA418" s="2" t="e">
        <v>#N/A</v>
      </c>
      <c r="AB418" s="2" t="e">
        <f>VLOOKUP(H418,#REF!,2,FALSE)</f>
        <v>#REF!</v>
      </c>
      <c r="AC418" s="2" t="e">
        <f>VLOOKUP(I418,#REF!,2,FALSE)</f>
        <v>#REF!</v>
      </c>
      <c r="AD418" s="2" t="e">
        <f>VLOOKUP(H418,#REF!,13,FALSE)</f>
        <v>#REF!</v>
      </c>
      <c r="AE418" s="2" t="e">
        <f>VLOOKUP(I418,#REF!,7,FALSE)</f>
        <v>#REF!</v>
      </c>
      <c r="AG418" s="2" t="e">
        <f>VLOOKUP(H418,#REF!,13,FALSE)</f>
        <v>#REF!</v>
      </c>
      <c r="AH418" s="2" t="e">
        <f>VLOOKUP(I418,#REF!,2,FALSE)</f>
        <v>#REF!</v>
      </c>
      <c r="AJ418" s="185" t="e">
        <f>VLOOKUP(H418,#REF!,3,FALSE)</f>
        <v>#REF!</v>
      </c>
      <c r="AK418" s="185"/>
      <c r="AL418" s="185" t="e">
        <f>VLOOKUP(H418,#REF!,13,FALSE)</f>
        <v>#REF!</v>
      </c>
      <c r="AM418" s="185" t="e">
        <f>VLOOKUP(CLEAN(H418),#REF!,7,FALSE)</f>
        <v>#REF!</v>
      </c>
      <c r="AN418" s="2" t="e">
        <f>VLOOKUP(H418,#REF!,8,FALSE)</f>
        <v>#REF!</v>
      </c>
      <c r="AO418" s="189" t="e">
        <f>VLOOKUP(H418,#REF!,2,FALSE)</f>
        <v>#REF!</v>
      </c>
      <c r="AP418" s="189" t="e">
        <f>VLOOKUP(H418,#REF!,2,FALSE)</f>
        <v>#REF!</v>
      </c>
      <c r="AQ418" s="189"/>
      <c r="AR418" s="2" t="e">
        <f>VLOOKUP(CLEAN(H418),#REF!,2,FALSE)</f>
        <v>#REF!</v>
      </c>
      <c r="AT418" s="2" t="e">
        <f>VLOOKUP(H418,#REF!,13,FALSE)</f>
        <v>#REF!</v>
      </c>
      <c r="AU418" s="2" t="e">
        <f>VLOOKUP(H418,#REF!,13,FALSE)</f>
        <v>#REF!</v>
      </c>
      <c r="AV418" s="2" t="e">
        <f>VLOOKUP(H418,#REF!,13,FALSE)</f>
        <v>#REF!</v>
      </c>
      <c r="AW418" s="2" t="e">
        <f>VLOOKUP(H418,#REF!,13,FALSE)</f>
        <v>#REF!</v>
      </c>
      <c r="AX418" s="2" t="e">
        <f>VLOOKUP(H418,#REF!,9,FALSE)</f>
        <v>#REF!</v>
      </c>
      <c r="AZ418" s="189" t="e">
        <f>VLOOKUP(H418,#REF!,2,FALSE)</f>
        <v>#REF!</v>
      </c>
      <c r="BF418" s="189" t="e">
        <f>VLOOKUP(CLEAN(H418),#REF!,2,FALSE)</f>
        <v>#REF!</v>
      </c>
      <c r="BG418" s="189" t="e">
        <f>T418-BF418</f>
        <v>#REF!</v>
      </c>
      <c r="BO418" s="2" t="e">
        <f>VLOOKUP(H418,#REF!,13,FALSE)</f>
        <v>#REF!</v>
      </c>
      <c r="BP418" s="2" t="e">
        <f>VLOOKUP(H418,#REF!,2,FALSE)</f>
        <v>#REF!</v>
      </c>
      <c r="BQ418" s="2" t="e">
        <f>VLOOKUP(H418,#REF!,13,FALSE)</f>
        <v>#REF!</v>
      </c>
      <c r="BR418" s="2" t="e">
        <f>VLOOKUP(H418,#REF!,3,FALSE)</f>
        <v>#REF!</v>
      </c>
    </row>
    <row r="419" spans="1:70" s="3" customFormat="1" ht="15" customHeight="1" outlineLevel="1">
      <c r="A419" s="7"/>
      <c r="B419" s="7"/>
      <c r="C419" s="7"/>
      <c r="D419" s="7"/>
      <c r="E419" s="8"/>
      <c r="F419" s="7"/>
      <c r="G419" s="7"/>
      <c r="H419" s="11"/>
      <c r="I419" s="14"/>
      <c r="J419" s="14"/>
      <c r="K419" s="14"/>
      <c r="L419" s="17" t="s">
        <v>691</v>
      </c>
      <c r="M419" s="27">
        <f>SUBTOTAL(9,M417:M418)</f>
        <v>382409000</v>
      </c>
      <c r="N419" s="27">
        <f t="shared" ref="N419:O419" si="245">SUBTOTAL(9,N417:N418)</f>
        <v>350623769</v>
      </c>
      <c r="O419" s="27">
        <f t="shared" si="245"/>
        <v>24528789</v>
      </c>
      <c r="P419" s="24">
        <f t="shared" ref="P419:X419" si="246">SUBTOTAL(9,P417:P418)</f>
        <v>11998789</v>
      </c>
      <c r="Q419" s="24">
        <f t="shared" si="246"/>
        <v>0</v>
      </c>
      <c r="R419" s="24">
        <f t="shared" si="246"/>
        <v>0</v>
      </c>
      <c r="S419" s="27">
        <f t="shared" si="246"/>
        <v>11998789</v>
      </c>
      <c r="T419" s="27">
        <f t="shared" si="246"/>
        <v>0</v>
      </c>
      <c r="U419" s="27">
        <f t="shared" si="246"/>
        <v>0</v>
      </c>
      <c r="V419" s="27">
        <f t="shared" si="246"/>
        <v>11998789</v>
      </c>
      <c r="W419" s="27">
        <f t="shared" si="246"/>
        <v>12530000</v>
      </c>
      <c r="X419" s="27">
        <f t="shared" si="246"/>
        <v>7256442</v>
      </c>
      <c r="Y419" s="50"/>
      <c r="Z419" s="50"/>
      <c r="AJ419" s="186"/>
      <c r="AK419" s="186"/>
      <c r="AL419" s="186"/>
      <c r="AM419" s="185"/>
      <c r="AR419" s="2" t="e">
        <f>VLOOKUP(CLEAN(H419),#REF!,2,FALSE)</f>
        <v>#REF!</v>
      </c>
      <c r="AT419" s="2" t="e">
        <f>VLOOKUP(H419,#REF!,13,FALSE)</f>
        <v>#REF!</v>
      </c>
      <c r="AZ419" s="2" t="e">
        <f>VLOOKUP(H419,#REF!,2,FALSE)</f>
        <v>#REF!</v>
      </c>
      <c r="BF419" s="193"/>
      <c r="BO419" s="2" t="e">
        <f>VLOOKUP(H419,#REF!,13,FALSE)</f>
        <v>#REF!</v>
      </c>
      <c r="BQ419" s="2" t="e">
        <f>VLOOKUP(H419,#REF!,13,FALSE)</f>
        <v>#REF!</v>
      </c>
    </row>
    <row r="420" spans="1:70" s="3" customFormat="1" ht="15" customHeight="1" outlineLevel="1">
      <c r="A420" s="7"/>
      <c r="B420" s="7"/>
      <c r="C420" s="7"/>
      <c r="D420" s="7"/>
      <c r="E420" s="8"/>
      <c r="F420" s="7"/>
      <c r="G420" s="7"/>
      <c r="H420" s="11"/>
      <c r="I420" s="14"/>
      <c r="J420" s="14"/>
      <c r="K420" s="14"/>
      <c r="L420" s="294"/>
      <c r="M420" s="26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47"/>
      <c r="Z420" s="47"/>
      <c r="AJ420" s="186"/>
      <c r="AK420" s="186"/>
      <c r="AL420" s="186"/>
      <c r="AM420" s="185"/>
      <c r="AR420" s="2" t="e">
        <f>VLOOKUP(CLEAN(H420),#REF!,2,FALSE)</f>
        <v>#REF!</v>
      </c>
      <c r="AT420" s="2" t="e">
        <f>VLOOKUP(H420,#REF!,13,FALSE)</f>
        <v>#REF!</v>
      </c>
      <c r="AZ420" s="2" t="e">
        <f>VLOOKUP(H420,#REF!,2,FALSE)</f>
        <v>#REF!</v>
      </c>
      <c r="BF420" s="193"/>
      <c r="BO420" s="2" t="e">
        <f>VLOOKUP(H420,#REF!,13,FALSE)</f>
        <v>#REF!</v>
      </c>
      <c r="BP420" s="7"/>
      <c r="BQ420" s="2" t="e">
        <f>VLOOKUP(H420,#REF!,13,FALSE)</f>
        <v>#REF!</v>
      </c>
    </row>
    <row r="421" spans="1:70" ht="15" customHeight="1" outlineLevel="1">
      <c r="A421" s="7"/>
      <c r="B421" s="7"/>
      <c r="C421" s="7"/>
      <c r="D421" s="7"/>
      <c r="E421" s="8"/>
      <c r="F421" s="7"/>
      <c r="G421" s="7"/>
      <c r="H421" s="11"/>
      <c r="I421" s="11"/>
      <c r="J421" s="11"/>
      <c r="K421" s="11"/>
      <c r="L421" s="18" t="s">
        <v>701</v>
      </c>
      <c r="M421" s="26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47"/>
      <c r="Z421" s="47"/>
      <c r="AM421" s="185" t="e">
        <f>VLOOKUP(CLEAN(H421),#REF!,7,FALSE)</f>
        <v>#REF!</v>
      </c>
      <c r="AO421"/>
      <c r="AP421"/>
      <c r="AQ421"/>
      <c r="AR421" s="2" t="e">
        <f>VLOOKUP(CLEAN(H421),#REF!,2,FALSE)</f>
        <v>#REF!</v>
      </c>
      <c r="AT421" s="2" t="e">
        <f>VLOOKUP(H421,#REF!,13,FALSE)</f>
        <v>#REF!</v>
      </c>
      <c r="AZ421" s="2" t="e">
        <f>VLOOKUP(H421,#REF!,2,FALSE)</f>
        <v>#REF!</v>
      </c>
      <c r="BO421" s="2" t="e">
        <f>VLOOKUP(H421,#REF!,13,FALSE)</f>
        <v>#REF!</v>
      </c>
      <c r="BQ421" s="2" t="e">
        <f>VLOOKUP(H421,#REF!,13,FALSE)</f>
        <v>#REF!</v>
      </c>
    </row>
    <row r="422" spans="1:70" s="2" customFormat="1" ht="15" customHeight="1" outlineLevel="2">
      <c r="A422" s="5">
        <v>31</v>
      </c>
      <c r="B422" s="5" t="s">
        <v>11</v>
      </c>
      <c r="C422" s="5" t="s">
        <v>241</v>
      </c>
      <c r="D422" s="5" t="s">
        <v>22</v>
      </c>
      <c r="E422" s="5" t="s">
        <v>29</v>
      </c>
      <c r="F422" s="5" t="s">
        <v>89</v>
      </c>
      <c r="G422" s="5" t="s">
        <v>144</v>
      </c>
      <c r="H422" s="12">
        <v>30117891</v>
      </c>
      <c r="I422" s="42" t="str">
        <f t="shared" ref="I422:I426" si="247">CONCATENATE(H422,"-",G422)</f>
        <v>30117891-EJECUCION</v>
      </c>
      <c r="J422" s="12"/>
      <c r="K422" s="307" t="str">
        <f t="shared" ref="K422:K426" si="248">CLEAN(H422)</f>
        <v>30117891</v>
      </c>
      <c r="L422" s="15" t="s">
        <v>749</v>
      </c>
      <c r="M422" s="23">
        <v>183854000</v>
      </c>
      <c r="N422" s="34">
        <v>0</v>
      </c>
      <c r="O422" s="34">
        <v>60000000</v>
      </c>
      <c r="P422" s="310">
        <v>0</v>
      </c>
      <c r="Q422" s="34">
        <v>0</v>
      </c>
      <c r="R422" s="308">
        <v>0</v>
      </c>
      <c r="S422" s="34">
        <f t="shared" ref="S422:S426" si="249">P422+Q422+R422</f>
        <v>0</v>
      </c>
      <c r="T422" s="34">
        <v>0</v>
      </c>
      <c r="U422" s="34">
        <v>0</v>
      </c>
      <c r="V422" s="34">
        <f>P422+Q422+R422+T422+U422</f>
        <v>0</v>
      </c>
      <c r="W422" s="34">
        <f>O422-V422</f>
        <v>60000000</v>
      </c>
      <c r="X422" s="34">
        <f>M422-(N422+O422)</f>
        <v>123854000</v>
      </c>
      <c r="Y422" s="48" t="s">
        <v>243</v>
      </c>
      <c r="Z422" s="48" t="s">
        <v>8</v>
      </c>
      <c r="AA422" s="2" t="s">
        <v>846</v>
      </c>
      <c r="AB422" s="2" t="e">
        <f>VLOOKUP(H422,#REF!,2,FALSE)</f>
        <v>#REF!</v>
      </c>
      <c r="AC422" s="2" t="e">
        <f>VLOOKUP(I422,#REF!,2,FALSE)</f>
        <v>#REF!</v>
      </c>
      <c r="AD422" s="2" t="e">
        <f>VLOOKUP(H422,#REF!,13,FALSE)</f>
        <v>#REF!</v>
      </c>
      <c r="AE422" s="2" t="e">
        <f>VLOOKUP(I422,#REF!,7,FALSE)</f>
        <v>#REF!</v>
      </c>
      <c r="AG422" s="2" t="e">
        <f>VLOOKUP(H422,#REF!,13,FALSE)</f>
        <v>#REF!</v>
      </c>
      <c r="AH422" s="2" t="e">
        <f>VLOOKUP(I422,#REF!,2,FALSE)</f>
        <v>#REF!</v>
      </c>
      <c r="AJ422" s="185" t="e">
        <f>VLOOKUP(H422,#REF!,3,FALSE)</f>
        <v>#REF!</v>
      </c>
      <c r="AK422" s="185"/>
      <c r="AL422" s="185" t="e">
        <f>VLOOKUP(H422,#REF!,13,FALSE)</f>
        <v>#REF!</v>
      </c>
      <c r="AM422" s="185" t="e">
        <f>VLOOKUP(CLEAN(H422),#REF!,7,FALSE)</f>
        <v>#REF!</v>
      </c>
      <c r="AN422" s="2" t="e">
        <f>VLOOKUP(H422,#REF!,8,FALSE)</f>
        <v>#REF!</v>
      </c>
      <c r="AO422" s="189" t="e">
        <f>VLOOKUP(H422,#REF!,2,FALSE)</f>
        <v>#REF!</v>
      </c>
      <c r="AP422" s="189" t="e">
        <f>VLOOKUP(H422,#REF!,2,FALSE)</f>
        <v>#REF!</v>
      </c>
      <c r="AQ422" s="189"/>
      <c r="AR422" s="2" t="e">
        <f>VLOOKUP(CLEAN(H422),#REF!,2,FALSE)</f>
        <v>#REF!</v>
      </c>
      <c r="AT422" s="2" t="e">
        <f>VLOOKUP(H422,#REF!,13,FALSE)</f>
        <v>#REF!</v>
      </c>
      <c r="AU422" s="2" t="e">
        <f>VLOOKUP(H422,#REF!,13,FALSE)</f>
        <v>#REF!</v>
      </c>
      <c r="AV422" s="2" t="e">
        <f>VLOOKUP(H422,#REF!,13,FALSE)</f>
        <v>#REF!</v>
      </c>
      <c r="AW422" s="2" t="e">
        <f>VLOOKUP(H422,#REF!,13,FALSE)</f>
        <v>#REF!</v>
      </c>
      <c r="AX422" s="2" t="e">
        <f>VLOOKUP(H422,#REF!,9,FALSE)</f>
        <v>#REF!</v>
      </c>
      <c r="AZ422" s="189" t="e">
        <f>VLOOKUP(H422,#REF!,2,FALSE)</f>
        <v>#REF!</v>
      </c>
      <c r="BF422" s="189" t="e">
        <f>VLOOKUP(CLEAN(H422),#REF!,2,FALSE)</f>
        <v>#REF!</v>
      </c>
      <c r="BG422" s="189" t="e">
        <f>T422-BF422</f>
        <v>#REF!</v>
      </c>
      <c r="BO422" s="2" t="e">
        <f>VLOOKUP(H422,#REF!,13,FALSE)</f>
        <v>#REF!</v>
      </c>
      <c r="BP422" s="2" t="e">
        <f>VLOOKUP(H422,#REF!,2,FALSE)</f>
        <v>#REF!</v>
      </c>
      <c r="BQ422" s="2" t="e">
        <f>VLOOKUP(H422,#REF!,13,FALSE)</f>
        <v>#REF!</v>
      </c>
      <c r="BR422" s="2" t="e">
        <f>VLOOKUP(H422,#REF!,3,FALSE)</f>
        <v>#REF!</v>
      </c>
    </row>
    <row r="423" spans="1:70" s="2" customFormat="1" ht="15" customHeight="1" outlineLevel="2">
      <c r="A423" s="5">
        <v>29</v>
      </c>
      <c r="B423" s="5" t="s">
        <v>11</v>
      </c>
      <c r="C423" s="5" t="s">
        <v>251</v>
      </c>
      <c r="D423" s="5" t="s">
        <v>22</v>
      </c>
      <c r="E423" s="5" t="s">
        <v>29</v>
      </c>
      <c r="F423" s="5" t="s">
        <v>457</v>
      </c>
      <c r="G423" s="5" t="s">
        <v>144</v>
      </c>
      <c r="H423" s="12">
        <v>30395773</v>
      </c>
      <c r="I423" s="42" t="str">
        <f t="shared" si="247"/>
        <v>30395773-EJECUCION</v>
      </c>
      <c r="J423" s="12"/>
      <c r="K423" s="307" t="str">
        <f t="shared" si="248"/>
        <v>30395773</v>
      </c>
      <c r="L423" s="15" t="s">
        <v>813</v>
      </c>
      <c r="M423" s="23">
        <v>137631000</v>
      </c>
      <c r="N423" s="34">
        <v>0</v>
      </c>
      <c r="O423" s="34">
        <v>0</v>
      </c>
      <c r="P423" s="310">
        <v>0</v>
      </c>
      <c r="Q423" s="34">
        <v>0</v>
      </c>
      <c r="R423" s="308">
        <v>0</v>
      </c>
      <c r="S423" s="34">
        <f t="shared" si="249"/>
        <v>0</v>
      </c>
      <c r="T423" s="34">
        <v>0</v>
      </c>
      <c r="U423" s="34">
        <v>0</v>
      </c>
      <c r="V423" s="34">
        <f>P423+Q423+R423+T423+U423</f>
        <v>0</v>
      </c>
      <c r="W423" s="34">
        <f>O423-V423</f>
        <v>0</v>
      </c>
      <c r="X423" s="34">
        <f>M423-(N423+O423)</f>
        <v>137631000</v>
      </c>
      <c r="Y423" s="48" t="s">
        <v>243</v>
      </c>
      <c r="Z423" s="48" t="s">
        <v>10</v>
      </c>
      <c r="AA423" s="2" t="e">
        <v>#N/A</v>
      </c>
      <c r="AB423" s="2" t="e">
        <f>VLOOKUP(H423,#REF!,2,FALSE)</f>
        <v>#REF!</v>
      </c>
      <c r="AJ423" s="185"/>
      <c r="AK423" s="185"/>
      <c r="AL423" s="185"/>
      <c r="AM423" s="185"/>
      <c r="AN423" s="2" t="e">
        <f>VLOOKUP(H423,#REF!,8,FALSE)</f>
        <v>#REF!</v>
      </c>
      <c r="AO423" s="189" t="e">
        <f>VLOOKUP(H423,#REF!,2,FALSE)</f>
        <v>#REF!</v>
      </c>
      <c r="AP423" s="189" t="e">
        <f>VLOOKUP(H423,#REF!,2,FALSE)</f>
        <v>#REF!</v>
      </c>
      <c r="AQ423" s="189"/>
      <c r="AR423" s="2" t="e">
        <f>VLOOKUP(CLEAN(H423),#REF!,2,FALSE)</f>
        <v>#REF!</v>
      </c>
      <c r="AT423" s="2" t="e">
        <f>VLOOKUP(H423,#REF!,13,FALSE)</f>
        <v>#REF!</v>
      </c>
      <c r="AU423" s="2" t="e">
        <f>VLOOKUP(H423,#REF!,13,FALSE)</f>
        <v>#REF!</v>
      </c>
      <c r="AV423" s="2" t="e">
        <f>VLOOKUP(H423,#REF!,13,FALSE)</f>
        <v>#REF!</v>
      </c>
      <c r="AW423" s="2" t="e">
        <f>VLOOKUP(H423,#REF!,13,FALSE)</f>
        <v>#REF!</v>
      </c>
      <c r="AX423" s="2" t="e">
        <f>VLOOKUP(H423,#REF!,9,FALSE)</f>
        <v>#REF!</v>
      </c>
      <c r="AZ423" s="2" t="e">
        <f>VLOOKUP(H423,#REF!,2,FALSE)</f>
        <v>#REF!</v>
      </c>
      <c r="BF423" s="189" t="e">
        <f>VLOOKUP(CLEAN(H423),#REF!,2,FALSE)</f>
        <v>#REF!</v>
      </c>
      <c r="BG423" s="189" t="e">
        <f>T423-BF423</f>
        <v>#REF!</v>
      </c>
      <c r="BO423" s="2" t="e">
        <f>VLOOKUP(H423,#REF!,13,FALSE)</f>
        <v>#REF!</v>
      </c>
      <c r="BP423" s="2" t="e">
        <f>VLOOKUP(H423,#REF!,2,FALSE)</f>
        <v>#REF!</v>
      </c>
      <c r="BQ423" s="2" t="e">
        <f>VLOOKUP(H423,#REF!,13,FALSE)</f>
        <v>#REF!</v>
      </c>
      <c r="BR423" s="2" t="e">
        <f>VLOOKUP(H423,#REF!,3,FALSE)</f>
        <v>#REF!</v>
      </c>
    </row>
    <row r="424" spans="1:70" s="2" customFormat="1" ht="15" customHeight="1" outlineLevel="2">
      <c r="A424" s="5">
        <v>31</v>
      </c>
      <c r="B424" s="5" t="s">
        <v>11</v>
      </c>
      <c r="C424" s="5" t="s">
        <v>252</v>
      </c>
      <c r="D424" s="5" t="s">
        <v>22</v>
      </c>
      <c r="E424" s="5" t="s">
        <v>29</v>
      </c>
      <c r="F424" s="5" t="s">
        <v>75</v>
      </c>
      <c r="G424" s="5" t="s">
        <v>144</v>
      </c>
      <c r="H424" s="12">
        <v>30476690</v>
      </c>
      <c r="I424" s="42" t="str">
        <f t="shared" si="247"/>
        <v>30476690-EJECUCION</v>
      </c>
      <c r="J424" s="12"/>
      <c r="K424" s="307" t="str">
        <f t="shared" si="248"/>
        <v>30476690</v>
      </c>
      <c r="L424" s="15" t="s">
        <v>797</v>
      </c>
      <c r="M424" s="23">
        <v>346786000</v>
      </c>
      <c r="N424" s="34">
        <v>0</v>
      </c>
      <c r="O424" s="34">
        <v>346786000</v>
      </c>
      <c r="P424" s="310">
        <v>0</v>
      </c>
      <c r="Q424" s="34">
        <v>0</v>
      </c>
      <c r="R424" s="308">
        <v>0</v>
      </c>
      <c r="S424" s="34">
        <f t="shared" si="249"/>
        <v>0</v>
      </c>
      <c r="T424" s="34">
        <v>0</v>
      </c>
      <c r="U424" s="34">
        <v>0</v>
      </c>
      <c r="V424" s="34">
        <f>P424+Q424+R424+T424+U424</f>
        <v>0</v>
      </c>
      <c r="W424" s="34">
        <f>O424-V424</f>
        <v>346786000</v>
      </c>
      <c r="X424" s="34">
        <f>M424-(N424+O424)</f>
        <v>0</v>
      </c>
      <c r="Y424" s="48" t="s">
        <v>418</v>
      </c>
      <c r="Z424" s="48" t="s">
        <v>8</v>
      </c>
      <c r="AA424" s="2" t="e">
        <v>#N/A</v>
      </c>
      <c r="AB424" s="2" t="e">
        <f>VLOOKUP(H424,#REF!,2,FALSE)</f>
        <v>#REF!</v>
      </c>
      <c r="AC424" s="2" t="e">
        <f>VLOOKUP(I424,#REF!,2,FALSE)</f>
        <v>#REF!</v>
      </c>
      <c r="AD424" s="2" t="e">
        <f>VLOOKUP(H424,#REF!,13,FALSE)</f>
        <v>#REF!</v>
      </c>
      <c r="AE424" s="2" t="e">
        <f>VLOOKUP(I424,#REF!,7,FALSE)</f>
        <v>#REF!</v>
      </c>
      <c r="AG424" s="2" t="e">
        <f>VLOOKUP(H424,#REF!,13,FALSE)</f>
        <v>#REF!</v>
      </c>
      <c r="AH424" s="2" t="e">
        <f>VLOOKUP(I424,#REF!,2,FALSE)</f>
        <v>#REF!</v>
      </c>
      <c r="AJ424" s="185" t="e">
        <f>VLOOKUP(H424,#REF!,3,FALSE)</f>
        <v>#REF!</v>
      </c>
      <c r="AK424" s="185"/>
      <c r="AL424" s="185" t="e">
        <f>VLOOKUP(H424,#REF!,13,FALSE)</f>
        <v>#REF!</v>
      </c>
      <c r="AM424" s="185" t="e">
        <f>VLOOKUP(CLEAN(H424),#REF!,7,FALSE)</f>
        <v>#REF!</v>
      </c>
      <c r="AN424" s="2" t="e">
        <f>VLOOKUP(H424,#REF!,8,FALSE)</f>
        <v>#REF!</v>
      </c>
      <c r="AO424" s="189" t="e">
        <f>VLOOKUP(H424,#REF!,2,FALSE)</f>
        <v>#REF!</v>
      </c>
      <c r="AP424" s="189" t="e">
        <f>VLOOKUP(H424,#REF!,2,FALSE)</f>
        <v>#REF!</v>
      </c>
      <c r="AQ424" s="189"/>
      <c r="AR424" s="2" t="e">
        <f>VLOOKUP(CLEAN(H424),#REF!,2,FALSE)</f>
        <v>#REF!</v>
      </c>
      <c r="AT424" s="2" t="e">
        <f>VLOOKUP(H424,#REF!,13,FALSE)</f>
        <v>#REF!</v>
      </c>
      <c r="AU424" s="2" t="e">
        <f>VLOOKUP(H424,#REF!,13,FALSE)</f>
        <v>#REF!</v>
      </c>
      <c r="AV424" s="2" t="e">
        <f>VLOOKUP(H424,#REF!,13,FALSE)</f>
        <v>#REF!</v>
      </c>
      <c r="AW424" s="2" t="e">
        <f>VLOOKUP(H424,#REF!,13,FALSE)</f>
        <v>#REF!</v>
      </c>
      <c r="AX424" s="2" t="e">
        <f>VLOOKUP(H424,#REF!,9,FALSE)</f>
        <v>#REF!</v>
      </c>
      <c r="AZ424" s="189" t="e">
        <f>VLOOKUP(H424,#REF!,2,FALSE)</f>
        <v>#REF!</v>
      </c>
      <c r="BF424" s="189" t="e">
        <f>VLOOKUP(CLEAN(H424),#REF!,2,FALSE)</f>
        <v>#REF!</v>
      </c>
      <c r="BG424" s="189" t="e">
        <f>T424-BF424</f>
        <v>#REF!</v>
      </c>
      <c r="BO424" s="2" t="e">
        <f>VLOOKUP(H424,#REF!,13,FALSE)</f>
        <v>#REF!</v>
      </c>
      <c r="BP424" s="2" t="e">
        <f>VLOOKUP(H424,#REF!,2,FALSE)</f>
        <v>#REF!</v>
      </c>
      <c r="BQ424" s="2" t="e">
        <f>VLOOKUP(H424,#REF!,13,FALSE)</f>
        <v>#REF!</v>
      </c>
      <c r="BR424" s="2" t="e">
        <f>VLOOKUP(H424,#REF!,3,FALSE)</f>
        <v>#REF!</v>
      </c>
    </row>
    <row r="425" spans="1:70" s="2" customFormat="1" ht="15" customHeight="1" outlineLevel="2">
      <c r="A425" s="5">
        <v>29</v>
      </c>
      <c r="B425" s="5" t="s">
        <v>11</v>
      </c>
      <c r="C425" s="5" t="s">
        <v>238</v>
      </c>
      <c r="D425" s="5" t="s">
        <v>22</v>
      </c>
      <c r="E425" s="5" t="s">
        <v>29</v>
      </c>
      <c r="F425" s="5" t="s">
        <v>457</v>
      </c>
      <c r="G425" s="5" t="s">
        <v>144</v>
      </c>
      <c r="H425" s="12">
        <v>30426972</v>
      </c>
      <c r="I425" s="42" t="str">
        <f>CONCATENATE(H425,"-",G425)</f>
        <v>30426972-EJECUCION</v>
      </c>
      <c r="J425" s="12"/>
      <c r="K425" s="307" t="str">
        <f>CLEAN(H425)</f>
        <v>30426972</v>
      </c>
      <c r="L425" s="15" t="s">
        <v>814</v>
      </c>
      <c r="M425" s="23">
        <v>339981000</v>
      </c>
      <c r="N425" s="34">
        <v>0</v>
      </c>
      <c r="O425" s="34">
        <v>0</v>
      </c>
      <c r="P425" s="310">
        <v>0</v>
      </c>
      <c r="Q425" s="34">
        <v>0</v>
      </c>
      <c r="R425" s="308">
        <v>0</v>
      </c>
      <c r="S425" s="34">
        <f t="shared" si="249"/>
        <v>0</v>
      </c>
      <c r="T425" s="34">
        <v>0</v>
      </c>
      <c r="U425" s="34">
        <v>0</v>
      </c>
      <c r="V425" s="34">
        <f>P425+Q425+R425+T425+U425</f>
        <v>0</v>
      </c>
      <c r="W425" s="34">
        <f>O425-V425</f>
        <v>0</v>
      </c>
      <c r="X425" s="34">
        <f>M425-(N425+O425)</f>
        <v>339981000</v>
      </c>
      <c r="Y425" s="48" t="s">
        <v>418</v>
      </c>
      <c r="Z425" s="48" t="s">
        <v>10</v>
      </c>
      <c r="AA425" s="2" t="e">
        <v>#N/A</v>
      </c>
      <c r="AB425" s="2" t="e">
        <f>VLOOKUP(H425,#REF!,2,FALSE)</f>
        <v>#REF!</v>
      </c>
      <c r="AJ425" s="185"/>
      <c r="AK425" s="185"/>
      <c r="AL425" s="185"/>
      <c r="AM425" s="185"/>
      <c r="AO425" s="189" t="e">
        <f>VLOOKUP(H425,#REF!,2,FALSE)</f>
        <v>#REF!</v>
      </c>
      <c r="AP425" s="189" t="e">
        <f>VLOOKUP(H425,#REF!,2,FALSE)</f>
        <v>#REF!</v>
      </c>
      <c r="AQ425" s="189"/>
      <c r="AR425" s="2" t="e">
        <f>VLOOKUP(CLEAN(H425),#REF!,2,FALSE)</f>
        <v>#REF!</v>
      </c>
      <c r="AT425" s="2" t="e">
        <f>VLOOKUP(H425,#REF!,13,FALSE)</f>
        <v>#REF!</v>
      </c>
      <c r="AU425" s="2" t="e">
        <f>VLOOKUP(H425,#REF!,13,FALSE)</f>
        <v>#REF!</v>
      </c>
      <c r="AV425" s="2" t="e">
        <f>VLOOKUP(H425,#REF!,13,FALSE)</f>
        <v>#REF!</v>
      </c>
      <c r="AW425" s="2" t="e">
        <f>VLOOKUP(H425,#REF!,13,FALSE)</f>
        <v>#REF!</v>
      </c>
      <c r="AX425" s="2" t="e">
        <f>VLOOKUP(H425,#REF!,9,FALSE)</f>
        <v>#REF!</v>
      </c>
      <c r="AZ425" s="2" t="e">
        <f>VLOOKUP(H425,#REF!,2,FALSE)</f>
        <v>#REF!</v>
      </c>
      <c r="BF425" s="189" t="e">
        <f>VLOOKUP(CLEAN(H425),#REF!,2,FALSE)</f>
        <v>#REF!</v>
      </c>
      <c r="BG425" s="189" t="e">
        <f>T425-BF425</f>
        <v>#REF!</v>
      </c>
      <c r="BO425" s="2" t="e">
        <f>VLOOKUP(H425,#REF!,13,FALSE)</f>
        <v>#REF!</v>
      </c>
      <c r="BP425" s="2" t="e">
        <f>VLOOKUP(H425,#REF!,2,FALSE)</f>
        <v>#REF!</v>
      </c>
      <c r="BQ425" s="2" t="e">
        <f>VLOOKUP(H425,#REF!,13,FALSE)</f>
        <v>#REF!</v>
      </c>
      <c r="BR425" s="2" t="e">
        <f>VLOOKUP(H425,#REF!,3,FALSE)</f>
        <v>#REF!</v>
      </c>
    </row>
    <row r="426" spans="1:70" s="2" customFormat="1" ht="15" customHeight="1" outlineLevel="2">
      <c r="A426" s="5">
        <v>31</v>
      </c>
      <c r="B426" s="5" t="s">
        <v>54</v>
      </c>
      <c r="C426" s="5" t="s">
        <v>238</v>
      </c>
      <c r="D426" s="5" t="s">
        <v>22</v>
      </c>
      <c r="E426" s="5" t="s">
        <v>29</v>
      </c>
      <c r="F426" s="5" t="s">
        <v>21</v>
      </c>
      <c r="G426" s="5" t="s">
        <v>144</v>
      </c>
      <c r="H426" s="12">
        <v>30077481</v>
      </c>
      <c r="I426" s="42" t="str">
        <f t="shared" si="247"/>
        <v>30077481-EJECUCION</v>
      </c>
      <c r="J426" s="12"/>
      <c r="K426" s="307" t="str">
        <f t="shared" si="248"/>
        <v>30077481</v>
      </c>
      <c r="L426" s="15" t="s">
        <v>276</v>
      </c>
      <c r="M426" s="23">
        <v>1829888000</v>
      </c>
      <c r="N426" s="34">
        <v>0</v>
      </c>
      <c r="O426" s="34">
        <f>200000000-12530000</f>
        <v>187470000</v>
      </c>
      <c r="P426" s="310">
        <v>0</v>
      </c>
      <c r="Q426" s="34">
        <v>0</v>
      </c>
      <c r="R426" s="308">
        <v>0</v>
      </c>
      <c r="S426" s="34">
        <f t="shared" si="249"/>
        <v>0</v>
      </c>
      <c r="T426" s="34">
        <v>0</v>
      </c>
      <c r="U426" s="34">
        <v>0</v>
      </c>
      <c r="V426" s="34">
        <f>P426+Q426+R426+T426+U426</f>
        <v>0</v>
      </c>
      <c r="W426" s="34">
        <f>O426-V426</f>
        <v>187470000</v>
      </c>
      <c r="X426" s="34">
        <f>M426-(N426+O426)</f>
        <v>1642418000</v>
      </c>
      <c r="Y426" s="48" t="s">
        <v>418</v>
      </c>
      <c r="Z426" s="48" t="s">
        <v>8</v>
      </c>
      <c r="AA426" s="2" t="s">
        <v>843</v>
      </c>
      <c r="AB426" s="2" t="e">
        <f>VLOOKUP(H426,#REF!,2,FALSE)</f>
        <v>#REF!</v>
      </c>
      <c r="AC426" s="2" t="e">
        <f>VLOOKUP(I426,#REF!,2,FALSE)</f>
        <v>#REF!</v>
      </c>
      <c r="AD426" s="2" t="e">
        <f>VLOOKUP(H426,#REF!,13,FALSE)</f>
        <v>#REF!</v>
      </c>
      <c r="AE426" s="2" t="e">
        <f>VLOOKUP(I426,#REF!,7,FALSE)</f>
        <v>#REF!</v>
      </c>
      <c r="AG426" s="2" t="e">
        <f>VLOOKUP(H426,#REF!,13,FALSE)</f>
        <v>#REF!</v>
      </c>
      <c r="AH426" s="2" t="e">
        <f>VLOOKUP(I426,#REF!,2,FALSE)</f>
        <v>#REF!</v>
      </c>
      <c r="AJ426" s="185" t="e">
        <f>VLOOKUP(H426,#REF!,3,FALSE)</f>
        <v>#REF!</v>
      </c>
      <c r="AK426" s="185"/>
      <c r="AL426" s="185" t="e">
        <f>VLOOKUP(H426,#REF!,13,FALSE)</f>
        <v>#REF!</v>
      </c>
      <c r="AM426" s="185" t="e">
        <f>VLOOKUP(CLEAN(H426),#REF!,7,FALSE)</f>
        <v>#REF!</v>
      </c>
      <c r="AN426" s="2" t="e">
        <f>VLOOKUP(H426,#REF!,8,FALSE)</f>
        <v>#REF!</v>
      </c>
      <c r="AO426" s="189" t="e">
        <f>VLOOKUP(H426,#REF!,2,FALSE)</f>
        <v>#REF!</v>
      </c>
      <c r="AP426" s="189" t="e">
        <f>VLOOKUP(H426,#REF!,2,FALSE)</f>
        <v>#REF!</v>
      </c>
      <c r="AQ426" s="189"/>
      <c r="AR426" s="2" t="e">
        <f>VLOOKUP(CLEAN(H426),#REF!,2,FALSE)</f>
        <v>#REF!</v>
      </c>
      <c r="AT426" s="2" t="e">
        <f>VLOOKUP(H426,#REF!,13,FALSE)</f>
        <v>#REF!</v>
      </c>
      <c r="AU426" s="2" t="e">
        <f>VLOOKUP(H426,#REF!,13,FALSE)</f>
        <v>#REF!</v>
      </c>
      <c r="AV426" s="2" t="e">
        <f>VLOOKUP(H426,#REF!,13,FALSE)</f>
        <v>#REF!</v>
      </c>
      <c r="AW426" s="2" t="e">
        <f>VLOOKUP(H426,#REF!,13,FALSE)</f>
        <v>#REF!</v>
      </c>
      <c r="AX426" s="2" t="e">
        <f>VLOOKUP(H426,#REF!,9,FALSE)</f>
        <v>#REF!</v>
      </c>
      <c r="AZ426" s="189" t="e">
        <f>VLOOKUP(H426,#REF!,2,FALSE)</f>
        <v>#REF!</v>
      </c>
      <c r="BF426" s="189" t="e">
        <f>VLOOKUP(CLEAN(H426),#REF!,2,FALSE)</f>
        <v>#REF!</v>
      </c>
      <c r="BG426" s="189" t="e">
        <f>T426-BF426</f>
        <v>#REF!</v>
      </c>
      <c r="BO426" s="2" t="e">
        <f>VLOOKUP(H426,#REF!,13,FALSE)</f>
        <v>#REF!</v>
      </c>
      <c r="BP426" s="2" t="e">
        <f>VLOOKUP(H426,#REF!,2,FALSE)</f>
        <v>#REF!</v>
      </c>
      <c r="BQ426" s="2" t="e">
        <f>VLOOKUP(H426,#REF!,13,FALSE)</f>
        <v>#REF!</v>
      </c>
      <c r="BR426" s="2" t="e">
        <f>VLOOKUP(H426,#REF!,3,FALSE)</f>
        <v>#REF!</v>
      </c>
    </row>
    <row r="427" spans="1:70" ht="15" customHeight="1" outlineLevel="2">
      <c r="A427" s="7"/>
      <c r="B427" s="7"/>
      <c r="C427" s="7"/>
      <c r="D427" s="7"/>
      <c r="E427" s="7"/>
      <c r="F427" s="7"/>
      <c r="G427" s="7"/>
      <c r="H427" s="11"/>
      <c r="I427" s="11"/>
      <c r="J427" s="11"/>
      <c r="K427" s="11"/>
      <c r="L427" s="17" t="s">
        <v>702</v>
      </c>
      <c r="M427" s="27">
        <f t="shared" ref="M427:X427" si="250">SUBTOTAL(9,M422:M426)</f>
        <v>2838140000</v>
      </c>
      <c r="N427" s="27">
        <f t="shared" si="250"/>
        <v>0</v>
      </c>
      <c r="O427" s="27">
        <f t="shared" si="250"/>
        <v>594256000</v>
      </c>
      <c r="P427" s="24">
        <f t="shared" si="250"/>
        <v>0</v>
      </c>
      <c r="Q427" s="24">
        <f t="shared" si="250"/>
        <v>0</v>
      </c>
      <c r="R427" s="24">
        <f t="shared" si="250"/>
        <v>0</v>
      </c>
      <c r="S427" s="27">
        <f t="shared" si="250"/>
        <v>0</v>
      </c>
      <c r="T427" s="27">
        <f t="shared" si="250"/>
        <v>0</v>
      </c>
      <c r="U427" s="27">
        <f t="shared" si="250"/>
        <v>0</v>
      </c>
      <c r="V427" s="27">
        <f t="shared" si="250"/>
        <v>0</v>
      </c>
      <c r="W427" s="27">
        <f t="shared" si="250"/>
        <v>594256000</v>
      </c>
      <c r="X427" s="27">
        <f t="shared" si="250"/>
        <v>2243884000</v>
      </c>
      <c r="Y427" s="47"/>
      <c r="Z427" s="47"/>
      <c r="AM427" s="185" t="e">
        <f>VLOOKUP(CLEAN(H427),#REF!,7,FALSE)</f>
        <v>#REF!</v>
      </c>
      <c r="AO427"/>
      <c r="AP427"/>
      <c r="AQ427"/>
      <c r="AR427" s="2" t="e">
        <f>VLOOKUP(CLEAN(H427),#REF!,2,FALSE)</f>
        <v>#REF!</v>
      </c>
      <c r="AT427" s="2" t="e">
        <f>VLOOKUP(H427,#REF!,13,FALSE)</f>
        <v>#REF!</v>
      </c>
      <c r="AZ427" s="2" t="e">
        <f>VLOOKUP(H427,#REF!,2,FALSE)</f>
        <v>#REF!</v>
      </c>
      <c r="BO427" s="2" t="e">
        <f>VLOOKUP(H427,#REF!,13,FALSE)</f>
        <v>#REF!</v>
      </c>
      <c r="BQ427" s="2" t="e">
        <f>VLOOKUP(H427,#REF!,13,FALSE)</f>
        <v>#REF!</v>
      </c>
    </row>
    <row r="428" spans="1:70" s="2" customFormat="1" ht="15" customHeight="1" outlineLevel="2">
      <c r="A428" s="7"/>
      <c r="B428" s="7"/>
      <c r="C428" s="7"/>
      <c r="D428" s="7"/>
      <c r="E428" s="7"/>
      <c r="F428" s="7"/>
      <c r="G428" s="7"/>
      <c r="H428" s="11"/>
      <c r="I428" s="14"/>
      <c r="J428" s="14"/>
      <c r="K428" s="14"/>
      <c r="L428" s="294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47"/>
      <c r="Z428" s="47"/>
      <c r="AJ428" s="185"/>
      <c r="AK428" s="185"/>
      <c r="AL428" s="185"/>
      <c r="AM428" s="185"/>
      <c r="AR428" s="2" t="e">
        <f>VLOOKUP(CLEAN(H428),#REF!,2,FALSE)</f>
        <v>#REF!</v>
      </c>
      <c r="AT428" s="2" t="e">
        <f>VLOOKUP(H428,#REF!,13,FALSE)</f>
        <v>#REF!</v>
      </c>
      <c r="AZ428" s="2" t="e">
        <f>VLOOKUP(H428,#REF!,2,FALSE)</f>
        <v>#REF!</v>
      </c>
      <c r="BF428" s="189"/>
      <c r="BO428" s="2" t="e">
        <f>VLOOKUP(H428,#REF!,13,FALSE)</f>
        <v>#REF!</v>
      </c>
      <c r="BP428" s="293"/>
      <c r="BQ428" s="2" t="e">
        <f>VLOOKUP(H428,#REF!,13,FALSE)</f>
        <v>#REF!</v>
      </c>
    </row>
    <row r="429" spans="1:70" s="2" customFormat="1" ht="15" customHeight="1" outlineLevel="2">
      <c r="A429" s="7"/>
      <c r="B429" s="7"/>
      <c r="C429" s="7"/>
      <c r="D429" s="7"/>
      <c r="E429" s="7"/>
      <c r="F429" s="7"/>
      <c r="G429" s="7"/>
      <c r="H429" s="11"/>
      <c r="I429" s="14"/>
      <c r="J429" s="14"/>
      <c r="K429" s="14"/>
      <c r="L429" s="18" t="s">
        <v>697</v>
      </c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50"/>
      <c r="Z429" s="50"/>
      <c r="AJ429" s="185"/>
      <c r="AK429" s="185"/>
      <c r="AL429" s="185"/>
      <c r="AM429" s="185"/>
      <c r="AR429" s="2" t="e">
        <f>VLOOKUP(CLEAN(H429),#REF!,2,FALSE)</f>
        <v>#REF!</v>
      </c>
      <c r="AT429" s="2" t="e">
        <f>VLOOKUP(H429,#REF!,13,FALSE)</f>
        <v>#REF!</v>
      </c>
      <c r="AZ429" s="2" t="e">
        <f>VLOOKUP(H429,#REF!,2,FALSE)</f>
        <v>#REF!</v>
      </c>
      <c r="BF429" s="189"/>
      <c r="BO429" s="2" t="e">
        <f>VLOOKUP(H429,#REF!,13,FALSE)</f>
        <v>#REF!</v>
      </c>
      <c r="BQ429" s="2" t="e">
        <f>VLOOKUP(H429,#REF!,13,FALSE)</f>
        <v>#REF!</v>
      </c>
    </row>
    <row r="430" spans="1:70" s="2" customFormat="1" ht="15" customHeight="1" outlineLevel="2">
      <c r="A430" s="5">
        <v>29</v>
      </c>
      <c r="B430" s="5" t="s">
        <v>54</v>
      </c>
      <c r="C430" s="5" t="s">
        <v>238</v>
      </c>
      <c r="D430" s="5" t="s">
        <v>22</v>
      </c>
      <c r="E430" s="5" t="s">
        <v>29</v>
      </c>
      <c r="F430" s="5" t="s">
        <v>457</v>
      </c>
      <c r="G430" s="5" t="s">
        <v>144</v>
      </c>
      <c r="H430" s="12">
        <v>30427023</v>
      </c>
      <c r="I430" s="42" t="str">
        <f>CONCATENATE(H430,"-",G430)</f>
        <v>30427023-EJECUCION</v>
      </c>
      <c r="J430" s="12"/>
      <c r="K430" s="307" t="str">
        <f>CLEAN(H430)</f>
        <v>30427023</v>
      </c>
      <c r="L430" s="15" t="s">
        <v>760</v>
      </c>
      <c r="M430" s="23">
        <v>499633783</v>
      </c>
      <c r="N430" s="34">
        <v>0</v>
      </c>
      <c r="O430" s="34">
        <f>499636000-2217</f>
        <v>499633783</v>
      </c>
      <c r="P430" s="310">
        <v>0</v>
      </c>
      <c r="Q430" s="34">
        <v>0</v>
      </c>
      <c r="R430" s="308">
        <v>499633783</v>
      </c>
      <c r="S430" s="34">
        <f>P430+Q430+R430</f>
        <v>499633783</v>
      </c>
      <c r="T430" s="34">
        <v>0</v>
      </c>
      <c r="U430" s="34">
        <v>0</v>
      </c>
      <c r="V430" s="34">
        <f>P430+Q430+R430+T430+U430</f>
        <v>499633783</v>
      </c>
      <c r="W430" s="34">
        <f>O430-V430</f>
        <v>0</v>
      </c>
      <c r="X430" s="34">
        <f>M430-(N430+O430)</f>
        <v>0</v>
      </c>
      <c r="Y430" s="48" t="s">
        <v>460</v>
      </c>
      <c r="Z430" s="48" t="s">
        <v>10</v>
      </c>
      <c r="AA430" s="2" t="e">
        <v>#N/A</v>
      </c>
      <c r="AB430" s="2" t="e">
        <f>VLOOKUP(H430,#REF!,2,FALSE)</f>
        <v>#REF!</v>
      </c>
      <c r="AC430" s="2" t="e">
        <f>VLOOKUP(I430,#REF!,2,FALSE)</f>
        <v>#REF!</v>
      </c>
      <c r="AD430" s="2" t="e">
        <f>VLOOKUP(H430,#REF!,13,FALSE)</f>
        <v>#REF!</v>
      </c>
      <c r="AE430" s="2" t="e">
        <f>VLOOKUP(I430,#REF!,7,FALSE)</f>
        <v>#REF!</v>
      </c>
      <c r="AG430" s="2" t="e">
        <f>VLOOKUP(H430,#REF!,13,FALSE)</f>
        <v>#REF!</v>
      </c>
      <c r="AH430" s="2" t="e">
        <f>VLOOKUP(I430,#REF!,2,FALSE)</f>
        <v>#REF!</v>
      </c>
      <c r="AJ430" s="185" t="e">
        <f>VLOOKUP(H430,#REF!,3,FALSE)</f>
        <v>#REF!</v>
      </c>
      <c r="AK430" s="185"/>
      <c r="AL430" s="185" t="e">
        <f>VLOOKUP(H430,#REF!,13,FALSE)</f>
        <v>#REF!</v>
      </c>
      <c r="AM430" s="185" t="e">
        <f>VLOOKUP(CLEAN(H430),#REF!,7,FALSE)</f>
        <v>#REF!</v>
      </c>
      <c r="AN430" s="2" t="e">
        <f>VLOOKUP(H430,#REF!,8,FALSE)</f>
        <v>#REF!</v>
      </c>
      <c r="AO430" s="189" t="e">
        <f>VLOOKUP(H430,#REF!,2,FALSE)</f>
        <v>#REF!</v>
      </c>
      <c r="AP430" s="189" t="e">
        <f>VLOOKUP(H430,#REF!,2,FALSE)</f>
        <v>#REF!</v>
      </c>
      <c r="AQ430" s="189"/>
      <c r="AR430" s="2" t="e">
        <f>VLOOKUP(CLEAN(H430),#REF!,2,FALSE)</f>
        <v>#REF!</v>
      </c>
      <c r="AT430" s="2" t="e">
        <f>VLOOKUP(H430,#REF!,13,FALSE)</f>
        <v>#REF!</v>
      </c>
      <c r="AU430" s="2" t="e">
        <f>VLOOKUP(H430,#REF!,13,FALSE)</f>
        <v>#REF!</v>
      </c>
      <c r="AV430" s="2" t="e">
        <f>VLOOKUP(H430,#REF!,13,FALSE)</f>
        <v>#REF!</v>
      </c>
      <c r="AW430" s="2" t="e">
        <f>VLOOKUP(H430,#REF!,13,FALSE)</f>
        <v>#REF!</v>
      </c>
      <c r="AX430" s="2" t="e">
        <f>VLOOKUP(H430,#REF!,9,FALSE)</f>
        <v>#REF!</v>
      </c>
      <c r="AZ430" s="189" t="e">
        <f>VLOOKUP(H430,#REF!,2,FALSE)</f>
        <v>#REF!</v>
      </c>
      <c r="BF430" s="189" t="e">
        <f>VLOOKUP(CLEAN(H430),#REF!,2,FALSE)</f>
        <v>#REF!</v>
      </c>
      <c r="BG430" s="189" t="e">
        <f>T430-BF430</f>
        <v>#REF!</v>
      </c>
      <c r="BO430" s="2" t="e">
        <f>VLOOKUP(H430,#REF!,13,FALSE)</f>
        <v>#REF!</v>
      </c>
      <c r="BP430" s="2" t="e">
        <f>VLOOKUP(H430,#REF!,2,FALSE)</f>
        <v>#REF!</v>
      </c>
      <c r="BQ430" s="2" t="e">
        <f>VLOOKUP(H430,#REF!,13,FALSE)</f>
        <v>#REF!</v>
      </c>
      <c r="BR430" s="2" t="e">
        <f>VLOOKUP(H430,#REF!,3,FALSE)</f>
        <v>#REF!</v>
      </c>
    </row>
    <row r="431" spans="1:70" s="2" customFormat="1" ht="15" customHeight="1" outlineLevel="2">
      <c r="A431" s="7"/>
      <c r="B431" s="7"/>
      <c r="C431" s="7"/>
      <c r="D431" s="7"/>
      <c r="E431" s="7"/>
      <c r="F431" s="7"/>
      <c r="G431" s="7"/>
      <c r="H431" s="11"/>
      <c r="I431" s="14"/>
      <c r="J431" s="14"/>
      <c r="K431" s="14"/>
      <c r="L431" s="17" t="s">
        <v>694</v>
      </c>
      <c r="M431" s="27">
        <f t="shared" ref="M431:X431" si="251">SUBTOTAL(9,M430)</f>
        <v>499633783</v>
      </c>
      <c r="N431" s="27">
        <f t="shared" si="251"/>
        <v>0</v>
      </c>
      <c r="O431" s="27">
        <f t="shared" si="251"/>
        <v>499633783</v>
      </c>
      <c r="P431" s="24">
        <f t="shared" si="251"/>
        <v>0</v>
      </c>
      <c r="Q431" s="24">
        <f t="shared" si="251"/>
        <v>0</v>
      </c>
      <c r="R431" s="24">
        <f t="shared" si="251"/>
        <v>499633783</v>
      </c>
      <c r="S431" s="27">
        <f t="shared" si="251"/>
        <v>499633783</v>
      </c>
      <c r="T431" s="27">
        <f t="shared" si="251"/>
        <v>0</v>
      </c>
      <c r="U431" s="27">
        <f t="shared" si="251"/>
        <v>0</v>
      </c>
      <c r="V431" s="27">
        <f t="shared" si="251"/>
        <v>499633783</v>
      </c>
      <c r="W431" s="27">
        <f t="shared" si="251"/>
        <v>0</v>
      </c>
      <c r="X431" s="27">
        <f t="shared" si="251"/>
        <v>0</v>
      </c>
      <c r="Y431" s="50"/>
      <c r="Z431" s="50"/>
      <c r="AJ431" s="185"/>
      <c r="AK431" s="185"/>
      <c r="AL431" s="185"/>
      <c r="AM431" s="185"/>
      <c r="AR431" s="2" t="e">
        <f>VLOOKUP(CLEAN(H431),#REF!,2,FALSE)</f>
        <v>#REF!</v>
      </c>
      <c r="AT431" s="2" t="e">
        <f>VLOOKUP(H431,#REF!,13,FALSE)</f>
        <v>#REF!</v>
      </c>
      <c r="AZ431" s="2" t="e">
        <f>VLOOKUP(H431,#REF!,2,FALSE)</f>
        <v>#REF!</v>
      </c>
      <c r="BF431" s="189"/>
      <c r="BO431" s="2" t="e">
        <f>VLOOKUP(H431,#REF!,13,FALSE)</f>
        <v>#REF!</v>
      </c>
      <c r="BQ431" s="2" t="e">
        <f>VLOOKUP(H431,#REF!,13,FALSE)</f>
        <v>#REF!</v>
      </c>
    </row>
    <row r="432" spans="1:70" s="2" customFormat="1" ht="15" customHeight="1" outlineLevel="2">
      <c r="A432" s="7"/>
      <c r="B432" s="7"/>
      <c r="C432" s="7"/>
      <c r="D432" s="7"/>
      <c r="E432" s="7"/>
      <c r="F432" s="7"/>
      <c r="G432" s="7"/>
      <c r="H432" s="11"/>
      <c r="I432" s="14"/>
      <c r="J432" s="14"/>
      <c r="K432" s="14"/>
      <c r="L432" s="294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47"/>
      <c r="Z432" s="47"/>
      <c r="AJ432" s="185"/>
      <c r="AK432" s="185"/>
      <c r="AL432" s="185"/>
      <c r="AM432" s="185"/>
      <c r="AR432" s="2" t="e">
        <f>VLOOKUP(CLEAN(H432),#REF!,2,FALSE)</f>
        <v>#REF!</v>
      </c>
      <c r="AT432" s="2" t="e">
        <f>VLOOKUP(H432,#REF!,13,FALSE)</f>
        <v>#REF!</v>
      </c>
      <c r="AZ432" s="2" t="e">
        <f>VLOOKUP(H432,#REF!,2,FALSE)</f>
        <v>#REF!</v>
      </c>
      <c r="BF432" s="189"/>
      <c r="BO432" s="2" t="e">
        <f>VLOOKUP(H432,#REF!,13,FALSE)</f>
        <v>#REF!</v>
      </c>
      <c r="BP432" s="293"/>
      <c r="BQ432" s="2" t="e">
        <f>VLOOKUP(H432,#REF!,13,FALSE)</f>
        <v>#REF!</v>
      </c>
    </row>
    <row r="433" spans="1:70" ht="15" customHeight="1" outlineLevel="2">
      <c r="A433" s="7"/>
      <c r="B433" s="7"/>
      <c r="C433" s="7"/>
      <c r="D433" s="7"/>
      <c r="E433" s="7"/>
      <c r="F433" s="7"/>
      <c r="G433" s="7"/>
      <c r="H433" s="11"/>
      <c r="I433" s="11"/>
      <c r="J433" s="11"/>
      <c r="K433" s="11"/>
      <c r="L433" s="18" t="s">
        <v>696</v>
      </c>
      <c r="M433" s="22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47"/>
      <c r="Z433" s="47"/>
      <c r="AM433" s="185" t="e">
        <f>VLOOKUP(CLEAN(H433),#REF!,7,FALSE)</f>
        <v>#REF!</v>
      </c>
      <c r="AO433"/>
      <c r="AP433"/>
      <c r="AQ433"/>
      <c r="AR433" s="2" t="e">
        <f>VLOOKUP(CLEAN(H433),#REF!,2,FALSE)</f>
        <v>#REF!</v>
      </c>
      <c r="AT433" s="2" t="e">
        <f>VLOOKUP(H433,#REF!,13,FALSE)</f>
        <v>#REF!</v>
      </c>
      <c r="AZ433" s="2" t="e">
        <f>VLOOKUP(H433,#REF!,2,FALSE)</f>
        <v>#REF!</v>
      </c>
      <c r="BO433" s="2" t="e">
        <f>VLOOKUP(H433,#REF!,13,FALSE)</f>
        <v>#REF!</v>
      </c>
      <c r="BQ433" s="2" t="e">
        <f>VLOOKUP(H433,#REF!,13,FALSE)</f>
        <v>#REF!</v>
      </c>
    </row>
    <row r="434" spans="1:70" s="2" customFormat="1" ht="15" customHeight="1" outlineLevel="2">
      <c r="A434" s="5">
        <v>29</v>
      </c>
      <c r="B434" s="5" t="s">
        <v>54</v>
      </c>
      <c r="C434" s="5" t="s">
        <v>301</v>
      </c>
      <c r="D434" s="5" t="s">
        <v>22</v>
      </c>
      <c r="E434" s="5" t="s">
        <v>29</v>
      </c>
      <c r="F434" s="5" t="s">
        <v>457</v>
      </c>
      <c r="G434" s="5" t="s">
        <v>144</v>
      </c>
      <c r="H434" s="12">
        <v>30482327</v>
      </c>
      <c r="I434" s="42" t="str">
        <f t="shared" ref="I434:I436" si="252">CONCATENATE(H434,"-",G434)</f>
        <v>30482327-EJECUCION</v>
      </c>
      <c r="J434" s="12"/>
      <c r="K434" s="307" t="str">
        <f t="shared" ref="K434:K436" si="253">CLEAN(H434)</f>
        <v>30482327</v>
      </c>
      <c r="L434" s="15" t="s">
        <v>358</v>
      </c>
      <c r="M434" s="23">
        <v>220000000</v>
      </c>
      <c r="N434" s="34">
        <v>0</v>
      </c>
      <c r="O434" s="34">
        <v>220000000</v>
      </c>
      <c r="P434" s="310">
        <v>0</v>
      </c>
      <c r="Q434" s="34">
        <v>0</v>
      </c>
      <c r="R434" s="308">
        <v>0</v>
      </c>
      <c r="S434" s="34">
        <f t="shared" ref="S434:S436" si="254">P434+Q434+R434</f>
        <v>0</v>
      </c>
      <c r="T434" s="34">
        <v>0</v>
      </c>
      <c r="U434" s="34">
        <v>0</v>
      </c>
      <c r="V434" s="34">
        <f>P434+Q434+R434+T434+U434</f>
        <v>0</v>
      </c>
      <c r="W434" s="34">
        <f>O434-V434</f>
        <v>220000000</v>
      </c>
      <c r="X434" s="34">
        <f>M434-(N434+O434)</f>
        <v>0</v>
      </c>
      <c r="Y434" s="48" t="s">
        <v>247</v>
      </c>
      <c r="Z434" s="48" t="s">
        <v>10</v>
      </c>
      <c r="AA434" s="2" t="e">
        <v>#N/A</v>
      </c>
      <c r="AB434" s="2" t="e">
        <f>VLOOKUP(H434,#REF!,2,FALSE)</f>
        <v>#REF!</v>
      </c>
      <c r="AC434" s="2" t="e">
        <f>VLOOKUP(I434,#REF!,2,FALSE)</f>
        <v>#REF!</v>
      </c>
      <c r="AD434" s="2" t="e">
        <f>VLOOKUP(H434,#REF!,13,FALSE)</f>
        <v>#REF!</v>
      </c>
      <c r="AE434" s="2" t="e">
        <f>VLOOKUP(I434,#REF!,7,FALSE)</f>
        <v>#REF!</v>
      </c>
      <c r="AG434" s="2" t="e">
        <f>VLOOKUP(H434,#REF!,13,FALSE)</f>
        <v>#REF!</v>
      </c>
      <c r="AH434" s="2" t="e">
        <f>VLOOKUP(I434,#REF!,2,FALSE)</f>
        <v>#REF!</v>
      </c>
      <c r="AJ434" s="185" t="e">
        <f>VLOOKUP(H434,#REF!,3,FALSE)</f>
        <v>#REF!</v>
      </c>
      <c r="AK434" s="185" t="s">
        <v>685</v>
      </c>
      <c r="AL434" s="185" t="e">
        <f>VLOOKUP(H434,#REF!,13,FALSE)</f>
        <v>#REF!</v>
      </c>
      <c r="AM434" s="185" t="e">
        <f>VLOOKUP(CLEAN(H434),#REF!,7,FALSE)</f>
        <v>#REF!</v>
      </c>
      <c r="AN434" s="2" t="e">
        <f>VLOOKUP(H434,#REF!,8,FALSE)</f>
        <v>#REF!</v>
      </c>
      <c r="AO434" s="189" t="e">
        <f>VLOOKUP(H434,#REF!,2,FALSE)</f>
        <v>#REF!</v>
      </c>
      <c r="AP434" s="189" t="e">
        <f>VLOOKUP(H434,#REF!,2,FALSE)</f>
        <v>#REF!</v>
      </c>
      <c r="AQ434" s="189"/>
      <c r="AR434" s="2" t="e">
        <f>VLOOKUP(CLEAN(H434),#REF!,2,FALSE)</f>
        <v>#REF!</v>
      </c>
      <c r="AT434" s="2" t="e">
        <f>VLOOKUP(H434,#REF!,13,FALSE)</f>
        <v>#REF!</v>
      </c>
      <c r="AU434" s="2" t="e">
        <f>VLOOKUP(H434,#REF!,13,FALSE)</f>
        <v>#REF!</v>
      </c>
      <c r="AV434" s="2" t="e">
        <f>VLOOKUP(H434,#REF!,13,FALSE)</f>
        <v>#REF!</v>
      </c>
      <c r="AW434" s="2" t="e">
        <f>VLOOKUP(H434,#REF!,13,FALSE)</f>
        <v>#REF!</v>
      </c>
      <c r="AX434" s="2" t="e">
        <f>VLOOKUP(H434,#REF!,9,FALSE)</f>
        <v>#REF!</v>
      </c>
      <c r="AZ434" s="2" t="e">
        <f>VLOOKUP(H434,#REF!,2,FALSE)</f>
        <v>#REF!</v>
      </c>
      <c r="BF434" s="189" t="e">
        <f>VLOOKUP(CLEAN(H434),#REF!,2,FALSE)</f>
        <v>#REF!</v>
      </c>
      <c r="BG434" s="189" t="e">
        <f>T434-BF434</f>
        <v>#REF!</v>
      </c>
      <c r="BO434" s="2" t="e">
        <f>VLOOKUP(H434,#REF!,13,FALSE)</f>
        <v>#REF!</v>
      </c>
      <c r="BP434" s="2" t="e">
        <f>VLOOKUP(H434,#REF!,2,FALSE)</f>
        <v>#REF!</v>
      </c>
      <c r="BQ434" s="2" t="e">
        <f>VLOOKUP(H434,#REF!,13,FALSE)</f>
        <v>#REF!</v>
      </c>
      <c r="BR434" s="2" t="e">
        <f>VLOOKUP(H434,#REF!,3,FALSE)</f>
        <v>#REF!</v>
      </c>
    </row>
    <row r="435" spans="1:70" s="2" customFormat="1" ht="15" customHeight="1" outlineLevel="2">
      <c r="A435" s="5">
        <v>31</v>
      </c>
      <c r="B435" s="5" t="s">
        <v>11</v>
      </c>
      <c r="C435" s="5" t="s">
        <v>251</v>
      </c>
      <c r="D435" s="5" t="s">
        <v>22</v>
      </c>
      <c r="E435" s="5" t="s">
        <v>29</v>
      </c>
      <c r="F435" s="5" t="s">
        <v>457</v>
      </c>
      <c r="G435" s="5" t="s">
        <v>144</v>
      </c>
      <c r="H435" s="12">
        <v>30399945</v>
      </c>
      <c r="I435" s="42" t="str">
        <f t="shared" si="252"/>
        <v>30399945-EJECUCION</v>
      </c>
      <c r="J435" s="12"/>
      <c r="K435" s="307" t="str">
        <f t="shared" si="253"/>
        <v>30399945</v>
      </c>
      <c r="L435" s="15" t="s">
        <v>335</v>
      </c>
      <c r="M435" s="23">
        <v>978513000</v>
      </c>
      <c r="N435" s="34">
        <v>0</v>
      </c>
      <c r="O435" s="34">
        <v>30000000</v>
      </c>
      <c r="P435" s="310">
        <v>0</v>
      </c>
      <c r="Q435" s="34">
        <v>0</v>
      </c>
      <c r="R435" s="308">
        <v>0</v>
      </c>
      <c r="S435" s="34">
        <f t="shared" si="254"/>
        <v>0</v>
      </c>
      <c r="T435" s="34">
        <v>0</v>
      </c>
      <c r="U435" s="34">
        <v>0</v>
      </c>
      <c r="V435" s="34">
        <f>P435+Q435+R435+T435+U435</f>
        <v>0</v>
      </c>
      <c r="W435" s="34">
        <f>O435-V435</f>
        <v>30000000</v>
      </c>
      <c r="X435" s="34">
        <f>M435-(N435+O435)</f>
        <v>948513000</v>
      </c>
      <c r="Y435" s="48" t="s">
        <v>246</v>
      </c>
      <c r="Z435" s="48" t="s">
        <v>357</v>
      </c>
      <c r="AA435" s="2" t="e">
        <v>#N/A</v>
      </c>
      <c r="AB435" s="2" t="e">
        <f>VLOOKUP(H435,#REF!,2,FALSE)</f>
        <v>#REF!</v>
      </c>
      <c r="AC435" s="2" t="e">
        <f>VLOOKUP(I435,#REF!,2,FALSE)</f>
        <v>#REF!</v>
      </c>
      <c r="AD435" s="2" t="e">
        <f>VLOOKUP(H435,#REF!,13,FALSE)</f>
        <v>#REF!</v>
      </c>
      <c r="AE435" s="2" t="e">
        <f>VLOOKUP(I435,#REF!,7,FALSE)</f>
        <v>#REF!</v>
      </c>
      <c r="AG435" s="2" t="e">
        <f>VLOOKUP(H435,#REF!,13,FALSE)</f>
        <v>#REF!</v>
      </c>
      <c r="AH435" s="2" t="e">
        <f>VLOOKUP(I435,#REF!,2,FALSE)</f>
        <v>#REF!</v>
      </c>
      <c r="AJ435" s="185" t="e">
        <f>VLOOKUP(H435,#REF!,3,FALSE)</f>
        <v>#REF!</v>
      </c>
      <c r="AK435" s="185"/>
      <c r="AL435" s="185" t="e">
        <f>VLOOKUP(H435,#REF!,13,FALSE)</f>
        <v>#REF!</v>
      </c>
      <c r="AM435" s="185" t="e">
        <f>VLOOKUP(CLEAN(H435),#REF!,7,FALSE)</f>
        <v>#REF!</v>
      </c>
      <c r="AN435" s="2" t="e">
        <f>VLOOKUP(H435,#REF!,8,FALSE)</f>
        <v>#REF!</v>
      </c>
      <c r="AO435" s="189" t="e">
        <f>VLOOKUP(H435,#REF!,2,FALSE)</f>
        <v>#REF!</v>
      </c>
      <c r="AP435" s="189" t="e">
        <f>VLOOKUP(H435,#REF!,2,FALSE)</f>
        <v>#REF!</v>
      </c>
      <c r="AQ435" s="189"/>
      <c r="AR435" s="2" t="e">
        <f>VLOOKUP(CLEAN(H435),#REF!,2,FALSE)</f>
        <v>#REF!</v>
      </c>
      <c r="AT435" s="2" t="e">
        <f>VLOOKUP(H435,#REF!,13,FALSE)</f>
        <v>#REF!</v>
      </c>
      <c r="AU435" s="2" t="e">
        <f>VLOOKUP(H435,#REF!,13,FALSE)</f>
        <v>#REF!</v>
      </c>
      <c r="AV435" s="2" t="e">
        <f>VLOOKUP(H435,#REF!,13,FALSE)</f>
        <v>#REF!</v>
      </c>
      <c r="AW435" s="2" t="e">
        <f>VLOOKUP(H435,#REF!,13,FALSE)</f>
        <v>#REF!</v>
      </c>
      <c r="AX435" s="2" t="e">
        <f>VLOOKUP(H435,#REF!,9,FALSE)</f>
        <v>#REF!</v>
      </c>
      <c r="AZ435" s="2" t="e">
        <f>VLOOKUP(H435,#REF!,2,FALSE)</f>
        <v>#REF!</v>
      </c>
      <c r="BF435" s="189" t="e">
        <f>VLOOKUP(CLEAN(H435),#REF!,2,FALSE)</f>
        <v>#REF!</v>
      </c>
      <c r="BG435" s="189" t="e">
        <f>T435-BF435</f>
        <v>#REF!</v>
      </c>
      <c r="BO435" s="2" t="e">
        <f>VLOOKUP(H435,#REF!,13,FALSE)</f>
        <v>#REF!</v>
      </c>
      <c r="BP435" s="2" t="e">
        <f>VLOOKUP(H435,#REF!,2,FALSE)</f>
        <v>#REF!</v>
      </c>
      <c r="BQ435" s="2" t="e">
        <f>VLOOKUP(H435,#REF!,13,FALSE)</f>
        <v>#REF!</v>
      </c>
      <c r="BR435" s="2" t="e">
        <f>VLOOKUP(H435,#REF!,3,FALSE)</f>
        <v>#REF!</v>
      </c>
    </row>
    <row r="436" spans="1:70" s="2" customFormat="1" ht="15" customHeight="1" outlineLevel="2">
      <c r="A436" s="5">
        <v>31</v>
      </c>
      <c r="B436" s="5" t="s">
        <v>11</v>
      </c>
      <c r="C436" s="5" t="s">
        <v>238</v>
      </c>
      <c r="D436" s="5" t="s">
        <v>22</v>
      </c>
      <c r="E436" s="5" t="s">
        <v>29</v>
      </c>
      <c r="F436" s="5" t="s">
        <v>457</v>
      </c>
      <c r="G436" s="5" t="s">
        <v>9</v>
      </c>
      <c r="H436" s="12">
        <v>30396077</v>
      </c>
      <c r="I436" s="42" t="str">
        <f t="shared" si="252"/>
        <v>30396077-DISEÑO</v>
      </c>
      <c r="J436" s="12"/>
      <c r="K436" s="307" t="str">
        <f t="shared" si="253"/>
        <v>30396077</v>
      </c>
      <c r="L436" s="15" t="s">
        <v>320</v>
      </c>
      <c r="M436" s="23">
        <v>21934000</v>
      </c>
      <c r="N436" s="34">
        <v>0</v>
      </c>
      <c r="O436" s="34">
        <f>5000000+2217</f>
        <v>5002217</v>
      </c>
      <c r="P436" s="310">
        <v>0</v>
      </c>
      <c r="Q436" s="34">
        <v>0</v>
      </c>
      <c r="R436" s="308">
        <v>0</v>
      </c>
      <c r="S436" s="34">
        <f t="shared" si="254"/>
        <v>0</v>
      </c>
      <c r="T436" s="34">
        <v>0</v>
      </c>
      <c r="U436" s="34">
        <v>0</v>
      </c>
      <c r="V436" s="34">
        <f>P436+Q436+R436+T436+U436</f>
        <v>0</v>
      </c>
      <c r="W436" s="34">
        <f>O436-V436</f>
        <v>5002217</v>
      </c>
      <c r="X436" s="34">
        <f>M436-(N436+O436)</f>
        <v>16931783</v>
      </c>
      <c r="Y436" s="48" t="s">
        <v>246</v>
      </c>
      <c r="Z436" s="48" t="s">
        <v>357</v>
      </c>
      <c r="AA436" s="2" t="e">
        <v>#N/A</v>
      </c>
      <c r="AB436" s="2" t="e">
        <f>VLOOKUP(H436,#REF!,2,FALSE)</f>
        <v>#REF!</v>
      </c>
      <c r="AC436" s="2" t="e">
        <f>VLOOKUP(I436,#REF!,2,FALSE)</f>
        <v>#REF!</v>
      </c>
      <c r="AD436" s="2" t="e">
        <f>VLOOKUP(H436,#REF!,13,FALSE)</f>
        <v>#REF!</v>
      </c>
      <c r="AE436" s="2" t="e">
        <f>VLOOKUP(I436,#REF!,7,FALSE)</f>
        <v>#REF!</v>
      </c>
      <c r="AG436" s="2" t="e">
        <f>VLOOKUP(H436,#REF!,13,FALSE)</f>
        <v>#REF!</v>
      </c>
      <c r="AH436" s="2" t="e">
        <f>VLOOKUP(I436,#REF!,2,FALSE)</f>
        <v>#REF!</v>
      </c>
      <c r="AJ436" s="185" t="e">
        <f>VLOOKUP(H436,#REF!,3,FALSE)</f>
        <v>#REF!</v>
      </c>
      <c r="AK436" s="185"/>
      <c r="AL436" s="185" t="e">
        <f>VLOOKUP(H436,#REF!,13,FALSE)</f>
        <v>#REF!</v>
      </c>
      <c r="AM436" s="185" t="e">
        <f>VLOOKUP(CLEAN(H436),#REF!,7,FALSE)</f>
        <v>#REF!</v>
      </c>
      <c r="AN436" s="2" t="e">
        <f>VLOOKUP(H436,#REF!,8,FALSE)</f>
        <v>#REF!</v>
      </c>
      <c r="AO436" s="189" t="e">
        <f>VLOOKUP(H436,#REF!,2,FALSE)</f>
        <v>#REF!</v>
      </c>
      <c r="AP436" s="189" t="e">
        <f>VLOOKUP(H436,#REF!,2,FALSE)</f>
        <v>#REF!</v>
      </c>
      <c r="AQ436" s="189"/>
      <c r="AR436" s="2" t="e">
        <f>VLOOKUP(CLEAN(H436),#REF!,2,FALSE)</f>
        <v>#REF!</v>
      </c>
      <c r="AT436" s="2" t="e">
        <f>VLOOKUP(H436,#REF!,13,FALSE)</f>
        <v>#REF!</v>
      </c>
      <c r="AU436" s="2" t="e">
        <f>VLOOKUP(H436,#REF!,13,FALSE)</f>
        <v>#REF!</v>
      </c>
      <c r="AV436" s="2" t="e">
        <f>VLOOKUP(H436,#REF!,13,FALSE)</f>
        <v>#REF!</v>
      </c>
      <c r="AW436" s="2" t="e">
        <f>VLOOKUP(H436,#REF!,13,FALSE)</f>
        <v>#REF!</v>
      </c>
      <c r="AX436" s="2" t="e">
        <f>VLOOKUP(H436,#REF!,9,FALSE)</f>
        <v>#REF!</v>
      </c>
      <c r="AZ436" s="2" t="e">
        <f>VLOOKUP(H436,#REF!,2,FALSE)</f>
        <v>#REF!</v>
      </c>
      <c r="BF436" s="189" t="e">
        <f>VLOOKUP(CLEAN(H436),#REF!,2,FALSE)</f>
        <v>#REF!</v>
      </c>
      <c r="BG436" s="189" t="e">
        <f>T436-BF436</f>
        <v>#REF!</v>
      </c>
      <c r="BO436" s="2" t="e">
        <f>VLOOKUP(H436,#REF!,13,FALSE)</f>
        <v>#REF!</v>
      </c>
      <c r="BP436" s="2" t="e">
        <f>VLOOKUP(H436,#REF!,2,FALSE)</f>
        <v>#REF!</v>
      </c>
      <c r="BQ436" s="2" t="e">
        <f>VLOOKUP(H436,#REF!,13,FALSE)</f>
        <v>#REF!</v>
      </c>
      <c r="BR436" s="2" t="e">
        <f>VLOOKUP(H436,#REF!,3,FALSE)</f>
        <v>#REF!</v>
      </c>
    </row>
    <row r="437" spans="1:70" ht="15" customHeight="1" outlineLevel="2">
      <c r="A437" s="7"/>
      <c r="B437" s="7"/>
      <c r="C437" s="7"/>
      <c r="D437" s="7"/>
      <c r="E437" s="7"/>
      <c r="F437" s="7"/>
      <c r="G437" s="7"/>
      <c r="H437" s="11"/>
      <c r="I437" s="11"/>
      <c r="J437" s="11"/>
      <c r="K437" s="11"/>
      <c r="L437" s="17" t="s">
        <v>693</v>
      </c>
      <c r="M437" s="27">
        <f t="shared" ref="M437:X437" si="255">SUBTOTAL(9,M434:M436)</f>
        <v>1220447000</v>
      </c>
      <c r="N437" s="27">
        <f t="shared" si="255"/>
        <v>0</v>
      </c>
      <c r="O437" s="27">
        <f t="shared" si="255"/>
        <v>255002217</v>
      </c>
      <c r="P437" s="24">
        <f t="shared" si="255"/>
        <v>0</v>
      </c>
      <c r="Q437" s="24">
        <f t="shared" si="255"/>
        <v>0</v>
      </c>
      <c r="R437" s="24">
        <f t="shared" si="255"/>
        <v>0</v>
      </c>
      <c r="S437" s="27">
        <f t="shared" si="255"/>
        <v>0</v>
      </c>
      <c r="T437" s="27">
        <f t="shared" si="255"/>
        <v>0</v>
      </c>
      <c r="U437" s="27">
        <f t="shared" si="255"/>
        <v>0</v>
      </c>
      <c r="V437" s="27">
        <f t="shared" si="255"/>
        <v>0</v>
      </c>
      <c r="W437" s="27">
        <f t="shared" si="255"/>
        <v>255002217</v>
      </c>
      <c r="X437" s="27">
        <f t="shared" si="255"/>
        <v>965444783</v>
      </c>
      <c r="Y437" s="47"/>
      <c r="Z437" s="47"/>
      <c r="AM437" s="185" t="e">
        <f>VLOOKUP(CLEAN(H437),#REF!,7,FALSE)</f>
        <v>#REF!</v>
      </c>
      <c r="AO437"/>
      <c r="AP437"/>
      <c r="AQ437"/>
      <c r="AR437" s="2" t="e">
        <f>VLOOKUP(CLEAN(H437),#REF!,2,FALSE)</f>
        <v>#REF!</v>
      </c>
      <c r="AT437" s="2" t="e">
        <f>VLOOKUP(H437,#REF!,13,FALSE)</f>
        <v>#REF!</v>
      </c>
      <c r="AZ437" s="2" t="e">
        <f>VLOOKUP(H437,#REF!,2,FALSE)</f>
        <v>#REF!</v>
      </c>
      <c r="BO437" s="2" t="e">
        <f>VLOOKUP(H437,#REF!,13,FALSE)</f>
        <v>#REF!</v>
      </c>
      <c r="BQ437" s="2" t="e">
        <f>VLOOKUP(H437,#REF!,13,FALSE)</f>
        <v>#REF!</v>
      </c>
    </row>
    <row r="438" spans="1:70" ht="15" customHeight="1" outlineLevel="2">
      <c r="A438" s="7"/>
      <c r="B438" s="7"/>
      <c r="C438" s="7"/>
      <c r="D438" s="7"/>
      <c r="E438" s="7"/>
      <c r="F438" s="7"/>
      <c r="G438" s="7"/>
      <c r="H438" s="11"/>
      <c r="I438" s="11"/>
      <c r="J438" s="11"/>
      <c r="K438" s="11"/>
      <c r="L438" s="292"/>
      <c r="M438" s="22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47"/>
      <c r="Z438" s="47"/>
      <c r="AM438" s="185" t="e">
        <f>VLOOKUP(CLEAN(H438),#REF!,7,FALSE)</f>
        <v>#REF!</v>
      </c>
      <c r="AO438"/>
      <c r="AP438"/>
      <c r="AQ438"/>
      <c r="AR438" s="2" t="e">
        <f>VLOOKUP(CLEAN(H438),#REF!,2,FALSE)</f>
        <v>#REF!</v>
      </c>
      <c r="AT438" s="2" t="e">
        <f>VLOOKUP(H438,#REF!,13,FALSE)</f>
        <v>#REF!</v>
      </c>
      <c r="AZ438" s="2" t="e">
        <f>VLOOKUP(H438,#REF!,2,FALSE)</f>
        <v>#REF!</v>
      </c>
      <c r="BO438" s="2" t="e">
        <f>VLOOKUP(H438,#REF!,13,FALSE)</f>
        <v>#REF!</v>
      </c>
      <c r="BP438" s="293"/>
      <c r="BQ438" s="2" t="e">
        <f>VLOOKUP(H438,#REF!,13,FALSE)</f>
        <v>#REF!</v>
      </c>
    </row>
    <row r="439" spans="1:70" ht="18.75" customHeight="1" outlineLevel="1">
      <c r="A439" s="7"/>
      <c r="B439" s="7"/>
      <c r="C439" s="7"/>
      <c r="D439" s="7"/>
      <c r="E439" s="8"/>
      <c r="F439" s="7"/>
      <c r="G439" s="7"/>
      <c r="H439" s="11"/>
      <c r="I439" s="11"/>
      <c r="J439" s="11"/>
      <c r="K439" s="11"/>
      <c r="L439" s="45" t="s">
        <v>161</v>
      </c>
      <c r="M439" s="46">
        <f t="shared" ref="M439:X439" si="256">M437+M431+M427+M419</f>
        <v>4940629783</v>
      </c>
      <c r="N439" s="46">
        <f t="shared" si="256"/>
        <v>350623769</v>
      </c>
      <c r="O439" s="46">
        <f t="shared" si="256"/>
        <v>1373420789</v>
      </c>
      <c r="P439" s="46">
        <f t="shared" si="256"/>
        <v>11998789</v>
      </c>
      <c r="Q439" s="46">
        <f t="shared" si="256"/>
        <v>0</v>
      </c>
      <c r="R439" s="46">
        <f t="shared" si="256"/>
        <v>499633783</v>
      </c>
      <c r="S439" s="46">
        <f t="shared" si="256"/>
        <v>511632572</v>
      </c>
      <c r="T439" s="46">
        <f t="shared" si="256"/>
        <v>0</v>
      </c>
      <c r="U439" s="46">
        <f t="shared" si="256"/>
        <v>0</v>
      </c>
      <c r="V439" s="46">
        <f t="shared" si="256"/>
        <v>511632572</v>
      </c>
      <c r="W439" s="46">
        <f t="shared" si="256"/>
        <v>861788217</v>
      </c>
      <c r="X439" s="46">
        <f t="shared" si="256"/>
        <v>3216585225</v>
      </c>
      <c r="Y439" s="47"/>
      <c r="Z439" s="47"/>
      <c r="AM439" s="185" t="e">
        <f>VLOOKUP(CLEAN(H439),#REF!,7,FALSE)</f>
        <v>#REF!</v>
      </c>
      <c r="AO439"/>
      <c r="AP439"/>
      <c r="AQ439"/>
      <c r="AR439" s="2" t="e">
        <f>VLOOKUP(CLEAN(H439),#REF!,2,FALSE)</f>
        <v>#REF!</v>
      </c>
      <c r="AT439" s="2" t="e">
        <f>VLOOKUP(H439,#REF!,13,FALSE)</f>
        <v>#REF!</v>
      </c>
      <c r="AZ439" s="2" t="e">
        <f>VLOOKUP(H439,#REF!,2,FALSE)</f>
        <v>#REF!</v>
      </c>
      <c r="BO439" s="2" t="e">
        <f>VLOOKUP(H439,#REF!,13,FALSE)</f>
        <v>#REF!</v>
      </c>
      <c r="BQ439" s="2" t="e">
        <f>VLOOKUP(H439,#REF!,13,FALSE)</f>
        <v>#REF!</v>
      </c>
    </row>
    <row r="440" spans="1:70" s="3" customFormat="1" ht="15" customHeight="1" outlineLevel="1">
      <c r="A440" s="7"/>
      <c r="B440" s="7"/>
      <c r="C440" s="7"/>
      <c r="D440" s="7"/>
      <c r="E440" s="8"/>
      <c r="F440" s="7"/>
      <c r="G440" s="7"/>
      <c r="H440" s="11"/>
      <c r="I440" s="11"/>
      <c r="J440" s="11"/>
      <c r="K440" s="11"/>
      <c r="L440" s="294"/>
      <c r="M440" s="26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47"/>
      <c r="Z440" s="47"/>
      <c r="AJ440" s="186"/>
      <c r="AK440" s="186"/>
      <c r="AL440" s="186"/>
      <c r="AM440" s="185" t="e">
        <f>VLOOKUP(CLEAN(H440),#REF!,7,FALSE)</f>
        <v>#REF!</v>
      </c>
      <c r="AR440" s="2" t="e">
        <f>VLOOKUP(CLEAN(H440),#REF!,2,FALSE)</f>
        <v>#REF!</v>
      </c>
      <c r="AT440" s="2" t="e">
        <f>VLOOKUP(H440,#REF!,13,FALSE)</f>
        <v>#REF!</v>
      </c>
      <c r="AZ440" s="2" t="e">
        <f>VLOOKUP(H440,#REF!,2,FALSE)</f>
        <v>#REF!</v>
      </c>
      <c r="BF440" s="193"/>
      <c r="BO440" s="2" t="e">
        <f>VLOOKUP(H440,#REF!,13,FALSE)</f>
        <v>#REF!</v>
      </c>
      <c r="BP440" s="7"/>
      <c r="BQ440" s="2" t="e">
        <f>VLOOKUP(H440,#REF!,13,FALSE)</f>
        <v>#REF!</v>
      </c>
    </row>
    <row r="441" spans="1:70" ht="26.25" customHeight="1" outlineLevel="1">
      <c r="A441" s="7"/>
      <c r="B441" s="7"/>
      <c r="C441" s="7"/>
      <c r="D441" s="7"/>
      <c r="E441" s="8"/>
      <c r="F441" s="7"/>
      <c r="G441" s="7"/>
      <c r="H441" s="11"/>
      <c r="I441" s="11"/>
      <c r="J441" s="11"/>
      <c r="K441" s="11"/>
      <c r="L441" s="57" t="s">
        <v>195</v>
      </c>
      <c r="M441" s="26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49"/>
      <c r="Z441" s="49"/>
      <c r="AM441" s="185" t="e">
        <f>VLOOKUP(CLEAN(H441),#REF!,7,FALSE)</f>
        <v>#REF!</v>
      </c>
      <c r="AO441"/>
      <c r="AP441"/>
      <c r="AQ441"/>
      <c r="AR441" s="2" t="e">
        <f>VLOOKUP(CLEAN(H441),#REF!,2,FALSE)</f>
        <v>#REF!</v>
      </c>
      <c r="AT441" s="2" t="e">
        <f>VLOOKUP(H441,#REF!,13,FALSE)</f>
        <v>#REF!</v>
      </c>
      <c r="AZ441" s="2" t="e">
        <f>VLOOKUP(H441,#REF!,2,FALSE)</f>
        <v>#REF!</v>
      </c>
      <c r="BO441" s="2" t="e">
        <f>VLOOKUP(H441,#REF!,13,FALSE)</f>
        <v>#REF!</v>
      </c>
      <c r="BQ441" s="2" t="e">
        <f>VLOOKUP(H441,#REF!,13,FALSE)</f>
        <v>#REF!</v>
      </c>
    </row>
    <row r="442" spans="1:70" ht="15" customHeight="1" outlineLevel="1">
      <c r="A442" s="7"/>
      <c r="B442" s="7"/>
      <c r="C442" s="7"/>
      <c r="D442" s="7"/>
      <c r="E442" s="8"/>
      <c r="F442" s="7"/>
      <c r="G442" s="7"/>
      <c r="H442" s="11"/>
      <c r="I442" s="11"/>
      <c r="J442" s="11"/>
      <c r="K442" s="11"/>
      <c r="L442" s="18" t="s">
        <v>695</v>
      </c>
      <c r="M442" s="26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47"/>
      <c r="Z442" s="47"/>
      <c r="AM442" s="185" t="e">
        <f>VLOOKUP(CLEAN(H442),#REF!,7,FALSE)</f>
        <v>#REF!</v>
      </c>
      <c r="AO442"/>
      <c r="AP442"/>
      <c r="AQ442"/>
      <c r="AR442" s="2" t="e">
        <f>VLOOKUP(CLEAN(H442),#REF!,2,FALSE)</f>
        <v>#REF!</v>
      </c>
      <c r="AT442" s="2" t="e">
        <f>VLOOKUP(H442,#REF!,13,FALSE)</f>
        <v>#REF!</v>
      </c>
      <c r="AZ442" s="2" t="e">
        <f>VLOOKUP(H442,#REF!,2,FALSE)</f>
        <v>#REF!</v>
      </c>
      <c r="BO442" s="2" t="e">
        <f>VLOOKUP(H442,#REF!,13,FALSE)</f>
        <v>#REF!</v>
      </c>
      <c r="BQ442" s="2" t="e">
        <f>VLOOKUP(H442,#REF!,13,FALSE)</f>
        <v>#REF!</v>
      </c>
    </row>
    <row r="443" spans="1:70" s="2" customFormat="1" ht="15" customHeight="1" outlineLevel="2">
      <c r="A443" s="5">
        <v>31</v>
      </c>
      <c r="B443" s="5" t="s">
        <v>5</v>
      </c>
      <c r="C443" s="5" t="s">
        <v>253</v>
      </c>
      <c r="D443" s="5" t="s">
        <v>22</v>
      </c>
      <c r="E443" s="5" t="s">
        <v>51</v>
      </c>
      <c r="F443" s="5" t="s">
        <v>89</v>
      </c>
      <c r="G443" s="5" t="s">
        <v>144</v>
      </c>
      <c r="H443" s="12">
        <v>30064230</v>
      </c>
      <c r="I443" s="42" t="str">
        <f t="shared" ref="I443:I447" si="257">CONCATENATE(H443,"-",G443)</f>
        <v>30064230-EJECUCION</v>
      </c>
      <c r="J443" s="12"/>
      <c r="K443" s="307" t="str">
        <f t="shared" ref="K443:K447" si="258">CLEAN(H443)</f>
        <v>30064230</v>
      </c>
      <c r="L443" s="15" t="s">
        <v>572</v>
      </c>
      <c r="M443" s="23">
        <v>2741174000</v>
      </c>
      <c r="N443" s="34">
        <v>66844620</v>
      </c>
      <c r="O443" s="34">
        <f>1208180000-3890464</f>
        <v>1204289536</v>
      </c>
      <c r="P443" s="310">
        <v>1650000</v>
      </c>
      <c r="Q443" s="34">
        <v>0</v>
      </c>
      <c r="R443" s="308">
        <v>0</v>
      </c>
      <c r="S443" s="34">
        <f t="shared" ref="S443:S447" si="259">P443+Q443+R443</f>
        <v>1650000</v>
      </c>
      <c r="T443" s="34">
        <v>0</v>
      </c>
      <c r="U443" s="34">
        <v>0</v>
      </c>
      <c r="V443" s="34">
        <f>P443+Q443+R443+T443+U443</f>
        <v>1650000</v>
      </c>
      <c r="W443" s="34">
        <f>O443-V443</f>
        <v>1202639536</v>
      </c>
      <c r="X443" s="34">
        <f>M443-(N443+O443)</f>
        <v>1470039844</v>
      </c>
      <c r="Y443" s="48" t="s">
        <v>239</v>
      </c>
      <c r="Z443" s="48" t="s">
        <v>8</v>
      </c>
      <c r="AA443" s="2" t="s">
        <v>843</v>
      </c>
      <c r="AB443" s="2" t="e">
        <f>VLOOKUP(H443,#REF!,2,FALSE)</f>
        <v>#REF!</v>
      </c>
      <c r="AC443" s="2" t="e">
        <f>VLOOKUP(I443,#REF!,2,FALSE)</f>
        <v>#REF!</v>
      </c>
      <c r="AD443" s="2" t="e">
        <f>VLOOKUP(H443,#REF!,13,FALSE)</f>
        <v>#REF!</v>
      </c>
      <c r="AE443" s="2" t="e">
        <f>VLOOKUP(I443,#REF!,7,FALSE)</f>
        <v>#REF!</v>
      </c>
      <c r="AG443" s="2" t="e">
        <f>VLOOKUP(H443,#REF!,13,FALSE)</f>
        <v>#REF!</v>
      </c>
      <c r="AH443" s="2" t="e">
        <f>VLOOKUP(I443,#REF!,2,FALSE)</f>
        <v>#REF!</v>
      </c>
      <c r="AJ443" s="185" t="e">
        <f>VLOOKUP(H443,#REF!,3,FALSE)</f>
        <v>#REF!</v>
      </c>
      <c r="AK443" s="185"/>
      <c r="AL443" s="185" t="e">
        <f>VLOOKUP(H443,#REF!,13,FALSE)</f>
        <v>#REF!</v>
      </c>
      <c r="AM443" s="185" t="e">
        <f>VLOOKUP(CLEAN(H443),#REF!,7,FALSE)</f>
        <v>#REF!</v>
      </c>
      <c r="AN443" s="2" t="e">
        <f>VLOOKUP(H443,#REF!,8,FALSE)</f>
        <v>#REF!</v>
      </c>
      <c r="AO443" s="189" t="e">
        <f>VLOOKUP(H443,#REF!,2,FALSE)</f>
        <v>#REF!</v>
      </c>
      <c r="AP443" s="189" t="e">
        <f>VLOOKUP(H443,#REF!,2,FALSE)</f>
        <v>#REF!</v>
      </c>
      <c r="AQ443" s="189"/>
      <c r="AR443" s="2" t="e">
        <f>VLOOKUP(CLEAN(H443),#REF!,2,FALSE)</f>
        <v>#REF!</v>
      </c>
      <c r="AT443" s="2" t="e">
        <f>VLOOKUP(H443,#REF!,13,FALSE)</f>
        <v>#REF!</v>
      </c>
      <c r="AU443" s="2" t="e">
        <f>VLOOKUP(H443,#REF!,13,FALSE)</f>
        <v>#REF!</v>
      </c>
      <c r="AV443" s="2" t="e">
        <f>VLOOKUP(H443,#REF!,13,FALSE)</f>
        <v>#REF!</v>
      </c>
      <c r="AW443" s="2" t="e">
        <f>VLOOKUP(H443,#REF!,13,FALSE)</f>
        <v>#REF!</v>
      </c>
      <c r="AX443" s="2" t="e">
        <f>VLOOKUP(H443,#REF!,9,FALSE)</f>
        <v>#REF!</v>
      </c>
      <c r="AZ443" s="189" t="e">
        <f>VLOOKUP(H443,#REF!,2,FALSE)</f>
        <v>#REF!</v>
      </c>
      <c r="BF443" s="189" t="e">
        <f>VLOOKUP(CLEAN(H443),#REF!,2,FALSE)</f>
        <v>#REF!</v>
      </c>
      <c r="BG443" s="189" t="e">
        <f>T443-BF443</f>
        <v>#REF!</v>
      </c>
      <c r="BO443" s="2" t="e">
        <f>VLOOKUP(H443,#REF!,13,FALSE)</f>
        <v>#REF!</v>
      </c>
      <c r="BP443" s="2" t="e">
        <f>VLOOKUP(H443,#REF!,2,FALSE)</f>
        <v>#REF!</v>
      </c>
      <c r="BQ443" s="2" t="e">
        <f>VLOOKUP(H443,#REF!,13,FALSE)</f>
        <v>#REF!</v>
      </c>
      <c r="BR443" s="2" t="e">
        <f>VLOOKUP(H443,#REF!,3,FALSE)</f>
        <v>#REF!</v>
      </c>
    </row>
    <row r="444" spans="1:70" s="2" customFormat="1" ht="15" customHeight="1" outlineLevel="2">
      <c r="A444" s="5">
        <v>31</v>
      </c>
      <c r="B444" s="5" t="s">
        <v>5</v>
      </c>
      <c r="C444" s="5" t="s">
        <v>240</v>
      </c>
      <c r="D444" s="5" t="s">
        <v>22</v>
      </c>
      <c r="E444" s="5" t="s">
        <v>51</v>
      </c>
      <c r="F444" s="5" t="s">
        <v>457</v>
      </c>
      <c r="G444" s="5" t="s">
        <v>144</v>
      </c>
      <c r="H444" s="12">
        <v>30063734</v>
      </c>
      <c r="I444" s="42" t="str">
        <f t="shared" si="257"/>
        <v>30063734-EJECUCION</v>
      </c>
      <c r="J444" s="12"/>
      <c r="K444" s="307" t="str">
        <f t="shared" si="258"/>
        <v>30063734</v>
      </c>
      <c r="L444" s="15" t="s">
        <v>52</v>
      </c>
      <c r="M444" s="23">
        <v>4391201000</v>
      </c>
      <c r="N444" s="34">
        <v>4216256148</v>
      </c>
      <c r="O444" s="34">
        <v>43413551</v>
      </c>
      <c r="P444" s="310">
        <v>0</v>
      </c>
      <c r="Q444" s="34">
        <v>0</v>
      </c>
      <c r="R444" s="308">
        <v>0</v>
      </c>
      <c r="S444" s="34">
        <f t="shared" si="259"/>
        <v>0</v>
      </c>
      <c r="T444" s="34">
        <v>0</v>
      </c>
      <c r="U444" s="34">
        <v>0</v>
      </c>
      <c r="V444" s="34">
        <f>P444+Q444+R444+T444+U444</f>
        <v>0</v>
      </c>
      <c r="W444" s="34">
        <f>O444-V444</f>
        <v>43413551</v>
      </c>
      <c r="X444" s="34">
        <f>M444-(N444+O444)</f>
        <v>131531301</v>
      </c>
      <c r="Y444" s="48" t="s">
        <v>239</v>
      </c>
      <c r="Z444" s="48" t="s">
        <v>8</v>
      </c>
      <c r="AA444" s="2" t="s">
        <v>847</v>
      </c>
      <c r="AB444" s="2" t="e">
        <f>VLOOKUP(H444,#REF!,2,FALSE)</f>
        <v>#REF!</v>
      </c>
      <c r="AC444" s="2" t="e">
        <f>VLOOKUP(I444,#REF!,2,FALSE)</f>
        <v>#REF!</v>
      </c>
      <c r="AD444" s="2" t="e">
        <f>VLOOKUP(H444,#REF!,13,FALSE)</f>
        <v>#REF!</v>
      </c>
      <c r="AE444" s="2" t="e">
        <f>VLOOKUP(I444,#REF!,7,FALSE)</f>
        <v>#REF!</v>
      </c>
      <c r="AG444" s="2" t="e">
        <f>VLOOKUP(H444,#REF!,13,FALSE)</f>
        <v>#REF!</v>
      </c>
      <c r="AH444" s="2" t="e">
        <f>VLOOKUP(I444,#REF!,2,FALSE)</f>
        <v>#REF!</v>
      </c>
      <c r="AJ444" s="185" t="e">
        <f>VLOOKUP(H444,#REF!,3,FALSE)</f>
        <v>#REF!</v>
      </c>
      <c r="AK444" s="185"/>
      <c r="AL444" s="185" t="e">
        <f>VLOOKUP(H444,#REF!,13,FALSE)</f>
        <v>#REF!</v>
      </c>
      <c r="AM444" s="185" t="e">
        <f>VLOOKUP(CLEAN(H444),#REF!,7,FALSE)</f>
        <v>#REF!</v>
      </c>
      <c r="AN444" s="2" t="e">
        <f>VLOOKUP(H444,#REF!,8,FALSE)</f>
        <v>#REF!</v>
      </c>
      <c r="AO444" s="189" t="e">
        <f>VLOOKUP(H444,#REF!,2,FALSE)</f>
        <v>#REF!</v>
      </c>
      <c r="AP444" s="189" t="e">
        <f>VLOOKUP(H444,#REF!,2,FALSE)</f>
        <v>#REF!</v>
      </c>
      <c r="AQ444" s="189"/>
      <c r="AR444" s="2" t="e">
        <f>VLOOKUP(CLEAN(H444),#REF!,2,FALSE)</f>
        <v>#REF!</v>
      </c>
      <c r="AT444" s="2" t="e">
        <f>VLOOKUP(H444,#REF!,13,FALSE)</f>
        <v>#REF!</v>
      </c>
      <c r="AU444" s="2" t="e">
        <f>VLOOKUP(H444,#REF!,13,FALSE)</f>
        <v>#REF!</v>
      </c>
      <c r="AV444" s="2" t="e">
        <f>VLOOKUP(H444,#REF!,13,FALSE)</f>
        <v>#REF!</v>
      </c>
      <c r="AW444" s="2" t="e">
        <f>VLOOKUP(H444,#REF!,13,FALSE)</f>
        <v>#REF!</v>
      </c>
      <c r="AX444" s="2" t="e">
        <f>VLOOKUP(H444,#REF!,9,FALSE)</f>
        <v>#REF!</v>
      </c>
      <c r="AZ444" s="2" t="e">
        <f>VLOOKUP(H444,#REF!,2,FALSE)</f>
        <v>#REF!</v>
      </c>
      <c r="BF444" s="189" t="e">
        <f>VLOOKUP(CLEAN(H444),#REF!,2,FALSE)</f>
        <v>#REF!</v>
      </c>
      <c r="BG444" s="189" t="e">
        <f>T444-BF444</f>
        <v>#REF!</v>
      </c>
      <c r="BO444" s="2" t="e">
        <f>VLOOKUP(H444,#REF!,13,FALSE)</f>
        <v>#REF!</v>
      </c>
      <c r="BP444" s="2" t="e">
        <f>VLOOKUP(H444,#REF!,2,FALSE)</f>
        <v>#REF!</v>
      </c>
      <c r="BQ444" s="2" t="e">
        <f>VLOOKUP(H444,#REF!,13,FALSE)</f>
        <v>#REF!</v>
      </c>
      <c r="BR444" s="2" t="e">
        <f>VLOOKUP(H444,#REF!,3,FALSE)</f>
        <v>#REF!</v>
      </c>
    </row>
    <row r="445" spans="1:70" s="2" customFormat="1" ht="15" customHeight="1" outlineLevel="2">
      <c r="A445" s="5">
        <v>31</v>
      </c>
      <c r="B445" s="5" t="s">
        <v>5</v>
      </c>
      <c r="C445" s="5" t="s">
        <v>242</v>
      </c>
      <c r="D445" s="5" t="s">
        <v>22</v>
      </c>
      <c r="E445" s="5" t="s">
        <v>51</v>
      </c>
      <c r="F445" s="5" t="s">
        <v>457</v>
      </c>
      <c r="G445" s="5" t="s">
        <v>9</v>
      </c>
      <c r="H445" s="12">
        <v>30204522</v>
      </c>
      <c r="I445" s="42" t="str">
        <f t="shared" si="257"/>
        <v>30204522-DISEÑO</v>
      </c>
      <c r="J445" s="12"/>
      <c r="K445" s="307" t="str">
        <f t="shared" si="258"/>
        <v>30204522</v>
      </c>
      <c r="L445" s="15" t="s">
        <v>778</v>
      </c>
      <c r="M445" s="23">
        <v>37001001</v>
      </c>
      <c r="N445" s="34">
        <v>21008145</v>
      </c>
      <c r="O445" s="34">
        <v>15992856</v>
      </c>
      <c r="P445" s="310">
        <v>0</v>
      </c>
      <c r="Q445" s="34">
        <v>0</v>
      </c>
      <c r="R445" s="308">
        <v>11908270</v>
      </c>
      <c r="S445" s="34">
        <f t="shared" si="259"/>
        <v>11908270</v>
      </c>
      <c r="T445" s="34">
        <v>0</v>
      </c>
      <c r="U445" s="34">
        <v>0</v>
      </c>
      <c r="V445" s="34">
        <f>P445+Q445+R445+T445+U445</f>
        <v>11908270</v>
      </c>
      <c r="W445" s="34">
        <f>O445-V445</f>
        <v>4084586</v>
      </c>
      <c r="X445" s="34">
        <f>M445-(N445+O445)</f>
        <v>0</v>
      </c>
      <c r="Y445" s="48" t="s">
        <v>239</v>
      </c>
      <c r="Z445" s="48" t="s">
        <v>8</v>
      </c>
      <c r="AA445" s="2" t="s">
        <v>843</v>
      </c>
      <c r="AB445" s="2" t="e">
        <f>VLOOKUP(H445,#REF!,2,FALSE)</f>
        <v>#REF!</v>
      </c>
      <c r="AC445" s="2" t="e">
        <f>VLOOKUP(I445,#REF!,2,FALSE)</f>
        <v>#REF!</v>
      </c>
      <c r="AD445" s="2" t="e">
        <f>VLOOKUP(H445,#REF!,13,FALSE)</f>
        <v>#REF!</v>
      </c>
      <c r="AE445" s="2" t="e">
        <f>VLOOKUP(I445,#REF!,7,FALSE)</f>
        <v>#REF!</v>
      </c>
      <c r="AG445" s="2" t="e">
        <f>VLOOKUP(H445,#REF!,13,FALSE)</f>
        <v>#REF!</v>
      </c>
      <c r="AH445" s="2" t="e">
        <f>VLOOKUP(I445,#REF!,2,FALSE)</f>
        <v>#REF!</v>
      </c>
      <c r="AJ445" s="185" t="e">
        <f>VLOOKUP(H445,#REF!,3,FALSE)</f>
        <v>#REF!</v>
      </c>
      <c r="AK445" s="185"/>
      <c r="AL445" s="185" t="e">
        <f>VLOOKUP(H445,#REF!,13,FALSE)</f>
        <v>#REF!</v>
      </c>
      <c r="AM445" s="185" t="e">
        <f>VLOOKUP(CLEAN(H445),#REF!,7,FALSE)</f>
        <v>#REF!</v>
      </c>
      <c r="AN445" s="2" t="e">
        <f>VLOOKUP(H445,#REF!,8,FALSE)</f>
        <v>#REF!</v>
      </c>
      <c r="AO445" s="189" t="e">
        <f>VLOOKUP(H445,#REF!,2,FALSE)</f>
        <v>#REF!</v>
      </c>
      <c r="AP445" s="189" t="e">
        <f>VLOOKUP(H445,#REF!,2,FALSE)</f>
        <v>#REF!</v>
      </c>
      <c r="AQ445" s="189"/>
      <c r="AR445" s="2" t="e">
        <f>VLOOKUP(CLEAN(H445),#REF!,2,FALSE)</f>
        <v>#REF!</v>
      </c>
      <c r="AT445" s="2" t="e">
        <f>VLOOKUP(H445,#REF!,13,FALSE)</f>
        <v>#REF!</v>
      </c>
      <c r="AU445" s="2" t="e">
        <f>VLOOKUP(H445,#REF!,13,FALSE)</f>
        <v>#REF!</v>
      </c>
      <c r="AV445" s="2" t="e">
        <f>VLOOKUP(H445,#REF!,13,FALSE)</f>
        <v>#REF!</v>
      </c>
      <c r="AW445" s="2" t="e">
        <f>VLOOKUP(H445,#REF!,13,FALSE)</f>
        <v>#REF!</v>
      </c>
      <c r="AX445" s="2" t="e">
        <f>VLOOKUP(H445,#REF!,9,FALSE)</f>
        <v>#REF!</v>
      </c>
      <c r="AZ445" s="189" t="e">
        <f>VLOOKUP(H445,#REF!,2,FALSE)</f>
        <v>#REF!</v>
      </c>
      <c r="BF445" s="189" t="e">
        <f>VLOOKUP(CLEAN(H445),#REF!,2,FALSE)</f>
        <v>#REF!</v>
      </c>
      <c r="BG445" s="189" t="e">
        <f>T445-BF445</f>
        <v>#REF!</v>
      </c>
      <c r="BO445" s="2" t="e">
        <f>VLOOKUP(H445,#REF!,13,FALSE)</f>
        <v>#REF!</v>
      </c>
      <c r="BP445" s="2" t="e">
        <f>VLOOKUP(H445,#REF!,2,FALSE)</f>
        <v>#REF!</v>
      </c>
      <c r="BQ445" s="2" t="e">
        <f>VLOOKUP(H445,#REF!,13,FALSE)</f>
        <v>#REF!</v>
      </c>
      <c r="BR445" s="2" t="e">
        <f>VLOOKUP(H445,#REF!,3,FALSE)</f>
        <v>#REF!</v>
      </c>
    </row>
    <row r="446" spans="1:70" s="2" customFormat="1" ht="15" customHeight="1" outlineLevel="2">
      <c r="A446" s="5">
        <v>29</v>
      </c>
      <c r="B446" s="5" t="s">
        <v>11</v>
      </c>
      <c r="C446" s="5" t="s">
        <v>251</v>
      </c>
      <c r="D446" s="5" t="s">
        <v>22</v>
      </c>
      <c r="E446" s="5" t="s">
        <v>51</v>
      </c>
      <c r="F446" s="5" t="s">
        <v>457</v>
      </c>
      <c r="G446" s="5" t="s">
        <v>144</v>
      </c>
      <c r="H446" s="12">
        <v>40000419</v>
      </c>
      <c r="I446" s="311" t="str">
        <f t="shared" si="257"/>
        <v>40000419-EJECUCION</v>
      </c>
      <c r="J446" s="190"/>
      <c r="K446" s="309" t="str">
        <f t="shared" si="258"/>
        <v>40000419</v>
      </c>
      <c r="L446" s="15" t="s">
        <v>1000</v>
      </c>
      <c r="M446" s="23">
        <v>232610000</v>
      </c>
      <c r="N446" s="34">
        <v>0</v>
      </c>
      <c r="O446" s="34">
        <v>232610000</v>
      </c>
      <c r="P446" s="310">
        <v>0</v>
      </c>
      <c r="Q446" s="34">
        <v>0</v>
      </c>
      <c r="R446" s="308">
        <v>0</v>
      </c>
      <c r="S446" s="34">
        <f t="shared" si="259"/>
        <v>0</v>
      </c>
      <c r="T446" s="34">
        <v>0</v>
      </c>
      <c r="U446" s="34">
        <v>0</v>
      </c>
      <c r="V446" s="34">
        <f>P446+Q446+R446+T446+U446</f>
        <v>0</v>
      </c>
      <c r="W446" s="34">
        <f>O446-V446</f>
        <v>232610000</v>
      </c>
      <c r="X446" s="34">
        <f>M446-(N446+O446)</f>
        <v>0</v>
      </c>
      <c r="Y446" s="48" t="s">
        <v>460</v>
      </c>
      <c r="Z446" s="48" t="s">
        <v>10</v>
      </c>
      <c r="AJ446" s="185"/>
      <c r="AK446" s="185"/>
      <c r="AL446" s="185"/>
      <c r="AM446" s="185"/>
      <c r="AO446" s="189"/>
      <c r="AP446" s="189"/>
      <c r="AQ446" s="189"/>
      <c r="AZ446" s="189"/>
      <c r="BF446" s="189"/>
      <c r="BG446" s="189"/>
      <c r="BP446" s="2" t="e">
        <f>VLOOKUP(H446,#REF!,2,FALSE)</f>
        <v>#REF!</v>
      </c>
      <c r="BQ446" s="2" t="e">
        <f>VLOOKUP(H446,#REF!,13,FALSE)</f>
        <v>#REF!</v>
      </c>
      <c r="BR446" s="2" t="e">
        <f>VLOOKUP(H446,#REF!,3,FALSE)</f>
        <v>#REF!</v>
      </c>
    </row>
    <row r="447" spans="1:70" s="2" customFormat="1" ht="15" customHeight="1" outlineLevel="2">
      <c r="A447" s="5">
        <v>31</v>
      </c>
      <c r="B447" s="5" t="s">
        <v>5</v>
      </c>
      <c r="C447" s="5" t="s">
        <v>238</v>
      </c>
      <c r="D447" s="5" t="s">
        <v>22</v>
      </c>
      <c r="E447" s="5" t="s">
        <v>51</v>
      </c>
      <c r="F447" s="5" t="s">
        <v>6</v>
      </c>
      <c r="G447" s="5" t="s">
        <v>144</v>
      </c>
      <c r="H447" s="12">
        <v>30066636</v>
      </c>
      <c r="I447" s="42" t="str">
        <f t="shared" si="257"/>
        <v>30066636-EJECUCION</v>
      </c>
      <c r="J447" s="12"/>
      <c r="K447" s="307" t="str">
        <f t="shared" si="258"/>
        <v>30066636</v>
      </c>
      <c r="L447" s="15" t="s">
        <v>456</v>
      </c>
      <c r="M447" s="23">
        <v>2161821134</v>
      </c>
      <c r="N447" s="34">
        <v>1693260845</v>
      </c>
      <c r="O447" s="34">
        <v>454559935</v>
      </c>
      <c r="P447" s="310">
        <v>0</v>
      </c>
      <c r="Q447" s="34">
        <v>0</v>
      </c>
      <c r="R447" s="308">
        <v>0</v>
      </c>
      <c r="S447" s="34">
        <f t="shared" si="259"/>
        <v>0</v>
      </c>
      <c r="T447" s="34">
        <v>0</v>
      </c>
      <c r="U447" s="34">
        <v>0</v>
      </c>
      <c r="V447" s="34">
        <f>P447+Q447+R447+T447+U447</f>
        <v>0</v>
      </c>
      <c r="W447" s="34">
        <f>O447-V447</f>
        <v>454559935</v>
      </c>
      <c r="X447" s="34">
        <f>M447-(N447+O447)</f>
        <v>14000354</v>
      </c>
      <c r="Y447" s="48" t="s">
        <v>239</v>
      </c>
      <c r="Z447" s="48" t="s">
        <v>8</v>
      </c>
      <c r="AA447" s="2" t="s">
        <v>846</v>
      </c>
      <c r="AB447" s="2" t="e">
        <f>VLOOKUP(H447,#REF!,2,FALSE)</f>
        <v>#REF!</v>
      </c>
      <c r="AC447" s="2" t="e">
        <f>VLOOKUP(I447,#REF!,2,FALSE)</f>
        <v>#REF!</v>
      </c>
      <c r="AD447" s="2" t="e">
        <f>VLOOKUP(H447,#REF!,13,FALSE)</f>
        <v>#REF!</v>
      </c>
      <c r="AE447" s="2" t="e">
        <f>VLOOKUP(I447,#REF!,7,FALSE)</f>
        <v>#REF!</v>
      </c>
      <c r="AG447" s="2" t="e">
        <f>VLOOKUP(H447,#REF!,13,FALSE)</f>
        <v>#REF!</v>
      </c>
      <c r="AH447" s="2" t="e">
        <f>VLOOKUP(I447,#REF!,2,FALSE)</f>
        <v>#REF!</v>
      </c>
      <c r="AJ447" s="185" t="e">
        <f>VLOOKUP(H447,#REF!,3,FALSE)</f>
        <v>#REF!</v>
      </c>
      <c r="AK447" s="185"/>
      <c r="AL447" s="185" t="e">
        <f>VLOOKUP(H447,#REF!,13,FALSE)</f>
        <v>#REF!</v>
      </c>
      <c r="AM447" s="185" t="e">
        <f>VLOOKUP(CLEAN(H447),#REF!,7,FALSE)</f>
        <v>#REF!</v>
      </c>
      <c r="AN447" s="2" t="e">
        <f>VLOOKUP(H447,#REF!,8,FALSE)</f>
        <v>#REF!</v>
      </c>
      <c r="AO447" s="189" t="e">
        <f>VLOOKUP(H447,#REF!,2,FALSE)</f>
        <v>#REF!</v>
      </c>
      <c r="AP447" s="189" t="e">
        <f>VLOOKUP(H447,#REF!,2,FALSE)</f>
        <v>#REF!</v>
      </c>
      <c r="AQ447" s="189"/>
      <c r="AR447" s="2" t="e">
        <f>VLOOKUP(CLEAN(H447),#REF!,2,FALSE)</f>
        <v>#REF!</v>
      </c>
      <c r="AT447" s="2" t="e">
        <f>VLOOKUP(H447,#REF!,13,FALSE)</f>
        <v>#REF!</v>
      </c>
      <c r="AU447" s="2" t="e">
        <f>VLOOKUP(H447,#REF!,13,FALSE)</f>
        <v>#REF!</v>
      </c>
      <c r="AV447" s="2" t="e">
        <f>VLOOKUP(H447,#REF!,13,FALSE)</f>
        <v>#REF!</v>
      </c>
      <c r="AW447" s="2" t="e">
        <f>VLOOKUP(H447,#REF!,13,FALSE)</f>
        <v>#REF!</v>
      </c>
      <c r="AX447" s="2" t="e">
        <f>VLOOKUP(H447,#REF!,9,FALSE)</f>
        <v>#REF!</v>
      </c>
      <c r="AZ447" s="189" t="e">
        <f>VLOOKUP(H447,#REF!,2,FALSE)</f>
        <v>#REF!</v>
      </c>
      <c r="BF447" s="189" t="e">
        <f>VLOOKUP(CLEAN(H447),#REF!,2,FALSE)</f>
        <v>#REF!</v>
      </c>
      <c r="BG447" s="189" t="e">
        <f>T447-BF447</f>
        <v>#REF!</v>
      </c>
      <c r="BO447" s="2" t="e">
        <f>VLOOKUP(H447,#REF!,13,FALSE)</f>
        <v>#REF!</v>
      </c>
      <c r="BP447" s="2" t="e">
        <f>VLOOKUP(H447,#REF!,2,FALSE)</f>
        <v>#REF!</v>
      </c>
      <c r="BQ447" s="2" t="e">
        <f>VLOOKUP(H447,#REF!,13,FALSE)</f>
        <v>#REF!</v>
      </c>
      <c r="BR447" s="2" t="e">
        <f>VLOOKUP(H447,#REF!,3,FALSE)</f>
        <v>#REF!</v>
      </c>
    </row>
    <row r="448" spans="1:70" ht="15" customHeight="1" outlineLevel="2">
      <c r="A448" s="7"/>
      <c r="B448" s="7"/>
      <c r="C448" s="7"/>
      <c r="D448" s="7"/>
      <c r="E448" s="7"/>
      <c r="F448" s="7"/>
      <c r="G448" s="7"/>
      <c r="H448" s="11"/>
      <c r="I448" s="11"/>
      <c r="J448" s="11"/>
      <c r="K448" s="11"/>
      <c r="L448" s="17" t="s">
        <v>691</v>
      </c>
      <c r="M448" s="27">
        <f t="shared" ref="M448:X448" si="260">SUBTOTAL(9,M443:M447)</f>
        <v>9563807135</v>
      </c>
      <c r="N448" s="27">
        <f t="shared" si="260"/>
        <v>5997369758</v>
      </c>
      <c r="O448" s="27">
        <f t="shared" si="260"/>
        <v>1950865878</v>
      </c>
      <c r="P448" s="24">
        <f t="shared" si="260"/>
        <v>1650000</v>
      </c>
      <c r="Q448" s="24">
        <f t="shared" si="260"/>
        <v>0</v>
      </c>
      <c r="R448" s="24">
        <f t="shared" si="260"/>
        <v>11908270</v>
      </c>
      <c r="S448" s="27">
        <f t="shared" si="260"/>
        <v>13558270</v>
      </c>
      <c r="T448" s="27">
        <f t="shared" si="260"/>
        <v>0</v>
      </c>
      <c r="U448" s="27">
        <f t="shared" si="260"/>
        <v>0</v>
      </c>
      <c r="V448" s="27">
        <f t="shared" si="260"/>
        <v>13558270</v>
      </c>
      <c r="W448" s="27">
        <f t="shared" si="260"/>
        <v>1937307608</v>
      </c>
      <c r="X448" s="27">
        <f t="shared" si="260"/>
        <v>1615571499</v>
      </c>
      <c r="Y448" s="47"/>
      <c r="Z448" s="47"/>
      <c r="AM448" s="185" t="e">
        <f>VLOOKUP(CLEAN(H448),#REF!,7,FALSE)</f>
        <v>#REF!</v>
      </c>
      <c r="AO448"/>
      <c r="AP448"/>
      <c r="AQ448"/>
      <c r="AR448" s="2" t="e">
        <f>VLOOKUP(CLEAN(H448),#REF!,2,FALSE)</f>
        <v>#REF!</v>
      </c>
      <c r="AZ448" s="2" t="e">
        <f>VLOOKUP(H448,#REF!,2,FALSE)</f>
        <v>#REF!</v>
      </c>
      <c r="BO448" s="2" t="e">
        <f>VLOOKUP(H448,#REF!,13,FALSE)</f>
        <v>#REF!</v>
      </c>
      <c r="BQ448" s="2" t="e">
        <f>VLOOKUP(H448,#REF!,13,FALSE)</f>
        <v>#REF!</v>
      </c>
    </row>
    <row r="449" spans="1:70" ht="15" customHeight="1" outlineLevel="2">
      <c r="A449" s="7"/>
      <c r="B449" s="7"/>
      <c r="C449" s="7"/>
      <c r="D449" s="7"/>
      <c r="E449" s="7"/>
      <c r="F449" s="7"/>
      <c r="G449" s="7"/>
      <c r="H449" s="11"/>
      <c r="I449" s="11"/>
      <c r="J449" s="11"/>
      <c r="K449" s="11"/>
      <c r="L449" s="292"/>
      <c r="M449" s="22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47"/>
      <c r="Z449" s="47"/>
      <c r="AM449" s="185" t="e">
        <f>VLOOKUP(CLEAN(H449),#REF!,7,FALSE)</f>
        <v>#REF!</v>
      </c>
      <c r="AO449"/>
      <c r="AP449"/>
      <c r="AQ449"/>
      <c r="AR449" s="2" t="e">
        <f>VLOOKUP(CLEAN(H449),#REF!,2,FALSE)</f>
        <v>#REF!</v>
      </c>
      <c r="AZ449" s="2" t="e">
        <f>VLOOKUP(H449,#REF!,2,FALSE)</f>
        <v>#REF!</v>
      </c>
      <c r="BO449" s="2" t="e">
        <f>VLOOKUP(H449,#REF!,13,FALSE)</f>
        <v>#REF!</v>
      </c>
      <c r="BP449" s="293"/>
      <c r="BQ449" s="2" t="e">
        <f>VLOOKUP(H449,#REF!,13,FALSE)</f>
        <v>#REF!</v>
      </c>
    </row>
    <row r="450" spans="1:70" ht="15" customHeight="1" outlineLevel="2">
      <c r="A450" s="7"/>
      <c r="B450" s="7"/>
      <c r="C450" s="7"/>
      <c r="D450" s="7"/>
      <c r="E450" s="7"/>
      <c r="F450" s="7"/>
      <c r="G450" s="7"/>
      <c r="H450" s="11"/>
      <c r="I450" s="11"/>
      <c r="J450" s="11"/>
      <c r="K450" s="11"/>
      <c r="L450" s="18" t="s">
        <v>697</v>
      </c>
      <c r="M450" s="22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47"/>
      <c r="Z450" s="47"/>
      <c r="AO450"/>
      <c r="AP450"/>
      <c r="AQ450"/>
      <c r="AR450" s="2" t="e">
        <f>VLOOKUP(CLEAN(H450),#REF!,2,FALSE)</f>
        <v>#REF!</v>
      </c>
      <c r="AZ450" s="2" t="e">
        <f>VLOOKUP(H450,#REF!,2,FALSE)</f>
        <v>#REF!</v>
      </c>
      <c r="BO450" s="2" t="e">
        <f>VLOOKUP(H450,#REF!,13,FALSE)</f>
        <v>#REF!</v>
      </c>
      <c r="BQ450" s="2" t="e">
        <f>VLOOKUP(H450,#REF!,13,FALSE)</f>
        <v>#REF!</v>
      </c>
    </row>
    <row r="451" spans="1:70" s="2" customFormat="1" ht="15" customHeight="1" outlineLevel="2">
      <c r="A451" s="5">
        <v>31</v>
      </c>
      <c r="B451" s="5" t="s">
        <v>5</v>
      </c>
      <c r="C451" s="5" t="s">
        <v>311</v>
      </c>
      <c r="D451" s="5" t="s">
        <v>22</v>
      </c>
      <c r="E451" s="5" t="s">
        <v>51</v>
      </c>
      <c r="F451" s="5" t="s">
        <v>457</v>
      </c>
      <c r="G451" s="5" t="s">
        <v>144</v>
      </c>
      <c r="H451" s="12">
        <v>30136720</v>
      </c>
      <c r="I451" s="42" t="str">
        <f>CONCATENATE(H451,"-",G451)</f>
        <v>30136720-EJECUCION</v>
      </c>
      <c r="J451" s="12"/>
      <c r="K451" s="307" t="str">
        <f>CLEAN(H451)</f>
        <v>30136720</v>
      </c>
      <c r="L451" s="15" t="s">
        <v>530</v>
      </c>
      <c r="M451" s="23">
        <v>44893010</v>
      </c>
      <c r="N451" s="34">
        <v>41002546</v>
      </c>
      <c r="O451" s="34">
        <v>3890464</v>
      </c>
      <c r="P451" s="310">
        <v>0</v>
      </c>
      <c r="Q451" s="34">
        <v>3890464</v>
      </c>
      <c r="R451" s="308">
        <v>0</v>
      </c>
      <c r="S451" s="34">
        <f>P451+Q451+R451</f>
        <v>3890464</v>
      </c>
      <c r="T451" s="34">
        <v>0</v>
      </c>
      <c r="U451" s="34">
        <v>0</v>
      </c>
      <c r="V451" s="34">
        <f>P451+Q451+R451+T451+U451</f>
        <v>3890464</v>
      </c>
      <c r="W451" s="34">
        <f>O451-V451</f>
        <v>0</v>
      </c>
      <c r="X451" s="34">
        <f>M451-(N451+O451)</f>
        <v>0</v>
      </c>
      <c r="Y451" s="48" t="s">
        <v>460</v>
      </c>
      <c r="Z451" s="48" t="s">
        <v>8</v>
      </c>
      <c r="AA451" s="2" t="s">
        <v>843</v>
      </c>
      <c r="AB451" s="2" t="e">
        <f>VLOOKUP(H451,#REF!,2,FALSE)</f>
        <v>#REF!</v>
      </c>
      <c r="AC451" s="2" t="e">
        <f>VLOOKUP(I451,#REF!,2,FALSE)</f>
        <v>#REF!</v>
      </c>
      <c r="AD451" s="2" t="e">
        <f>VLOOKUP(H451,#REF!,13,FALSE)</f>
        <v>#REF!</v>
      </c>
      <c r="AE451" s="2" t="e">
        <f>VLOOKUP(I451,#REF!,7,FALSE)</f>
        <v>#REF!</v>
      </c>
      <c r="AG451" s="2" t="e">
        <f>VLOOKUP(H451,#REF!,13,FALSE)</f>
        <v>#REF!</v>
      </c>
      <c r="AH451" s="2" t="e">
        <f>VLOOKUP(I451,#REF!,2,FALSE)</f>
        <v>#REF!</v>
      </c>
      <c r="AJ451" s="185" t="e">
        <f>VLOOKUP(H451,#REF!,3,FALSE)</f>
        <v>#REF!</v>
      </c>
      <c r="AK451" s="185"/>
      <c r="AL451" s="185" t="e">
        <f>VLOOKUP(H451,#REF!,13,FALSE)</f>
        <v>#REF!</v>
      </c>
      <c r="AM451" s="185" t="e">
        <f>VLOOKUP(CLEAN(H451),#REF!,7,FALSE)</f>
        <v>#REF!</v>
      </c>
      <c r="AN451" s="2" t="e">
        <f>VLOOKUP(H451,#REF!,8,FALSE)</f>
        <v>#REF!</v>
      </c>
      <c r="AO451" s="189" t="e">
        <f>VLOOKUP(H451,#REF!,2,FALSE)</f>
        <v>#REF!</v>
      </c>
      <c r="AP451" s="189" t="e">
        <f>VLOOKUP(H451,#REF!,2,FALSE)</f>
        <v>#REF!</v>
      </c>
      <c r="AQ451" s="189"/>
      <c r="AR451" s="2" t="e">
        <f>VLOOKUP(CLEAN(H451),#REF!,2,FALSE)</f>
        <v>#REF!</v>
      </c>
      <c r="AT451" s="2" t="e">
        <f>VLOOKUP(H451,#REF!,13,FALSE)</f>
        <v>#REF!</v>
      </c>
      <c r="AU451" s="2" t="e">
        <f>VLOOKUP(H451,#REF!,13,FALSE)</f>
        <v>#REF!</v>
      </c>
      <c r="AV451" s="2" t="e">
        <f>VLOOKUP(H451,#REF!,13,FALSE)</f>
        <v>#REF!</v>
      </c>
      <c r="AW451" s="2" t="e">
        <f>VLOOKUP(H451,#REF!,13,FALSE)</f>
        <v>#REF!</v>
      </c>
      <c r="AX451" s="2" t="e">
        <f>VLOOKUP(H451,#REF!,9,FALSE)</f>
        <v>#REF!</v>
      </c>
      <c r="AZ451" s="189" t="e">
        <f>VLOOKUP(H451,#REF!,2,FALSE)</f>
        <v>#REF!</v>
      </c>
      <c r="BF451" s="189" t="e">
        <f>VLOOKUP(CLEAN(H451),#REF!,2,FALSE)</f>
        <v>#REF!</v>
      </c>
      <c r="BG451" s="189" t="e">
        <f>T451-BF451</f>
        <v>#REF!</v>
      </c>
      <c r="BO451" s="2" t="e">
        <f>VLOOKUP(H451,#REF!,13,FALSE)</f>
        <v>#REF!</v>
      </c>
      <c r="BP451" s="2" t="e">
        <f>VLOOKUP(H451,#REF!,2,FALSE)</f>
        <v>#REF!</v>
      </c>
      <c r="BQ451" s="2" t="e">
        <f>VLOOKUP(H451,#REF!,13,FALSE)</f>
        <v>#REF!</v>
      </c>
      <c r="BR451" s="2" t="e">
        <f>VLOOKUP(H451,#REF!,3,FALSE)</f>
        <v>#REF!</v>
      </c>
    </row>
    <row r="452" spans="1:70" ht="15" customHeight="1" outlineLevel="2">
      <c r="A452" s="7"/>
      <c r="B452" s="7"/>
      <c r="C452" s="7"/>
      <c r="D452" s="7"/>
      <c r="E452" s="7"/>
      <c r="F452" s="7"/>
      <c r="G452" s="7"/>
      <c r="H452" s="11"/>
      <c r="I452" s="11"/>
      <c r="J452" s="11"/>
      <c r="K452" s="11"/>
      <c r="L452" s="17" t="s">
        <v>694</v>
      </c>
      <c r="M452" s="27">
        <f>SUBTOTAL(9,M451)</f>
        <v>44893010</v>
      </c>
      <c r="N452" s="27">
        <f t="shared" ref="N452:O452" si="261">SUBTOTAL(9,N451)</f>
        <v>41002546</v>
      </c>
      <c r="O452" s="27">
        <f t="shared" si="261"/>
        <v>3890464</v>
      </c>
      <c r="P452" s="24">
        <f t="shared" ref="P452:X452" si="262">SUBTOTAL(9,P451)</f>
        <v>0</v>
      </c>
      <c r="Q452" s="24">
        <f t="shared" si="262"/>
        <v>3890464</v>
      </c>
      <c r="R452" s="24">
        <f t="shared" si="262"/>
        <v>0</v>
      </c>
      <c r="S452" s="27">
        <f t="shared" si="262"/>
        <v>3890464</v>
      </c>
      <c r="T452" s="27">
        <f t="shared" si="262"/>
        <v>0</v>
      </c>
      <c r="U452" s="27">
        <f t="shared" si="262"/>
        <v>0</v>
      </c>
      <c r="V452" s="27">
        <f t="shared" si="262"/>
        <v>3890464</v>
      </c>
      <c r="W452" s="27">
        <f t="shared" si="262"/>
        <v>0</v>
      </c>
      <c r="X452" s="27">
        <f t="shared" si="262"/>
        <v>0</v>
      </c>
      <c r="Y452" s="47"/>
      <c r="Z452" s="47"/>
      <c r="AO452"/>
      <c r="AP452"/>
      <c r="AQ452"/>
      <c r="AR452" s="2" t="e">
        <f>VLOOKUP(CLEAN(H452),#REF!,2,FALSE)</f>
        <v>#REF!</v>
      </c>
      <c r="AZ452" s="2" t="e">
        <f>VLOOKUP(H452,#REF!,2,FALSE)</f>
        <v>#REF!</v>
      </c>
      <c r="BO452" s="2" t="e">
        <f>VLOOKUP(H452,#REF!,13,FALSE)</f>
        <v>#REF!</v>
      </c>
      <c r="BQ452" s="2" t="e">
        <f>VLOOKUP(H452,#REF!,13,FALSE)</f>
        <v>#REF!</v>
      </c>
    </row>
    <row r="453" spans="1:70" ht="15" customHeight="1" outlineLevel="2">
      <c r="A453" s="7"/>
      <c r="B453" s="7"/>
      <c r="C453" s="7"/>
      <c r="D453" s="7"/>
      <c r="E453" s="7"/>
      <c r="F453" s="7"/>
      <c r="G453" s="7"/>
      <c r="H453" s="11"/>
      <c r="I453" s="11"/>
      <c r="J453" s="11"/>
      <c r="K453" s="11"/>
      <c r="L453" s="292"/>
      <c r="M453" s="22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47"/>
      <c r="Z453" s="47"/>
      <c r="AO453"/>
      <c r="AP453"/>
      <c r="AQ453"/>
      <c r="AR453" s="2" t="e">
        <f>VLOOKUP(CLEAN(H453),#REF!,2,FALSE)</f>
        <v>#REF!</v>
      </c>
      <c r="AZ453" s="2" t="e">
        <f>VLOOKUP(H453,#REF!,2,FALSE)</f>
        <v>#REF!</v>
      </c>
      <c r="BO453" s="2" t="e">
        <f>VLOOKUP(H453,#REF!,13,FALSE)</f>
        <v>#REF!</v>
      </c>
      <c r="BP453" s="293"/>
      <c r="BQ453" s="2" t="e">
        <f>VLOOKUP(H453,#REF!,13,FALSE)</f>
        <v>#REF!</v>
      </c>
    </row>
    <row r="454" spans="1:70" ht="15" customHeight="1" outlineLevel="2">
      <c r="A454" s="7"/>
      <c r="B454" s="7"/>
      <c r="C454" s="7"/>
      <c r="D454" s="7"/>
      <c r="E454" s="7"/>
      <c r="F454" s="7"/>
      <c r="G454" s="7"/>
      <c r="H454" s="11"/>
      <c r="I454" s="11"/>
      <c r="J454" s="11"/>
      <c r="K454" s="11"/>
      <c r="L454" s="18" t="s">
        <v>698</v>
      </c>
      <c r="M454" s="22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47"/>
      <c r="Z454" s="47"/>
      <c r="AO454"/>
      <c r="AP454"/>
      <c r="AQ454"/>
      <c r="AR454" s="2"/>
      <c r="AZ454" s="2"/>
      <c r="BO454" s="2"/>
      <c r="BQ454" s="2" t="e">
        <f>VLOOKUP(H454,#REF!,13,FALSE)</f>
        <v>#REF!</v>
      </c>
    </row>
    <row r="455" spans="1:70" s="2" customFormat="1" ht="15" customHeight="1" outlineLevel="2">
      <c r="A455" s="5">
        <v>29</v>
      </c>
      <c r="B455" s="5" t="s">
        <v>54</v>
      </c>
      <c r="C455" s="5" t="s">
        <v>240</v>
      </c>
      <c r="D455" s="5" t="s">
        <v>22</v>
      </c>
      <c r="E455" s="5" t="s">
        <v>51</v>
      </c>
      <c r="F455" s="5" t="s">
        <v>457</v>
      </c>
      <c r="G455" s="5" t="s">
        <v>144</v>
      </c>
      <c r="H455" s="12">
        <v>30361582</v>
      </c>
      <c r="I455" s="42" t="str">
        <f>CONCATENATE(H455,"-",G455)</f>
        <v>30361582-EJECUCION</v>
      </c>
      <c r="J455" s="12"/>
      <c r="K455" s="307" t="str">
        <f>CLEAN(H455)</f>
        <v>30361582</v>
      </c>
      <c r="L455" s="15" t="s">
        <v>364</v>
      </c>
      <c r="M455" s="23">
        <v>61990000</v>
      </c>
      <c r="N455" s="34">
        <v>0</v>
      </c>
      <c r="O455" s="34">
        <v>61990000</v>
      </c>
      <c r="P455" s="310">
        <v>0</v>
      </c>
      <c r="Q455" s="34">
        <v>0</v>
      </c>
      <c r="R455" s="308">
        <v>0</v>
      </c>
      <c r="S455" s="34">
        <f>P455+Q455+R455</f>
        <v>0</v>
      </c>
      <c r="T455" s="34">
        <v>0</v>
      </c>
      <c r="U455" s="34">
        <v>0</v>
      </c>
      <c r="V455" s="34">
        <f>P455+Q455+R455+T455+U455</f>
        <v>0</v>
      </c>
      <c r="W455" s="34">
        <f>O455-V455</f>
        <v>61990000</v>
      </c>
      <c r="X455" s="34">
        <f>M455-(N455+O455)</f>
        <v>0</v>
      </c>
      <c r="Y455" s="48" t="s">
        <v>460</v>
      </c>
      <c r="Z455" s="48" t="s">
        <v>10</v>
      </c>
      <c r="AA455" s="2" t="s">
        <v>849</v>
      </c>
      <c r="AB455" s="2" t="e">
        <f>VLOOKUP(H455,#REF!,2,FALSE)</f>
        <v>#REF!</v>
      </c>
      <c r="AC455" s="2" t="e">
        <f>VLOOKUP(I455,#REF!,2,FALSE)</f>
        <v>#REF!</v>
      </c>
      <c r="AD455" s="2" t="e">
        <f>VLOOKUP(H455,#REF!,13,FALSE)</f>
        <v>#REF!</v>
      </c>
      <c r="AE455" s="177" t="e">
        <f>VLOOKUP(I455,#REF!,7,FALSE)</f>
        <v>#REF!</v>
      </c>
      <c r="AG455" s="2" t="e">
        <f>VLOOKUP(H455,#REF!,13,FALSE)</f>
        <v>#REF!</v>
      </c>
      <c r="AH455" s="2" t="e">
        <f>VLOOKUP(I455,#REF!,2,FALSE)</f>
        <v>#REF!</v>
      </c>
      <c r="AJ455" s="185" t="e">
        <f>VLOOKUP(H455,#REF!,3,FALSE)</f>
        <v>#REF!</v>
      </c>
      <c r="AK455" s="185"/>
      <c r="AL455" s="185" t="e">
        <f>VLOOKUP(H455,#REF!,13,FALSE)</f>
        <v>#REF!</v>
      </c>
      <c r="AM455" s="185" t="e">
        <f>VLOOKUP(CLEAN(H455),#REF!,7,FALSE)</f>
        <v>#REF!</v>
      </c>
      <c r="AN455" s="2" t="e">
        <f>VLOOKUP(H455,#REF!,8,FALSE)</f>
        <v>#REF!</v>
      </c>
      <c r="AO455" s="189" t="e">
        <f>VLOOKUP(H455,#REF!,2,FALSE)</f>
        <v>#REF!</v>
      </c>
      <c r="AP455" s="189" t="e">
        <f>VLOOKUP(H455,#REF!,2,FALSE)</f>
        <v>#REF!</v>
      </c>
      <c r="AQ455" s="189"/>
      <c r="AR455" s="2" t="e">
        <f>VLOOKUP(CLEAN(H455),#REF!,2,FALSE)</f>
        <v>#REF!</v>
      </c>
      <c r="AT455" s="2" t="e">
        <f>VLOOKUP(H455,#REF!,13,FALSE)</f>
        <v>#REF!</v>
      </c>
      <c r="AU455" s="2" t="e">
        <f>VLOOKUP(H455,#REF!,13,FALSE)</f>
        <v>#REF!</v>
      </c>
      <c r="AV455" s="2" t="e">
        <f>VLOOKUP(H455,#REF!,13,FALSE)</f>
        <v>#REF!</v>
      </c>
      <c r="AW455" s="2" t="e">
        <f>VLOOKUP(H455,#REF!,13,FALSE)</f>
        <v>#REF!</v>
      </c>
      <c r="AX455" s="2" t="e">
        <f>VLOOKUP(H455,#REF!,9,FALSE)</f>
        <v>#REF!</v>
      </c>
      <c r="AY455" s="2" t="e">
        <f>VLOOKUP(H455,#REF!,2,FALSE)</f>
        <v>#REF!</v>
      </c>
      <c r="AZ455" s="189" t="e">
        <f>VLOOKUP(H455,#REF!,2,FALSE)</f>
        <v>#REF!</v>
      </c>
      <c r="BF455" s="189" t="e">
        <f>VLOOKUP(CLEAN(H455),#REF!,2,FALSE)</f>
        <v>#REF!</v>
      </c>
      <c r="BG455" s="189" t="e">
        <f>T455-BF455</f>
        <v>#REF!</v>
      </c>
      <c r="BO455" s="2" t="e">
        <f>VLOOKUP(H455,#REF!,13,FALSE)</f>
        <v>#REF!</v>
      </c>
      <c r="BP455" s="2" t="e">
        <f>VLOOKUP(H455,#REF!,2,FALSE)</f>
        <v>#REF!</v>
      </c>
      <c r="BQ455" s="2" t="e">
        <f>VLOOKUP(H455,#REF!,13,FALSE)</f>
        <v>#REF!</v>
      </c>
      <c r="BR455" s="2" t="e">
        <f>VLOOKUP(H455,#REF!,3,FALSE)</f>
        <v>#REF!</v>
      </c>
    </row>
    <row r="456" spans="1:70" ht="15" customHeight="1" outlineLevel="2">
      <c r="A456" s="7"/>
      <c r="B456" s="7"/>
      <c r="C456" s="7"/>
      <c r="D456" s="7"/>
      <c r="E456" s="7"/>
      <c r="F456" s="7"/>
      <c r="G456" s="7"/>
      <c r="H456" s="11"/>
      <c r="I456" s="11"/>
      <c r="J456" s="11"/>
      <c r="K456" s="11"/>
      <c r="L456" s="17" t="s">
        <v>692</v>
      </c>
      <c r="M456" s="27">
        <f>SUBTOTAL(9,M455)</f>
        <v>61990000</v>
      </c>
      <c r="N456" s="27">
        <f t="shared" ref="N456:O456" si="263">SUBTOTAL(9,N455)</f>
        <v>0</v>
      </c>
      <c r="O456" s="27">
        <f t="shared" si="263"/>
        <v>61990000</v>
      </c>
      <c r="P456" s="24">
        <f t="shared" ref="P456:X456" si="264">SUBTOTAL(9,P455)</f>
        <v>0</v>
      </c>
      <c r="Q456" s="24">
        <f t="shared" si="264"/>
        <v>0</v>
      </c>
      <c r="R456" s="24">
        <f t="shared" si="264"/>
        <v>0</v>
      </c>
      <c r="S456" s="27">
        <f t="shared" si="264"/>
        <v>0</v>
      </c>
      <c r="T456" s="27">
        <f t="shared" si="264"/>
        <v>0</v>
      </c>
      <c r="U456" s="27">
        <f t="shared" si="264"/>
        <v>0</v>
      </c>
      <c r="V456" s="27">
        <f t="shared" si="264"/>
        <v>0</v>
      </c>
      <c r="W456" s="27">
        <f t="shared" si="264"/>
        <v>61990000</v>
      </c>
      <c r="X456" s="27">
        <f t="shared" si="264"/>
        <v>0</v>
      </c>
      <c r="Y456" s="47"/>
      <c r="Z456" s="47"/>
      <c r="AO456"/>
      <c r="AP456"/>
      <c r="AQ456"/>
      <c r="AR456" s="2"/>
      <c r="AZ456" s="2"/>
      <c r="BO456" s="2"/>
      <c r="BQ456" s="2" t="e">
        <f>VLOOKUP(H456,#REF!,13,FALSE)</f>
        <v>#REF!</v>
      </c>
    </row>
    <row r="457" spans="1:70" ht="15" customHeight="1" outlineLevel="2">
      <c r="A457" s="7"/>
      <c r="B457" s="7"/>
      <c r="C457" s="7"/>
      <c r="D457" s="7"/>
      <c r="E457" s="7"/>
      <c r="F457" s="7"/>
      <c r="G457" s="7"/>
      <c r="H457" s="11"/>
      <c r="I457" s="11"/>
      <c r="J457" s="11"/>
      <c r="K457" s="11"/>
      <c r="L457" s="292"/>
      <c r="M457" s="22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47"/>
      <c r="Z457" s="47"/>
      <c r="AO457"/>
      <c r="AP457"/>
      <c r="AQ457"/>
      <c r="AR457" s="2"/>
      <c r="AZ457" s="2"/>
      <c r="BO457" s="2"/>
      <c r="BP457" s="293"/>
      <c r="BQ457" s="2" t="e">
        <f>VLOOKUP(H457,#REF!,13,FALSE)</f>
        <v>#REF!</v>
      </c>
    </row>
    <row r="458" spans="1:70" ht="15" customHeight="1" outlineLevel="2">
      <c r="A458" s="7"/>
      <c r="B458" s="7"/>
      <c r="C458" s="7"/>
      <c r="D458" s="7"/>
      <c r="E458" s="7"/>
      <c r="F458" s="7"/>
      <c r="G458" s="7"/>
      <c r="H458" s="11"/>
      <c r="I458" s="11"/>
      <c r="J458" s="11"/>
      <c r="K458" s="11"/>
      <c r="L458" s="18" t="s">
        <v>701</v>
      </c>
      <c r="M458" s="22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47"/>
      <c r="Z458" s="47"/>
      <c r="AM458" s="185" t="e">
        <f>VLOOKUP(CLEAN(H458),#REF!,7,FALSE)</f>
        <v>#REF!</v>
      </c>
      <c r="AO458"/>
      <c r="AP458"/>
      <c r="AQ458"/>
      <c r="AR458" s="2" t="e">
        <f>VLOOKUP(CLEAN(H458),#REF!,2,FALSE)</f>
        <v>#REF!</v>
      </c>
      <c r="AZ458" s="2" t="e">
        <f>VLOOKUP(H458,#REF!,2,FALSE)</f>
        <v>#REF!</v>
      </c>
      <c r="BO458" s="2" t="e">
        <f>VLOOKUP(H458,#REF!,13,FALSE)</f>
        <v>#REF!</v>
      </c>
      <c r="BQ458" s="2" t="e">
        <f>VLOOKUP(H458,#REF!,13,FALSE)</f>
        <v>#REF!</v>
      </c>
    </row>
    <row r="459" spans="1:70" s="2" customFormat="1" ht="15" customHeight="1" outlineLevel="2">
      <c r="A459" s="5">
        <v>31</v>
      </c>
      <c r="B459" s="5" t="s">
        <v>54</v>
      </c>
      <c r="C459" s="5" t="s">
        <v>242</v>
      </c>
      <c r="D459" s="5" t="s">
        <v>22</v>
      </c>
      <c r="E459" s="5" t="s">
        <v>51</v>
      </c>
      <c r="F459" s="5" t="s">
        <v>457</v>
      </c>
      <c r="G459" s="5" t="s">
        <v>144</v>
      </c>
      <c r="H459" s="12">
        <v>30077182</v>
      </c>
      <c r="I459" s="42" t="str">
        <f t="shared" ref="I459:I461" si="265">CONCATENATE(H459,"-",G459)</f>
        <v>30077182-EJECUCION</v>
      </c>
      <c r="J459" s="12"/>
      <c r="K459" s="307" t="str">
        <f t="shared" ref="K459:K461" si="266">CLEAN(H459)</f>
        <v>30077182</v>
      </c>
      <c r="L459" s="15" t="s">
        <v>237</v>
      </c>
      <c r="M459" s="23">
        <v>2304945000</v>
      </c>
      <c r="N459" s="34">
        <v>9000000</v>
      </c>
      <c r="O459" s="34">
        <v>300000000</v>
      </c>
      <c r="P459" s="310">
        <v>0</v>
      </c>
      <c r="Q459" s="34">
        <v>0</v>
      </c>
      <c r="R459" s="308">
        <v>0</v>
      </c>
      <c r="S459" s="34">
        <f t="shared" ref="S459:S461" si="267">P459+Q459+R459</f>
        <v>0</v>
      </c>
      <c r="T459" s="34">
        <v>0</v>
      </c>
      <c r="U459" s="34">
        <v>0</v>
      </c>
      <c r="V459" s="34">
        <f>P459+Q459+R459+T459+U459</f>
        <v>0</v>
      </c>
      <c r="W459" s="34">
        <f>O459-V459</f>
        <v>300000000</v>
      </c>
      <c r="X459" s="34">
        <f>M459-(N459+O459)</f>
        <v>1995945000</v>
      </c>
      <c r="Y459" s="48" t="s">
        <v>243</v>
      </c>
      <c r="Z459" s="48" t="s">
        <v>8</v>
      </c>
      <c r="AA459" s="2" t="s">
        <v>846</v>
      </c>
      <c r="AB459" s="2" t="e">
        <f>VLOOKUP(H459,#REF!,2,FALSE)</f>
        <v>#REF!</v>
      </c>
      <c r="AC459" s="2" t="e">
        <f>VLOOKUP(I459,#REF!,2,FALSE)</f>
        <v>#REF!</v>
      </c>
      <c r="AD459" s="2" t="e">
        <f>VLOOKUP(H459,#REF!,13,FALSE)</f>
        <v>#REF!</v>
      </c>
      <c r="AE459" s="2" t="e">
        <f>VLOOKUP(I459,#REF!,7,FALSE)</f>
        <v>#REF!</v>
      </c>
      <c r="AG459" s="2" t="e">
        <f>VLOOKUP(H459,#REF!,13,FALSE)</f>
        <v>#REF!</v>
      </c>
      <c r="AH459" s="2" t="e">
        <f>VLOOKUP(I459,#REF!,2,FALSE)</f>
        <v>#REF!</v>
      </c>
      <c r="AJ459" s="185" t="e">
        <f>VLOOKUP(H459,#REF!,3,FALSE)</f>
        <v>#REF!</v>
      </c>
      <c r="AK459" s="185"/>
      <c r="AL459" s="185" t="e">
        <f>VLOOKUP(H459,#REF!,13,FALSE)</f>
        <v>#REF!</v>
      </c>
      <c r="AM459" s="185" t="e">
        <f>VLOOKUP(CLEAN(H459),#REF!,7,FALSE)</f>
        <v>#REF!</v>
      </c>
      <c r="AN459" s="2" t="e">
        <f>VLOOKUP(H459,#REF!,8,FALSE)</f>
        <v>#REF!</v>
      </c>
      <c r="AO459" s="189" t="e">
        <f>VLOOKUP(H459,#REF!,2,FALSE)</f>
        <v>#REF!</v>
      </c>
      <c r="AP459" s="189" t="e">
        <f>VLOOKUP(H459,#REF!,2,FALSE)</f>
        <v>#REF!</v>
      </c>
      <c r="AQ459" s="189"/>
      <c r="AR459" s="2" t="e">
        <f>VLOOKUP(CLEAN(H459),#REF!,2,FALSE)</f>
        <v>#REF!</v>
      </c>
      <c r="AT459" s="2" t="e">
        <f>VLOOKUP(H459,#REF!,13,FALSE)</f>
        <v>#REF!</v>
      </c>
      <c r="AU459" s="2" t="e">
        <f>VLOOKUP(H459,#REF!,13,FALSE)</f>
        <v>#REF!</v>
      </c>
      <c r="AV459" s="2" t="e">
        <f>VLOOKUP(H459,#REF!,13,FALSE)</f>
        <v>#REF!</v>
      </c>
      <c r="AW459" s="2" t="e">
        <f>VLOOKUP(H459,#REF!,13,FALSE)</f>
        <v>#REF!</v>
      </c>
      <c r="AX459" s="2" t="e">
        <f>VLOOKUP(H459,#REF!,9,FALSE)</f>
        <v>#REF!</v>
      </c>
      <c r="AZ459" s="189" t="e">
        <f>VLOOKUP(H459,#REF!,2,FALSE)</f>
        <v>#REF!</v>
      </c>
      <c r="BF459" s="189" t="e">
        <f>VLOOKUP(CLEAN(H459),#REF!,2,FALSE)</f>
        <v>#REF!</v>
      </c>
      <c r="BG459" s="189" t="e">
        <f>T459-BF459</f>
        <v>#REF!</v>
      </c>
      <c r="BO459" s="2" t="e">
        <f>VLOOKUP(H459,#REF!,13,FALSE)</f>
        <v>#REF!</v>
      </c>
      <c r="BP459" s="2" t="e">
        <f>VLOOKUP(H459,#REF!,2,FALSE)</f>
        <v>#REF!</v>
      </c>
      <c r="BQ459" s="2" t="e">
        <f>VLOOKUP(H459,#REF!,13,FALSE)</f>
        <v>#REF!</v>
      </c>
      <c r="BR459" s="2" t="e">
        <f>VLOOKUP(H459,#REF!,3,FALSE)</f>
        <v>#REF!</v>
      </c>
    </row>
    <row r="460" spans="1:70" s="2" customFormat="1" ht="15" customHeight="1" outlineLevel="2">
      <c r="A460" s="5">
        <v>29</v>
      </c>
      <c r="B460" s="5" t="s">
        <v>11</v>
      </c>
      <c r="C460" s="5" t="s">
        <v>238</v>
      </c>
      <c r="D460" s="5" t="s">
        <v>22</v>
      </c>
      <c r="E460" s="5" t="s">
        <v>51</v>
      </c>
      <c r="F460" s="5" t="s">
        <v>457</v>
      </c>
      <c r="G460" s="5" t="s">
        <v>144</v>
      </c>
      <c r="H460" s="12">
        <v>30436694</v>
      </c>
      <c r="I460" s="42" t="str">
        <f>CONCATENATE(H460,"-",G460)</f>
        <v>30436694-EJECUCION</v>
      </c>
      <c r="J460" s="12"/>
      <c r="K460" s="307" t="str">
        <f>CLEAN(H460)</f>
        <v>30436694</v>
      </c>
      <c r="L460" s="15" t="s">
        <v>404</v>
      </c>
      <c r="M460" s="23">
        <v>485981000</v>
      </c>
      <c r="N460" s="34">
        <v>0</v>
      </c>
      <c r="O460" s="34">
        <v>485981000</v>
      </c>
      <c r="P460" s="310">
        <v>0</v>
      </c>
      <c r="Q460" s="34">
        <v>0</v>
      </c>
      <c r="R460" s="308">
        <v>0</v>
      </c>
      <c r="S460" s="34">
        <f t="shared" si="267"/>
        <v>0</v>
      </c>
      <c r="T460" s="34">
        <v>0</v>
      </c>
      <c r="U460" s="34">
        <v>0</v>
      </c>
      <c r="V460" s="34">
        <f>P460+Q460+R460+T460+U460</f>
        <v>0</v>
      </c>
      <c r="W460" s="34">
        <f>O460-V460</f>
        <v>485981000</v>
      </c>
      <c r="X460" s="34">
        <f>M460-(N460+O460)</f>
        <v>0</v>
      </c>
      <c r="Y460" s="48" t="s">
        <v>243</v>
      </c>
      <c r="Z460" s="48" t="s">
        <v>10</v>
      </c>
      <c r="AA460" s="2" t="e">
        <v>#N/A</v>
      </c>
      <c r="AB460" s="2" t="e">
        <f>VLOOKUP(H460,#REF!,2,FALSE)</f>
        <v>#REF!</v>
      </c>
      <c r="AC460" s="2" t="e">
        <f>VLOOKUP(I460,#REF!,2,FALSE)</f>
        <v>#REF!</v>
      </c>
      <c r="AD460" s="2" t="e">
        <f>VLOOKUP(H460,#REF!,13,FALSE)</f>
        <v>#REF!</v>
      </c>
      <c r="AE460" s="2" t="e">
        <f>VLOOKUP(I460,#REF!,7,FALSE)</f>
        <v>#REF!</v>
      </c>
      <c r="AG460" s="2" t="e">
        <f>VLOOKUP(H460,#REF!,13,FALSE)</f>
        <v>#REF!</v>
      </c>
      <c r="AH460" s="2" t="e">
        <f>VLOOKUP(I460,#REF!,2,FALSE)</f>
        <v>#REF!</v>
      </c>
      <c r="AJ460" s="185" t="e">
        <f>VLOOKUP(H460,#REF!,3,FALSE)</f>
        <v>#REF!</v>
      </c>
      <c r="AK460" s="185" t="s">
        <v>686</v>
      </c>
      <c r="AL460" s="185" t="e">
        <f>VLOOKUP(H460,#REF!,13,FALSE)</f>
        <v>#REF!</v>
      </c>
      <c r="AM460" s="185" t="e">
        <f>VLOOKUP(CLEAN(H460),#REF!,7,FALSE)</f>
        <v>#REF!</v>
      </c>
      <c r="AN460" s="2" t="e">
        <f>VLOOKUP(H460,#REF!,8,FALSE)</f>
        <v>#REF!</v>
      </c>
      <c r="AO460" s="189" t="e">
        <f>VLOOKUP(H460,#REF!,2,FALSE)</f>
        <v>#REF!</v>
      </c>
      <c r="AP460" s="189" t="e">
        <f>VLOOKUP(H460,#REF!,2,FALSE)</f>
        <v>#REF!</v>
      </c>
      <c r="AQ460" s="189"/>
      <c r="AR460" s="2" t="e">
        <f>VLOOKUP(CLEAN(H460),#REF!,2,FALSE)</f>
        <v>#REF!</v>
      </c>
      <c r="AT460" s="2" t="e">
        <f>VLOOKUP(H460,#REF!,13,FALSE)</f>
        <v>#REF!</v>
      </c>
      <c r="AU460" s="2" t="e">
        <f>VLOOKUP(H460,#REF!,13,FALSE)</f>
        <v>#REF!</v>
      </c>
      <c r="AV460" s="2" t="e">
        <f>VLOOKUP(H460,#REF!,13,FALSE)</f>
        <v>#REF!</v>
      </c>
      <c r="AW460" s="2" t="e">
        <f>VLOOKUP(H460,#REF!,13,FALSE)</f>
        <v>#REF!</v>
      </c>
      <c r="AX460" s="2" t="e">
        <f>VLOOKUP(H460,#REF!,9,FALSE)</f>
        <v>#REF!</v>
      </c>
      <c r="AZ460" s="2" t="e">
        <f>VLOOKUP(H460,#REF!,2,FALSE)</f>
        <v>#REF!</v>
      </c>
      <c r="BF460" s="189" t="e">
        <f>VLOOKUP(CLEAN(H460),#REF!,2,FALSE)</f>
        <v>#REF!</v>
      </c>
      <c r="BG460" s="189" t="e">
        <f>T460-BF460</f>
        <v>#REF!</v>
      </c>
      <c r="BO460" s="2" t="e">
        <f>VLOOKUP(H460,#REF!,13,FALSE)</f>
        <v>#REF!</v>
      </c>
      <c r="BP460" s="2" t="e">
        <f>VLOOKUP(H460,#REF!,2,FALSE)</f>
        <v>#REF!</v>
      </c>
      <c r="BQ460" s="2" t="e">
        <f>VLOOKUP(H460,#REF!,13,FALSE)</f>
        <v>#REF!</v>
      </c>
      <c r="BR460" s="2" t="e">
        <f>VLOOKUP(H460,#REF!,3,FALSE)</f>
        <v>#REF!</v>
      </c>
    </row>
    <row r="461" spans="1:70" s="2" customFormat="1" ht="15" customHeight="1" outlineLevel="2">
      <c r="A461" s="5">
        <v>31</v>
      </c>
      <c r="B461" s="5" t="s">
        <v>11</v>
      </c>
      <c r="C461" s="5" t="s">
        <v>252</v>
      </c>
      <c r="D461" s="5" t="s">
        <v>22</v>
      </c>
      <c r="E461" s="5" t="s">
        <v>51</v>
      </c>
      <c r="F461" s="5" t="s">
        <v>75</v>
      </c>
      <c r="G461" s="5" t="s">
        <v>144</v>
      </c>
      <c r="H461" s="12">
        <v>30481026</v>
      </c>
      <c r="I461" s="42" t="str">
        <f t="shared" si="265"/>
        <v>30481026-EJECUCION</v>
      </c>
      <c r="J461" s="190"/>
      <c r="K461" s="307" t="str">
        <f t="shared" si="266"/>
        <v>30481026</v>
      </c>
      <c r="L461" s="15" t="s">
        <v>798</v>
      </c>
      <c r="M461" s="23">
        <v>240538000</v>
      </c>
      <c r="N461" s="34">
        <v>0</v>
      </c>
      <c r="O461" s="34">
        <v>240538000</v>
      </c>
      <c r="P461" s="310">
        <v>0</v>
      </c>
      <c r="Q461" s="34">
        <v>0</v>
      </c>
      <c r="R461" s="308">
        <v>0</v>
      </c>
      <c r="S461" s="34">
        <f t="shared" si="267"/>
        <v>0</v>
      </c>
      <c r="T461" s="34">
        <v>0</v>
      </c>
      <c r="U461" s="34">
        <v>0</v>
      </c>
      <c r="V461" s="34">
        <f>P461+Q461+R461+T461+U461</f>
        <v>0</v>
      </c>
      <c r="W461" s="34">
        <f>O461-V461</f>
        <v>240538000</v>
      </c>
      <c r="X461" s="34">
        <f>M461-(N461+O461)</f>
        <v>0</v>
      </c>
      <c r="Y461" s="48" t="s">
        <v>418</v>
      </c>
      <c r="Z461" s="48" t="s">
        <v>8</v>
      </c>
      <c r="AA461" s="2" t="e">
        <v>#N/A</v>
      </c>
      <c r="AB461" s="2" t="e">
        <f>VLOOKUP(H461,#REF!,2,FALSE)</f>
        <v>#REF!</v>
      </c>
      <c r="AC461" s="2" t="e">
        <f>VLOOKUP(I461,#REF!,2,FALSE)</f>
        <v>#REF!</v>
      </c>
      <c r="AD461" s="2" t="e">
        <f>VLOOKUP(H461,#REF!,13,FALSE)</f>
        <v>#REF!</v>
      </c>
      <c r="AE461" s="2" t="e">
        <f>VLOOKUP(I461,#REF!,7,FALSE)</f>
        <v>#REF!</v>
      </c>
      <c r="AG461" s="2" t="e">
        <f>VLOOKUP(H461,#REF!,13,FALSE)</f>
        <v>#REF!</v>
      </c>
      <c r="AH461" s="2" t="e">
        <f>VLOOKUP(I461,#REF!,2,FALSE)</f>
        <v>#REF!</v>
      </c>
      <c r="AJ461" s="185" t="e">
        <f>VLOOKUP(H461,#REF!,3,FALSE)</f>
        <v>#REF!</v>
      </c>
      <c r="AK461" s="185"/>
      <c r="AL461" s="185" t="e">
        <f>VLOOKUP(H461,#REF!,13,FALSE)</f>
        <v>#REF!</v>
      </c>
      <c r="AM461" s="185" t="e">
        <f>VLOOKUP(CLEAN(H461),#REF!,7,FALSE)</f>
        <v>#REF!</v>
      </c>
      <c r="AN461" s="2" t="e">
        <f>VLOOKUP(H461,#REF!,8,FALSE)</f>
        <v>#REF!</v>
      </c>
      <c r="AO461" s="189" t="e">
        <f>VLOOKUP(H461,#REF!,2,FALSE)</f>
        <v>#REF!</v>
      </c>
      <c r="AP461" s="189" t="e">
        <f>VLOOKUP(H461,#REF!,2,FALSE)</f>
        <v>#REF!</v>
      </c>
      <c r="AQ461" s="189"/>
      <c r="AR461" s="2" t="e">
        <f>VLOOKUP(CLEAN(H461),#REF!,2,FALSE)</f>
        <v>#REF!</v>
      </c>
      <c r="AT461" s="2" t="e">
        <f>VLOOKUP(H461,#REF!,13,FALSE)</f>
        <v>#REF!</v>
      </c>
      <c r="AU461" s="2" t="e">
        <f>VLOOKUP(H461,#REF!,13,FALSE)</f>
        <v>#REF!</v>
      </c>
      <c r="AV461" s="2" t="e">
        <f>VLOOKUP(H461,#REF!,13,FALSE)</f>
        <v>#REF!</v>
      </c>
      <c r="AW461" s="2" t="e">
        <f>VLOOKUP(H461,#REF!,13,FALSE)</f>
        <v>#REF!</v>
      </c>
      <c r="AX461" s="2" t="e">
        <f>VLOOKUP(H461,#REF!,9,FALSE)</f>
        <v>#REF!</v>
      </c>
      <c r="AZ461" s="189" t="e">
        <f>VLOOKUP(H461,#REF!,2,FALSE)</f>
        <v>#REF!</v>
      </c>
      <c r="BF461" s="189" t="e">
        <f>VLOOKUP(CLEAN(H461),#REF!,2,FALSE)</f>
        <v>#REF!</v>
      </c>
      <c r="BG461" s="189" t="e">
        <f>T461-BF461</f>
        <v>#REF!</v>
      </c>
      <c r="BO461" s="2" t="e">
        <f>VLOOKUP(H461,#REF!,13,FALSE)</f>
        <v>#REF!</v>
      </c>
      <c r="BP461" s="2" t="e">
        <f>VLOOKUP(H461,#REF!,2,FALSE)</f>
        <v>#REF!</v>
      </c>
      <c r="BQ461" s="2" t="e">
        <f>VLOOKUP(H461,#REF!,13,FALSE)</f>
        <v>#REF!</v>
      </c>
      <c r="BR461" s="2" t="e">
        <f>VLOOKUP(H461,#REF!,3,FALSE)</f>
        <v>#REF!</v>
      </c>
    </row>
    <row r="462" spans="1:70" ht="15" customHeight="1" outlineLevel="2">
      <c r="A462" s="7"/>
      <c r="B462" s="7"/>
      <c r="C462" s="7"/>
      <c r="D462" s="7"/>
      <c r="E462" s="7"/>
      <c r="F462" s="7"/>
      <c r="G462" s="7"/>
      <c r="H462" s="11"/>
      <c r="I462" s="11"/>
      <c r="J462" s="11"/>
      <c r="K462" s="11"/>
      <c r="L462" s="17" t="s">
        <v>702</v>
      </c>
      <c r="M462" s="27">
        <f t="shared" ref="M462:X462" si="268">SUBTOTAL(9,M459:M461)</f>
        <v>3031464000</v>
      </c>
      <c r="N462" s="27">
        <f t="shared" si="268"/>
        <v>9000000</v>
      </c>
      <c r="O462" s="27">
        <f t="shared" si="268"/>
        <v>1026519000</v>
      </c>
      <c r="P462" s="27">
        <f t="shared" si="268"/>
        <v>0</v>
      </c>
      <c r="Q462" s="27">
        <f t="shared" si="268"/>
        <v>0</v>
      </c>
      <c r="R462" s="27">
        <f t="shared" si="268"/>
        <v>0</v>
      </c>
      <c r="S462" s="27">
        <f t="shared" si="268"/>
        <v>0</v>
      </c>
      <c r="T462" s="27">
        <f t="shared" si="268"/>
        <v>0</v>
      </c>
      <c r="U462" s="27">
        <f t="shared" si="268"/>
        <v>0</v>
      </c>
      <c r="V462" s="27">
        <f t="shared" si="268"/>
        <v>0</v>
      </c>
      <c r="W462" s="27">
        <f t="shared" si="268"/>
        <v>1026519000</v>
      </c>
      <c r="X462" s="27">
        <f t="shared" si="268"/>
        <v>1995945000</v>
      </c>
      <c r="Y462" s="47"/>
      <c r="Z462" s="47"/>
      <c r="AM462" s="185" t="e">
        <f>VLOOKUP(CLEAN(H462),#REF!,7,FALSE)</f>
        <v>#REF!</v>
      </c>
      <c r="AO462"/>
      <c r="AP462"/>
      <c r="AQ462"/>
      <c r="AR462" s="2" t="e">
        <f>VLOOKUP(CLEAN(H462),#REF!,2,FALSE)</f>
        <v>#REF!</v>
      </c>
      <c r="AZ462" s="2" t="e">
        <f>VLOOKUP(H462,#REF!,2,FALSE)</f>
        <v>#REF!</v>
      </c>
      <c r="BO462" s="2" t="e">
        <f>VLOOKUP(H462,#REF!,13,FALSE)</f>
        <v>#REF!</v>
      </c>
      <c r="BQ462" s="2" t="e">
        <f>VLOOKUP(H462,#REF!,13,FALSE)</f>
        <v>#REF!</v>
      </c>
    </row>
    <row r="463" spans="1:70" ht="15" customHeight="1" outlineLevel="2">
      <c r="A463" s="7"/>
      <c r="B463" s="7"/>
      <c r="C463" s="7"/>
      <c r="D463" s="7"/>
      <c r="E463" s="7"/>
      <c r="F463" s="7"/>
      <c r="G463" s="7"/>
      <c r="H463" s="11"/>
      <c r="I463" s="11"/>
      <c r="J463" s="11"/>
      <c r="K463" s="11"/>
      <c r="L463" s="292"/>
      <c r="M463" s="22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47"/>
      <c r="Z463" s="47"/>
      <c r="AM463" s="185" t="e">
        <f>VLOOKUP(CLEAN(H463),#REF!,7,FALSE)</f>
        <v>#REF!</v>
      </c>
      <c r="AO463"/>
      <c r="AP463"/>
      <c r="AQ463"/>
      <c r="AR463" s="2" t="e">
        <f>VLOOKUP(CLEAN(H463),#REF!,2,FALSE)</f>
        <v>#REF!</v>
      </c>
      <c r="AZ463" s="2" t="e">
        <f>VLOOKUP(H463,#REF!,2,FALSE)</f>
        <v>#REF!</v>
      </c>
      <c r="BO463" s="2" t="e">
        <f>VLOOKUP(H463,#REF!,13,FALSE)</f>
        <v>#REF!</v>
      </c>
      <c r="BP463" s="293"/>
      <c r="BQ463" s="2" t="e">
        <f>VLOOKUP(H463,#REF!,13,FALSE)</f>
        <v>#REF!</v>
      </c>
    </row>
    <row r="464" spans="1:70" ht="15" customHeight="1" outlineLevel="2">
      <c r="A464" s="7"/>
      <c r="B464" s="7"/>
      <c r="C464" s="7"/>
      <c r="D464" s="7"/>
      <c r="E464" s="7"/>
      <c r="F464" s="7"/>
      <c r="G464" s="7"/>
      <c r="H464" s="11"/>
      <c r="I464" s="11"/>
      <c r="J464" s="11"/>
      <c r="K464" s="11"/>
      <c r="L464" s="18" t="s">
        <v>696</v>
      </c>
      <c r="M464" s="22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47"/>
      <c r="Z464" s="47"/>
      <c r="AM464" s="185" t="e">
        <f>VLOOKUP(CLEAN(H464),#REF!,7,FALSE)</f>
        <v>#REF!</v>
      </c>
      <c r="AO464"/>
      <c r="AP464"/>
      <c r="AQ464"/>
      <c r="AR464" s="2" t="e">
        <f>VLOOKUP(CLEAN(H464),#REF!,2,FALSE)</f>
        <v>#REF!</v>
      </c>
      <c r="AZ464" s="2" t="e">
        <f>VLOOKUP(H464,#REF!,2,FALSE)</f>
        <v>#REF!</v>
      </c>
      <c r="BO464" s="2" t="e">
        <f>VLOOKUP(H464,#REF!,13,FALSE)</f>
        <v>#REF!</v>
      </c>
      <c r="BQ464" s="2" t="e">
        <f>VLOOKUP(H464,#REF!,13,FALSE)</f>
        <v>#REF!</v>
      </c>
    </row>
    <row r="465" spans="1:70" s="2" customFormat="1" ht="15" customHeight="1" outlineLevel="2">
      <c r="A465" s="5">
        <v>29</v>
      </c>
      <c r="B465" s="5" t="s">
        <v>54</v>
      </c>
      <c r="C465" s="5" t="s">
        <v>251</v>
      </c>
      <c r="D465" s="5" t="s">
        <v>22</v>
      </c>
      <c r="E465" s="5" t="s">
        <v>51</v>
      </c>
      <c r="F465" s="5" t="s">
        <v>457</v>
      </c>
      <c r="G465" s="5" t="s">
        <v>144</v>
      </c>
      <c r="H465" s="12">
        <v>30465984</v>
      </c>
      <c r="I465" s="42" t="str">
        <f t="shared" ref="I465:I473" si="269">CONCATENATE(H465,"-",G465)</f>
        <v>30465984-EJECUCION</v>
      </c>
      <c r="J465" s="12"/>
      <c r="K465" s="307" t="str">
        <f t="shared" ref="K465:K473" si="270">CLEAN(H465)</f>
        <v>30465984</v>
      </c>
      <c r="L465" s="15" t="s">
        <v>365</v>
      </c>
      <c r="M465" s="23">
        <v>1655606000</v>
      </c>
      <c r="N465" s="34">
        <v>0</v>
      </c>
      <c r="O465" s="34">
        <f>1655606000/2</f>
        <v>827803000</v>
      </c>
      <c r="P465" s="310">
        <v>0</v>
      </c>
      <c r="Q465" s="34">
        <v>0</v>
      </c>
      <c r="R465" s="308">
        <v>0</v>
      </c>
      <c r="S465" s="34">
        <f t="shared" ref="S465:S473" si="271">P465+Q465+R465</f>
        <v>0</v>
      </c>
      <c r="T465" s="34">
        <v>0</v>
      </c>
      <c r="U465" s="34">
        <v>0</v>
      </c>
      <c r="V465" s="34">
        <f>P465+Q465+R465+T465+U465</f>
        <v>0</v>
      </c>
      <c r="W465" s="34">
        <f>O465-V465</f>
        <v>827803000</v>
      </c>
      <c r="X465" s="34">
        <f>M465-(N465+O465)</f>
        <v>827803000</v>
      </c>
      <c r="Y465" s="48" t="s">
        <v>247</v>
      </c>
      <c r="Z465" s="48" t="s">
        <v>10</v>
      </c>
      <c r="AA465" s="2" t="s">
        <v>843</v>
      </c>
      <c r="AB465" s="2" t="e">
        <f>VLOOKUP(H465,#REF!,2,FALSE)</f>
        <v>#REF!</v>
      </c>
      <c r="AC465" s="2" t="e">
        <f>VLOOKUP(I465,#REF!,2,FALSE)</f>
        <v>#REF!</v>
      </c>
      <c r="AD465" s="2" t="e">
        <f>VLOOKUP(H465,#REF!,13,FALSE)</f>
        <v>#REF!</v>
      </c>
      <c r="AE465" s="2" t="e">
        <f>VLOOKUP(I465,#REF!,7,FALSE)</f>
        <v>#REF!</v>
      </c>
      <c r="AG465" s="2" t="e">
        <f>VLOOKUP(H465,#REF!,13,FALSE)</f>
        <v>#REF!</v>
      </c>
      <c r="AH465" s="2" t="e">
        <f>VLOOKUP(I465,#REF!,2,FALSE)</f>
        <v>#REF!</v>
      </c>
      <c r="AJ465" s="185" t="e">
        <f>VLOOKUP(H465,#REF!,3,FALSE)</f>
        <v>#REF!</v>
      </c>
      <c r="AK465" s="185"/>
      <c r="AL465" s="185" t="e">
        <f>VLOOKUP(H465,#REF!,13,FALSE)</f>
        <v>#REF!</v>
      </c>
      <c r="AM465" s="185" t="e">
        <f>VLOOKUP(CLEAN(H465),#REF!,7,FALSE)</f>
        <v>#REF!</v>
      </c>
      <c r="AN465" s="2" t="e">
        <f>VLOOKUP(H465,#REF!,8,FALSE)</f>
        <v>#REF!</v>
      </c>
      <c r="AO465" s="189" t="e">
        <f>VLOOKUP(H465,#REF!,2,FALSE)</f>
        <v>#REF!</v>
      </c>
      <c r="AP465" s="189" t="e">
        <f>VLOOKUP(H465,#REF!,2,FALSE)</f>
        <v>#REF!</v>
      </c>
      <c r="AQ465" s="189"/>
      <c r="AR465" s="2" t="e">
        <f>VLOOKUP(CLEAN(H465),#REF!,2,FALSE)</f>
        <v>#REF!</v>
      </c>
      <c r="AT465" s="2" t="e">
        <f>VLOOKUP(H465,#REF!,13,FALSE)</f>
        <v>#REF!</v>
      </c>
      <c r="AU465" s="2" t="e">
        <f>VLOOKUP(H465,#REF!,13,FALSE)</f>
        <v>#REF!</v>
      </c>
      <c r="AV465" s="2" t="e">
        <f>VLOOKUP(H465,#REF!,13,FALSE)</f>
        <v>#REF!</v>
      </c>
      <c r="AW465" s="2" t="e">
        <f>VLOOKUP(H465,#REF!,13,FALSE)</f>
        <v>#REF!</v>
      </c>
      <c r="AX465" s="2" t="e">
        <f>VLOOKUP(H465,#REF!,9,FALSE)</f>
        <v>#REF!</v>
      </c>
      <c r="AZ465" s="2" t="e">
        <f>VLOOKUP(H465,#REF!,2,FALSE)</f>
        <v>#REF!</v>
      </c>
      <c r="BF465" s="189" t="e">
        <f>VLOOKUP(CLEAN(H465),#REF!,2,FALSE)</f>
        <v>#REF!</v>
      </c>
      <c r="BG465" s="189" t="e">
        <f>T465-BF465</f>
        <v>#REF!</v>
      </c>
      <c r="BO465" s="2" t="e">
        <f>VLOOKUP(H465,#REF!,13,FALSE)</f>
        <v>#REF!</v>
      </c>
      <c r="BP465" s="2" t="e">
        <f>VLOOKUP(H465,#REF!,2,FALSE)</f>
        <v>#REF!</v>
      </c>
      <c r="BQ465" s="2" t="e">
        <f>VLOOKUP(H465,#REF!,13,FALSE)</f>
        <v>#REF!</v>
      </c>
      <c r="BR465" s="2" t="e">
        <f>VLOOKUP(H465,#REF!,3,FALSE)</f>
        <v>#REF!</v>
      </c>
    </row>
    <row r="466" spans="1:70" s="2" customFormat="1" ht="15" customHeight="1" outlineLevel="2">
      <c r="A466" s="5">
        <v>29</v>
      </c>
      <c r="B466" s="5" t="s">
        <v>11</v>
      </c>
      <c r="C466" s="5" t="s">
        <v>242</v>
      </c>
      <c r="D466" s="5" t="s">
        <v>22</v>
      </c>
      <c r="E466" s="5" t="s">
        <v>51</v>
      </c>
      <c r="F466" s="5" t="s">
        <v>457</v>
      </c>
      <c r="G466" s="5" t="s">
        <v>144</v>
      </c>
      <c r="H466" s="12">
        <v>30396974</v>
      </c>
      <c r="I466" s="42" t="str">
        <f t="shared" si="269"/>
        <v>30396974-EJECUCION</v>
      </c>
      <c r="J466" s="12"/>
      <c r="K466" s="307" t="str">
        <f t="shared" si="270"/>
        <v>30396974</v>
      </c>
      <c r="L466" s="15" t="s">
        <v>405</v>
      </c>
      <c r="M466" s="23">
        <v>2262086000</v>
      </c>
      <c r="N466" s="34">
        <v>0</v>
      </c>
      <c r="O466" s="34">
        <v>10000000</v>
      </c>
      <c r="P466" s="310">
        <v>0</v>
      </c>
      <c r="Q466" s="34">
        <v>0</v>
      </c>
      <c r="R466" s="308">
        <v>0</v>
      </c>
      <c r="S466" s="34">
        <f t="shared" si="271"/>
        <v>0</v>
      </c>
      <c r="T466" s="34">
        <v>0</v>
      </c>
      <c r="U466" s="34">
        <v>0</v>
      </c>
      <c r="V466" s="34">
        <f>P466+Q466+R466+T466+U466</f>
        <v>0</v>
      </c>
      <c r="W466" s="34">
        <f>O466-V466</f>
        <v>10000000</v>
      </c>
      <c r="X466" s="34">
        <f>M466-(N466+O466)</f>
        <v>2252086000</v>
      </c>
      <c r="Y466" s="48" t="s">
        <v>246</v>
      </c>
      <c r="Z466" s="48" t="s">
        <v>421</v>
      </c>
      <c r="AA466" s="2" t="e">
        <v>#N/A</v>
      </c>
      <c r="AB466" s="2" t="e">
        <f>VLOOKUP(H466,#REF!,2,FALSE)</f>
        <v>#REF!</v>
      </c>
      <c r="AC466" s="2" t="e">
        <f>VLOOKUP(I466,#REF!,2,FALSE)</f>
        <v>#REF!</v>
      </c>
      <c r="AD466" s="2" t="e">
        <f>VLOOKUP(H466,#REF!,13,FALSE)</f>
        <v>#REF!</v>
      </c>
      <c r="AE466" s="2" t="e">
        <f>VLOOKUP(I466,#REF!,7,FALSE)</f>
        <v>#REF!</v>
      </c>
      <c r="AG466" s="2" t="e">
        <f>VLOOKUP(H466,#REF!,13,FALSE)</f>
        <v>#REF!</v>
      </c>
      <c r="AH466" s="2" t="e">
        <f>VLOOKUP(I466,#REF!,2,FALSE)</f>
        <v>#REF!</v>
      </c>
      <c r="AJ466" s="185" t="e">
        <f>VLOOKUP(H466,#REF!,3,FALSE)</f>
        <v>#REF!</v>
      </c>
      <c r="AK466" s="185"/>
      <c r="AL466" s="185" t="e">
        <f>VLOOKUP(H466,#REF!,13,FALSE)</f>
        <v>#REF!</v>
      </c>
      <c r="AM466" s="185" t="e">
        <f>VLOOKUP(CLEAN(H466),#REF!,7,FALSE)</f>
        <v>#REF!</v>
      </c>
      <c r="AN466" s="2" t="e">
        <f>VLOOKUP(H466,#REF!,8,FALSE)</f>
        <v>#REF!</v>
      </c>
      <c r="AO466" s="189" t="e">
        <f>VLOOKUP(H466,#REF!,2,FALSE)</f>
        <v>#REF!</v>
      </c>
      <c r="AP466" s="189" t="e">
        <f>VLOOKUP(H466,#REF!,2,FALSE)</f>
        <v>#REF!</v>
      </c>
      <c r="AQ466" s="189"/>
      <c r="AR466" s="2" t="e">
        <f>VLOOKUP(CLEAN(H466),#REF!,2,FALSE)</f>
        <v>#REF!</v>
      </c>
      <c r="AT466" s="2" t="e">
        <f>VLOOKUP(H466,#REF!,13,FALSE)</f>
        <v>#REF!</v>
      </c>
      <c r="AU466" s="2" t="e">
        <f>VLOOKUP(H466,#REF!,13,FALSE)</f>
        <v>#REF!</v>
      </c>
      <c r="AV466" s="2" t="e">
        <f>VLOOKUP(H466,#REF!,13,FALSE)</f>
        <v>#REF!</v>
      </c>
      <c r="AW466" s="2" t="e">
        <f>VLOOKUP(H466,#REF!,13,FALSE)</f>
        <v>#REF!</v>
      </c>
      <c r="AX466" s="2" t="e">
        <f>VLOOKUP(H466,#REF!,9,FALSE)</f>
        <v>#REF!</v>
      </c>
      <c r="AZ466" s="2" t="e">
        <f>VLOOKUP(H466,#REF!,2,FALSE)</f>
        <v>#REF!</v>
      </c>
      <c r="BF466" s="189" t="e">
        <f>VLOOKUP(CLEAN(H466),#REF!,2,FALSE)</f>
        <v>#REF!</v>
      </c>
      <c r="BG466" s="189" t="e">
        <f>T466-BF466</f>
        <v>#REF!</v>
      </c>
      <c r="BO466" s="2" t="e">
        <f>VLOOKUP(H466,#REF!,13,FALSE)</f>
        <v>#REF!</v>
      </c>
      <c r="BP466" s="2" t="e">
        <f>VLOOKUP(H466,#REF!,2,FALSE)</f>
        <v>#REF!</v>
      </c>
      <c r="BQ466" s="2" t="e">
        <f>VLOOKUP(H466,#REF!,13,FALSE)</f>
        <v>#REF!</v>
      </c>
      <c r="BR466" s="2" t="e">
        <f>VLOOKUP(H466,#REF!,3,FALSE)</f>
        <v>#REF!</v>
      </c>
    </row>
    <row r="467" spans="1:70" s="2" customFormat="1" ht="15" customHeight="1" outlineLevel="2">
      <c r="A467" s="5">
        <v>31</v>
      </c>
      <c r="B467" s="5" t="s">
        <v>11</v>
      </c>
      <c r="C467" s="5" t="s">
        <v>248</v>
      </c>
      <c r="D467" s="5" t="s">
        <v>22</v>
      </c>
      <c r="E467" s="5" t="s">
        <v>51</v>
      </c>
      <c r="F467" s="5" t="s">
        <v>15</v>
      </c>
      <c r="G467" s="5" t="s">
        <v>144</v>
      </c>
      <c r="H467" s="12">
        <v>30125885</v>
      </c>
      <c r="I467" s="42" t="str">
        <f t="shared" si="269"/>
        <v>30125885-EJECUCION</v>
      </c>
      <c r="J467" s="12"/>
      <c r="K467" s="307" t="str">
        <f t="shared" si="270"/>
        <v>30125885</v>
      </c>
      <c r="L467" s="15" t="s">
        <v>316</v>
      </c>
      <c r="M467" s="23">
        <v>501299000</v>
      </c>
      <c r="N467" s="34">
        <v>0</v>
      </c>
      <c r="O467" s="34">
        <v>10000000</v>
      </c>
      <c r="P467" s="310">
        <v>0</v>
      </c>
      <c r="Q467" s="34">
        <v>0</v>
      </c>
      <c r="R467" s="308">
        <v>0</v>
      </c>
      <c r="S467" s="34">
        <f t="shared" si="271"/>
        <v>0</v>
      </c>
      <c r="T467" s="34">
        <v>0</v>
      </c>
      <c r="U467" s="34">
        <v>0</v>
      </c>
      <c r="V467" s="34">
        <f>P467+Q467+R467+T467+U467</f>
        <v>0</v>
      </c>
      <c r="W467" s="34">
        <f>O467-V467</f>
        <v>10000000</v>
      </c>
      <c r="X467" s="34">
        <f>M467-(N467+O467)</f>
        <v>491299000</v>
      </c>
      <c r="Y467" s="48" t="s">
        <v>246</v>
      </c>
      <c r="Z467" s="48" t="s">
        <v>357</v>
      </c>
      <c r="AA467" s="2" t="e">
        <v>#N/A</v>
      </c>
      <c r="AB467" s="2" t="e">
        <f>VLOOKUP(H467,#REF!,2,FALSE)</f>
        <v>#REF!</v>
      </c>
      <c r="AC467" s="2" t="e">
        <f>VLOOKUP(I467,#REF!,2,FALSE)</f>
        <v>#REF!</v>
      </c>
      <c r="AD467" s="2" t="e">
        <f>VLOOKUP(H467,#REF!,13,FALSE)</f>
        <v>#REF!</v>
      </c>
      <c r="AE467" s="2" t="e">
        <f>VLOOKUP(I467,#REF!,7,FALSE)</f>
        <v>#REF!</v>
      </c>
      <c r="AG467" s="2" t="e">
        <f>VLOOKUP(H467,#REF!,13,FALSE)</f>
        <v>#REF!</v>
      </c>
      <c r="AH467" s="2" t="e">
        <f>VLOOKUP(I467,#REF!,2,FALSE)</f>
        <v>#REF!</v>
      </c>
      <c r="AJ467" s="185" t="e">
        <f>VLOOKUP(H467,#REF!,3,FALSE)</f>
        <v>#REF!</v>
      </c>
      <c r="AK467" s="185"/>
      <c r="AL467" s="185" t="e">
        <f>VLOOKUP(H467,#REF!,13,FALSE)</f>
        <v>#REF!</v>
      </c>
      <c r="AM467" s="185" t="e">
        <f>VLOOKUP(CLEAN(H467),#REF!,7,FALSE)</f>
        <v>#REF!</v>
      </c>
      <c r="AN467" s="2" t="e">
        <f>VLOOKUP(H467,#REF!,8,FALSE)</f>
        <v>#REF!</v>
      </c>
      <c r="AO467" s="189" t="e">
        <f>VLOOKUP(H467,#REF!,2,FALSE)</f>
        <v>#REF!</v>
      </c>
      <c r="AP467" s="189" t="e">
        <f>VLOOKUP(H467,#REF!,2,FALSE)</f>
        <v>#REF!</v>
      </c>
      <c r="AQ467" s="189"/>
      <c r="AR467" s="2" t="e">
        <f>VLOOKUP(CLEAN(H467),#REF!,2,FALSE)</f>
        <v>#REF!</v>
      </c>
      <c r="AT467" s="2" t="e">
        <f>VLOOKUP(H467,#REF!,13,FALSE)</f>
        <v>#REF!</v>
      </c>
      <c r="AU467" s="2" t="e">
        <f>VLOOKUP(H467,#REF!,13,FALSE)</f>
        <v>#REF!</v>
      </c>
      <c r="AV467" s="2" t="e">
        <f>VLOOKUP(H467,#REF!,13,FALSE)</f>
        <v>#REF!</v>
      </c>
      <c r="AW467" s="2" t="e">
        <f>VLOOKUP(H467,#REF!,13,FALSE)</f>
        <v>#REF!</v>
      </c>
      <c r="AX467" s="2" t="e">
        <f>VLOOKUP(H467,#REF!,9,FALSE)</f>
        <v>#REF!</v>
      </c>
      <c r="AZ467" s="2" t="e">
        <f>VLOOKUP(H467,#REF!,2,FALSE)</f>
        <v>#REF!</v>
      </c>
      <c r="BF467" s="189" t="e">
        <f>VLOOKUP(CLEAN(H467),#REF!,2,FALSE)</f>
        <v>#REF!</v>
      </c>
      <c r="BG467" s="189" t="e">
        <f>T467-BF467</f>
        <v>#REF!</v>
      </c>
      <c r="BO467" s="2" t="e">
        <f>VLOOKUP(H467,#REF!,13,FALSE)</f>
        <v>#REF!</v>
      </c>
      <c r="BP467" s="2" t="e">
        <f>VLOOKUP(H467,#REF!,2,FALSE)</f>
        <v>#REF!</v>
      </c>
      <c r="BQ467" s="2" t="e">
        <f>VLOOKUP(H467,#REF!,13,FALSE)</f>
        <v>#REF!</v>
      </c>
      <c r="BR467" s="2" t="e">
        <f>VLOOKUP(H467,#REF!,3,FALSE)</f>
        <v>#REF!</v>
      </c>
    </row>
    <row r="468" spans="1:70" s="2" customFormat="1" ht="15" customHeight="1" outlineLevel="2">
      <c r="A468" s="5">
        <v>31</v>
      </c>
      <c r="B468" s="5" t="s">
        <v>11</v>
      </c>
      <c r="C468" s="5" t="s">
        <v>238</v>
      </c>
      <c r="D468" s="5" t="s">
        <v>22</v>
      </c>
      <c r="E468" s="5" t="s">
        <v>51</v>
      </c>
      <c r="F468" s="5" t="s">
        <v>21</v>
      </c>
      <c r="G468" s="5" t="s">
        <v>144</v>
      </c>
      <c r="H468" s="12">
        <v>30094848</v>
      </c>
      <c r="I468" s="42" t="str">
        <f t="shared" si="269"/>
        <v>30094848-EJECUCION</v>
      </c>
      <c r="J468" s="12"/>
      <c r="K468" s="307" t="str">
        <f t="shared" si="270"/>
        <v>30094848</v>
      </c>
      <c r="L468" s="15" t="s">
        <v>781</v>
      </c>
      <c r="M468" s="23">
        <v>974259000</v>
      </c>
      <c r="N468" s="34">
        <v>0</v>
      </c>
      <c r="O468" s="34">
        <v>48712950</v>
      </c>
      <c r="P468" s="310">
        <v>0</v>
      </c>
      <c r="Q468" s="34">
        <v>0</v>
      </c>
      <c r="R468" s="308">
        <v>0</v>
      </c>
      <c r="S468" s="34">
        <f t="shared" si="271"/>
        <v>0</v>
      </c>
      <c r="T468" s="34">
        <v>0</v>
      </c>
      <c r="U468" s="34">
        <v>0</v>
      </c>
      <c r="V468" s="34">
        <f>P468+Q468+R468+T468+U468</f>
        <v>0</v>
      </c>
      <c r="W468" s="34">
        <f>O468-V468</f>
        <v>48712950</v>
      </c>
      <c r="X468" s="34">
        <f>M468-(N468+O468)</f>
        <v>925546050</v>
      </c>
      <c r="Y468" s="48" t="s">
        <v>246</v>
      </c>
      <c r="Z468" s="48" t="s">
        <v>357</v>
      </c>
      <c r="AA468" s="2" t="e">
        <v>#N/A</v>
      </c>
      <c r="AB468" s="2" t="e">
        <f>VLOOKUP(H468,#REF!,2,FALSE)</f>
        <v>#REF!</v>
      </c>
      <c r="AC468" s="2" t="e">
        <f>VLOOKUP(I468,#REF!,2,FALSE)</f>
        <v>#REF!</v>
      </c>
      <c r="AD468" s="2" t="e">
        <f>VLOOKUP(H468,#REF!,13,FALSE)</f>
        <v>#REF!</v>
      </c>
      <c r="AE468" s="2" t="e">
        <f>VLOOKUP(I468,#REF!,7,FALSE)</f>
        <v>#REF!</v>
      </c>
      <c r="AG468" s="2" t="e">
        <f>VLOOKUP(H468,#REF!,13,FALSE)</f>
        <v>#REF!</v>
      </c>
      <c r="AH468" s="2" t="e">
        <f>VLOOKUP(I468,#REF!,2,FALSE)</f>
        <v>#REF!</v>
      </c>
      <c r="AJ468" s="185" t="e">
        <f>VLOOKUP(H468,#REF!,3,FALSE)</f>
        <v>#REF!</v>
      </c>
      <c r="AK468" s="185"/>
      <c r="AL468" s="185" t="e">
        <f>VLOOKUP(H468,#REF!,13,FALSE)</f>
        <v>#REF!</v>
      </c>
      <c r="AM468" s="185" t="e">
        <f>VLOOKUP(CLEAN(H468),#REF!,7,FALSE)</f>
        <v>#REF!</v>
      </c>
      <c r="AN468" s="2" t="e">
        <f>VLOOKUP(H468,#REF!,8,FALSE)</f>
        <v>#REF!</v>
      </c>
      <c r="AO468" s="189" t="e">
        <f>VLOOKUP(H468,#REF!,2,FALSE)</f>
        <v>#REF!</v>
      </c>
      <c r="AP468" s="189" t="e">
        <f>VLOOKUP(H468,#REF!,2,FALSE)</f>
        <v>#REF!</v>
      </c>
      <c r="AQ468" s="189"/>
      <c r="AR468" s="2" t="e">
        <f>VLOOKUP(CLEAN(H468),#REF!,2,FALSE)</f>
        <v>#REF!</v>
      </c>
      <c r="AT468" s="2" t="e">
        <f>VLOOKUP(H468,#REF!,13,FALSE)</f>
        <v>#REF!</v>
      </c>
      <c r="AU468" s="2" t="e">
        <f>VLOOKUP(H468,#REF!,13,FALSE)</f>
        <v>#REF!</v>
      </c>
      <c r="AV468" s="2" t="e">
        <f>VLOOKUP(H468,#REF!,13,FALSE)</f>
        <v>#REF!</v>
      </c>
      <c r="AW468" s="2" t="e">
        <f>VLOOKUP(H468,#REF!,13,FALSE)</f>
        <v>#REF!</v>
      </c>
      <c r="AX468" s="2" t="e">
        <f>VLOOKUP(H468,#REF!,9,FALSE)</f>
        <v>#REF!</v>
      </c>
      <c r="AZ468" s="2" t="e">
        <f>VLOOKUP(H468,#REF!,2,FALSE)</f>
        <v>#REF!</v>
      </c>
      <c r="BF468" s="189" t="e">
        <f>VLOOKUP(CLEAN(H468),#REF!,2,FALSE)</f>
        <v>#REF!</v>
      </c>
      <c r="BG468" s="189" t="e">
        <f>T468-BF468</f>
        <v>#REF!</v>
      </c>
      <c r="BO468" s="2" t="e">
        <f>VLOOKUP(H468,#REF!,13,FALSE)</f>
        <v>#REF!</v>
      </c>
      <c r="BP468" s="2" t="e">
        <f>VLOOKUP(H468,#REF!,2,FALSE)</f>
        <v>#REF!</v>
      </c>
      <c r="BQ468" s="2" t="e">
        <f>VLOOKUP(H468,#REF!,13,FALSE)</f>
        <v>#REF!</v>
      </c>
      <c r="BR468" s="2" t="e">
        <f>VLOOKUP(H468,#REF!,3,FALSE)</f>
        <v>#REF!</v>
      </c>
    </row>
    <row r="469" spans="1:70" s="2" customFormat="1" ht="15" customHeight="1" outlineLevel="2">
      <c r="A469" s="5">
        <v>31</v>
      </c>
      <c r="B469" s="5" t="s">
        <v>11</v>
      </c>
      <c r="C469" s="5" t="s">
        <v>242</v>
      </c>
      <c r="D469" s="5" t="s">
        <v>22</v>
      </c>
      <c r="E469" s="5" t="s">
        <v>51</v>
      </c>
      <c r="F469" s="5" t="s">
        <v>457</v>
      </c>
      <c r="G469" s="5" t="s">
        <v>9</v>
      </c>
      <c r="H469" s="12">
        <v>30406324</v>
      </c>
      <c r="I469" s="42" t="str">
        <f t="shared" si="269"/>
        <v>30406324-DISEÑO</v>
      </c>
      <c r="J469" s="12"/>
      <c r="K469" s="307" t="str">
        <f t="shared" si="270"/>
        <v>30406324</v>
      </c>
      <c r="L469" s="15" t="s">
        <v>321</v>
      </c>
      <c r="M469" s="23">
        <v>40578000</v>
      </c>
      <c r="N469" s="34">
        <v>0</v>
      </c>
      <c r="O469" s="34">
        <v>4057800</v>
      </c>
      <c r="P469" s="310">
        <v>0</v>
      </c>
      <c r="Q469" s="34">
        <v>0</v>
      </c>
      <c r="R469" s="308">
        <v>0</v>
      </c>
      <c r="S469" s="34">
        <f t="shared" si="271"/>
        <v>0</v>
      </c>
      <c r="T469" s="34">
        <v>0</v>
      </c>
      <c r="U469" s="34">
        <v>0</v>
      </c>
      <c r="V469" s="34">
        <f>P469+Q469+R469+T469+U469</f>
        <v>0</v>
      </c>
      <c r="W469" s="34">
        <f>O469-V469</f>
        <v>4057800</v>
      </c>
      <c r="X469" s="34">
        <f>M469-(N469+O469)</f>
        <v>36520200</v>
      </c>
      <c r="Y469" s="48" t="s">
        <v>246</v>
      </c>
      <c r="Z469" s="48" t="s">
        <v>357</v>
      </c>
      <c r="AA469" s="2" t="e">
        <v>#N/A</v>
      </c>
      <c r="AB469" s="2" t="e">
        <f>VLOOKUP(H469,#REF!,2,FALSE)</f>
        <v>#REF!</v>
      </c>
      <c r="AC469" s="2" t="e">
        <f>VLOOKUP(I469,#REF!,2,FALSE)</f>
        <v>#REF!</v>
      </c>
      <c r="AD469" s="2" t="e">
        <f>VLOOKUP(H469,#REF!,13,FALSE)</f>
        <v>#REF!</v>
      </c>
      <c r="AE469" s="2" t="e">
        <f>VLOOKUP(I469,#REF!,7,FALSE)</f>
        <v>#REF!</v>
      </c>
      <c r="AG469" s="2" t="e">
        <f>VLOOKUP(H469,#REF!,13,FALSE)</f>
        <v>#REF!</v>
      </c>
      <c r="AH469" s="2" t="e">
        <f>VLOOKUP(I469,#REF!,2,FALSE)</f>
        <v>#REF!</v>
      </c>
      <c r="AJ469" s="185" t="e">
        <f>VLOOKUP(H469,#REF!,3,FALSE)</f>
        <v>#REF!</v>
      </c>
      <c r="AK469" s="185"/>
      <c r="AL469" s="185" t="e">
        <f>VLOOKUP(H469,#REF!,13,FALSE)</f>
        <v>#REF!</v>
      </c>
      <c r="AM469" s="185" t="e">
        <f>VLOOKUP(CLEAN(H469),#REF!,7,FALSE)</f>
        <v>#REF!</v>
      </c>
      <c r="AN469" s="2" t="e">
        <f>VLOOKUP(H469,#REF!,8,FALSE)</f>
        <v>#REF!</v>
      </c>
      <c r="AO469" s="189" t="e">
        <f>VLOOKUP(H469,#REF!,2,FALSE)</f>
        <v>#REF!</v>
      </c>
      <c r="AP469" s="189" t="e">
        <f>VLOOKUP(H469,#REF!,2,FALSE)</f>
        <v>#REF!</v>
      </c>
      <c r="AQ469" s="189"/>
      <c r="AR469" s="2" t="e">
        <f>VLOOKUP(CLEAN(H469),#REF!,2,FALSE)</f>
        <v>#REF!</v>
      </c>
      <c r="AT469" s="2" t="e">
        <f>VLOOKUP(H469,#REF!,13,FALSE)</f>
        <v>#REF!</v>
      </c>
      <c r="AU469" s="2" t="e">
        <f>VLOOKUP(H469,#REF!,13,FALSE)</f>
        <v>#REF!</v>
      </c>
      <c r="AV469" s="2" t="e">
        <f>VLOOKUP(H469,#REF!,13,FALSE)</f>
        <v>#REF!</v>
      </c>
      <c r="AW469" s="2" t="e">
        <f>VLOOKUP(H469,#REF!,13,FALSE)</f>
        <v>#REF!</v>
      </c>
      <c r="AX469" s="2" t="e">
        <f>VLOOKUP(H469,#REF!,9,FALSE)</f>
        <v>#REF!</v>
      </c>
      <c r="AZ469" s="2" t="e">
        <f>VLOOKUP(H469,#REF!,2,FALSE)</f>
        <v>#REF!</v>
      </c>
      <c r="BF469" s="189" t="e">
        <f>VLOOKUP(CLEAN(H469),#REF!,2,FALSE)</f>
        <v>#REF!</v>
      </c>
      <c r="BG469" s="189" t="e">
        <f>T469-BF469</f>
        <v>#REF!</v>
      </c>
      <c r="BO469" s="2" t="e">
        <f>VLOOKUP(H469,#REF!,13,FALSE)</f>
        <v>#REF!</v>
      </c>
      <c r="BP469" s="2" t="e">
        <f>VLOOKUP(H469,#REF!,2,FALSE)</f>
        <v>#REF!</v>
      </c>
      <c r="BQ469" s="2" t="e">
        <f>VLOOKUP(H469,#REF!,13,FALSE)</f>
        <v>#REF!</v>
      </c>
      <c r="BR469" s="2" t="e">
        <f>VLOOKUP(H469,#REF!,3,FALSE)</f>
        <v>#REF!</v>
      </c>
    </row>
    <row r="470" spans="1:70" s="2" customFormat="1" ht="15" customHeight="1" outlineLevel="2">
      <c r="A470" s="5">
        <v>31</v>
      </c>
      <c r="B470" s="5" t="s">
        <v>11</v>
      </c>
      <c r="C470" s="5" t="s">
        <v>311</v>
      </c>
      <c r="D470" s="5" t="s">
        <v>22</v>
      </c>
      <c r="E470" s="5" t="s">
        <v>51</v>
      </c>
      <c r="F470" s="5" t="s">
        <v>457</v>
      </c>
      <c r="G470" s="5" t="s">
        <v>144</v>
      </c>
      <c r="H470" s="12">
        <v>30485313</v>
      </c>
      <c r="I470" s="42" t="str">
        <f t="shared" si="269"/>
        <v>30485313-EJECUCION</v>
      </c>
      <c r="J470" s="12"/>
      <c r="K470" s="307" t="str">
        <f t="shared" si="270"/>
        <v>30485313</v>
      </c>
      <c r="L470" s="15" t="s">
        <v>406</v>
      </c>
      <c r="M470" s="23">
        <v>481258000</v>
      </c>
      <c r="N470" s="34">
        <v>0</v>
      </c>
      <c r="O470" s="34">
        <v>25000000</v>
      </c>
      <c r="P470" s="310">
        <v>0</v>
      </c>
      <c r="Q470" s="34">
        <v>0</v>
      </c>
      <c r="R470" s="308">
        <v>0</v>
      </c>
      <c r="S470" s="34">
        <f t="shared" si="271"/>
        <v>0</v>
      </c>
      <c r="T470" s="34">
        <v>0</v>
      </c>
      <c r="U470" s="34">
        <v>0</v>
      </c>
      <c r="V470" s="34">
        <f>P470+Q470+R470+T470+U470</f>
        <v>0</v>
      </c>
      <c r="W470" s="34">
        <f>O470-V470</f>
        <v>25000000</v>
      </c>
      <c r="X470" s="34">
        <f>M470-(N470+O470)</f>
        <v>456258000</v>
      </c>
      <c r="Y470" s="48" t="s">
        <v>246</v>
      </c>
      <c r="Z470" s="48" t="s">
        <v>421</v>
      </c>
      <c r="AA470" s="2" t="e">
        <v>#N/A</v>
      </c>
      <c r="AB470" s="2" t="e">
        <f>VLOOKUP(H470,#REF!,2,FALSE)</f>
        <v>#REF!</v>
      </c>
      <c r="AC470" s="2" t="e">
        <f>VLOOKUP(I470,#REF!,2,FALSE)</f>
        <v>#REF!</v>
      </c>
      <c r="AD470" s="2" t="e">
        <f>VLOOKUP(H470,#REF!,13,FALSE)</f>
        <v>#REF!</v>
      </c>
      <c r="AE470" s="2" t="e">
        <f>VLOOKUP(I470,#REF!,7,FALSE)</f>
        <v>#REF!</v>
      </c>
      <c r="AG470" s="2" t="e">
        <f>VLOOKUP(H470,#REF!,13,FALSE)</f>
        <v>#REF!</v>
      </c>
      <c r="AH470" s="2" t="e">
        <f>VLOOKUP(I470,#REF!,2,FALSE)</f>
        <v>#REF!</v>
      </c>
      <c r="AJ470" s="185" t="e">
        <f>VLOOKUP(H470,#REF!,3,FALSE)</f>
        <v>#REF!</v>
      </c>
      <c r="AK470" s="185"/>
      <c r="AL470" s="185" t="e">
        <f>VLOOKUP(H470,#REF!,13,FALSE)</f>
        <v>#REF!</v>
      </c>
      <c r="AM470" s="185" t="e">
        <f>VLOOKUP(CLEAN(H470),#REF!,7,FALSE)</f>
        <v>#REF!</v>
      </c>
      <c r="AN470" s="2" t="e">
        <f>VLOOKUP(H470,#REF!,8,FALSE)</f>
        <v>#REF!</v>
      </c>
      <c r="AO470" s="189" t="e">
        <f>VLOOKUP(H470,#REF!,2,FALSE)</f>
        <v>#REF!</v>
      </c>
      <c r="AP470" s="189" t="e">
        <f>VLOOKUP(H470,#REF!,2,FALSE)</f>
        <v>#REF!</v>
      </c>
      <c r="AQ470" s="189"/>
      <c r="AR470" s="2" t="e">
        <f>VLOOKUP(CLEAN(H470),#REF!,2,FALSE)</f>
        <v>#REF!</v>
      </c>
      <c r="AT470" s="2" t="e">
        <f>VLOOKUP(H470,#REF!,13,FALSE)</f>
        <v>#REF!</v>
      </c>
      <c r="AU470" s="2" t="e">
        <f>VLOOKUP(H470,#REF!,13,FALSE)</f>
        <v>#REF!</v>
      </c>
      <c r="AV470" s="2" t="e">
        <f>VLOOKUP(H470,#REF!,13,FALSE)</f>
        <v>#REF!</v>
      </c>
      <c r="AW470" s="2" t="e">
        <f>VLOOKUP(H470,#REF!,13,FALSE)</f>
        <v>#REF!</v>
      </c>
      <c r="AX470" s="2" t="e">
        <f>VLOOKUP(H470,#REF!,9,FALSE)</f>
        <v>#REF!</v>
      </c>
      <c r="AZ470" s="2" t="e">
        <f>VLOOKUP(H470,#REF!,2,FALSE)</f>
        <v>#REF!</v>
      </c>
      <c r="BF470" s="189" t="e">
        <f>VLOOKUP(CLEAN(H470),#REF!,2,FALSE)</f>
        <v>#REF!</v>
      </c>
      <c r="BG470" s="189" t="e">
        <f>T470-BF470</f>
        <v>#REF!</v>
      </c>
      <c r="BO470" s="2" t="e">
        <f>VLOOKUP(H470,#REF!,13,FALSE)</f>
        <v>#REF!</v>
      </c>
      <c r="BP470" s="2" t="e">
        <f>VLOOKUP(H470,#REF!,2,FALSE)</f>
        <v>#REF!</v>
      </c>
      <c r="BQ470" s="2" t="e">
        <f>VLOOKUP(H470,#REF!,13,FALSE)</f>
        <v>#REF!</v>
      </c>
      <c r="BR470" s="2" t="e">
        <f>VLOOKUP(H470,#REF!,3,FALSE)</f>
        <v>#REF!</v>
      </c>
    </row>
    <row r="471" spans="1:70" s="2" customFormat="1" ht="15" customHeight="1" outlineLevel="2">
      <c r="A471" s="5">
        <v>31</v>
      </c>
      <c r="B471" s="5" t="s">
        <v>11</v>
      </c>
      <c r="C471" s="5" t="s">
        <v>311</v>
      </c>
      <c r="D471" s="5" t="s">
        <v>22</v>
      </c>
      <c r="E471" s="5" t="s">
        <v>51</v>
      </c>
      <c r="F471" s="5" t="s">
        <v>457</v>
      </c>
      <c r="G471" s="5" t="s">
        <v>144</v>
      </c>
      <c r="H471" s="12">
        <v>30485342</v>
      </c>
      <c r="I471" s="42" t="str">
        <f t="shared" si="269"/>
        <v>30485342-EJECUCION</v>
      </c>
      <c r="J471" s="12"/>
      <c r="K471" s="307" t="str">
        <f t="shared" si="270"/>
        <v>30485342</v>
      </c>
      <c r="L471" s="15" t="s">
        <v>407</v>
      </c>
      <c r="M471" s="23">
        <v>500000000</v>
      </c>
      <c r="N471" s="34">
        <v>0</v>
      </c>
      <c r="O471" s="34">
        <v>25000000</v>
      </c>
      <c r="P471" s="310">
        <v>0</v>
      </c>
      <c r="Q471" s="34">
        <v>0</v>
      </c>
      <c r="R471" s="308">
        <v>0</v>
      </c>
      <c r="S471" s="34">
        <f t="shared" si="271"/>
        <v>0</v>
      </c>
      <c r="T471" s="34">
        <v>0</v>
      </c>
      <c r="U471" s="34">
        <v>0</v>
      </c>
      <c r="V471" s="34">
        <f>P471+Q471+R471+T471+U471</f>
        <v>0</v>
      </c>
      <c r="W471" s="34">
        <f>O471-V471</f>
        <v>25000000</v>
      </c>
      <c r="X471" s="34">
        <f>M471-(N471+O471)</f>
        <v>475000000</v>
      </c>
      <c r="Y471" s="48" t="s">
        <v>246</v>
      </c>
      <c r="Z471" s="48" t="s">
        <v>421</v>
      </c>
      <c r="AA471" s="2" t="e">
        <v>#N/A</v>
      </c>
      <c r="AB471" s="2" t="e">
        <f>VLOOKUP(H471,#REF!,2,FALSE)</f>
        <v>#REF!</v>
      </c>
      <c r="AC471" s="2" t="e">
        <f>VLOOKUP(I471,#REF!,2,FALSE)</f>
        <v>#REF!</v>
      </c>
      <c r="AD471" s="2" t="e">
        <f>VLOOKUP(H471,#REF!,13,FALSE)</f>
        <v>#REF!</v>
      </c>
      <c r="AE471" s="2" t="e">
        <f>VLOOKUP(I471,#REF!,7,FALSE)</f>
        <v>#REF!</v>
      </c>
      <c r="AG471" s="2" t="e">
        <f>VLOOKUP(H471,#REF!,13,FALSE)</f>
        <v>#REF!</v>
      </c>
      <c r="AH471" s="2" t="e">
        <f>VLOOKUP(I471,#REF!,2,FALSE)</f>
        <v>#REF!</v>
      </c>
      <c r="AJ471" s="185" t="e">
        <f>VLOOKUP(H471,#REF!,3,FALSE)</f>
        <v>#REF!</v>
      </c>
      <c r="AK471" s="185"/>
      <c r="AL471" s="185" t="e">
        <f>VLOOKUP(H471,#REF!,13,FALSE)</f>
        <v>#REF!</v>
      </c>
      <c r="AM471" s="185" t="e">
        <f>VLOOKUP(CLEAN(H471),#REF!,7,FALSE)</f>
        <v>#REF!</v>
      </c>
      <c r="AN471" s="2" t="e">
        <f>VLOOKUP(H471,#REF!,8,FALSE)</f>
        <v>#REF!</v>
      </c>
      <c r="AO471" s="189" t="e">
        <f>VLOOKUP(H471,#REF!,2,FALSE)</f>
        <v>#REF!</v>
      </c>
      <c r="AP471" s="189" t="e">
        <f>VLOOKUP(H471,#REF!,2,FALSE)</f>
        <v>#REF!</v>
      </c>
      <c r="AQ471" s="189"/>
      <c r="AR471" s="2" t="e">
        <f>VLOOKUP(CLEAN(H471),#REF!,2,FALSE)</f>
        <v>#REF!</v>
      </c>
      <c r="AT471" s="2" t="e">
        <f>VLOOKUP(H471,#REF!,13,FALSE)</f>
        <v>#REF!</v>
      </c>
      <c r="AU471" s="2" t="e">
        <f>VLOOKUP(H471,#REF!,13,FALSE)</f>
        <v>#REF!</v>
      </c>
      <c r="AV471" s="2" t="e">
        <f>VLOOKUP(H471,#REF!,13,FALSE)</f>
        <v>#REF!</v>
      </c>
      <c r="AW471" s="2" t="e">
        <f>VLOOKUP(H471,#REF!,13,FALSE)</f>
        <v>#REF!</v>
      </c>
      <c r="AX471" s="2" t="e">
        <f>VLOOKUP(H471,#REF!,9,FALSE)</f>
        <v>#REF!</v>
      </c>
      <c r="AZ471" s="2" t="e">
        <f>VLOOKUP(H471,#REF!,2,FALSE)</f>
        <v>#REF!</v>
      </c>
      <c r="BF471" s="189" t="e">
        <f>VLOOKUP(CLEAN(H471),#REF!,2,FALSE)</f>
        <v>#REF!</v>
      </c>
      <c r="BG471" s="189" t="e">
        <f>T471-BF471</f>
        <v>#REF!</v>
      </c>
      <c r="BO471" s="2" t="e">
        <f>VLOOKUP(H471,#REF!,13,FALSE)</f>
        <v>#REF!</v>
      </c>
      <c r="BP471" s="2" t="e">
        <f>VLOOKUP(H471,#REF!,2,FALSE)</f>
        <v>#REF!</v>
      </c>
      <c r="BQ471" s="2" t="e">
        <f>VLOOKUP(H471,#REF!,13,FALSE)</f>
        <v>#REF!</v>
      </c>
      <c r="BR471" s="2" t="e">
        <f>VLOOKUP(H471,#REF!,3,FALSE)</f>
        <v>#REF!</v>
      </c>
    </row>
    <row r="472" spans="1:70" s="2" customFormat="1" ht="15" customHeight="1" outlineLevel="2">
      <c r="A472" s="5">
        <v>31</v>
      </c>
      <c r="B472" s="5" t="s">
        <v>11</v>
      </c>
      <c r="C472" s="5" t="s">
        <v>241</v>
      </c>
      <c r="D472" s="5" t="s">
        <v>22</v>
      </c>
      <c r="E472" s="5" t="s">
        <v>51</v>
      </c>
      <c r="F472" s="5" t="s">
        <v>89</v>
      </c>
      <c r="G472" s="5" t="s">
        <v>144</v>
      </c>
      <c r="H472" s="12">
        <v>30436172</v>
      </c>
      <c r="I472" s="42" t="str">
        <f t="shared" si="269"/>
        <v>30436172-EJECUCION</v>
      </c>
      <c r="J472" s="12"/>
      <c r="K472" s="307" t="str">
        <f t="shared" si="270"/>
        <v>30436172</v>
      </c>
      <c r="L472" s="15" t="s">
        <v>424</v>
      </c>
      <c r="M472" s="23">
        <v>1200000000</v>
      </c>
      <c r="N472" s="34">
        <v>0</v>
      </c>
      <c r="O472" s="34">
        <v>0</v>
      </c>
      <c r="P472" s="310">
        <v>0</v>
      </c>
      <c r="Q472" s="34">
        <v>0</v>
      </c>
      <c r="R472" s="308">
        <v>0</v>
      </c>
      <c r="S472" s="34">
        <f t="shared" si="271"/>
        <v>0</v>
      </c>
      <c r="T472" s="34">
        <v>0</v>
      </c>
      <c r="U472" s="34">
        <v>0</v>
      </c>
      <c r="V472" s="34">
        <f>P472+Q472+R472+T472+U472</f>
        <v>0</v>
      </c>
      <c r="W472" s="34">
        <f>O472-V472</f>
        <v>0</v>
      </c>
      <c r="X472" s="34">
        <f>M472-(N472+O472)</f>
        <v>1200000000</v>
      </c>
      <c r="Y472" s="48" t="s">
        <v>425</v>
      </c>
      <c r="Z472" s="48" t="s">
        <v>8</v>
      </c>
      <c r="AA472" s="2" t="e">
        <v>#N/A</v>
      </c>
      <c r="AB472" s="2" t="e">
        <f>VLOOKUP(H472,#REF!,2,FALSE)</f>
        <v>#REF!</v>
      </c>
      <c r="AC472" s="2" t="e">
        <f>VLOOKUP(I472,#REF!,2,FALSE)</f>
        <v>#REF!</v>
      </c>
      <c r="AD472" s="2" t="e">
        <f>VLOOKUP(H472,#REF!,13,FALSE)</f>
        <v>#REF!</v>
      </c>
      <c r="AE472" s="2" t="e">
        <f>VLOOKUP(I472,#REF!,7,FALSE)</f>
        <v>#REF!</v>
      </c>
      <c r="AG472" s="2" t="e">
        <f>VLOOKUP(H472,#REF!,13,FALSE)</f>
        <v>#REF!</v>
      </c>
      <c r="AH472" s="2" t="e">
        <f>VLOOKUP(I472,#REF!,2,FALSE)</f>
        <v>#REF!</v>
      </c>
      <c r="AJ472" s="185" t="e">
        <f>VLOOKUP(H472,#REF!,3,FALSE)</f>
        <v>#REF!</v>
      </c>
      <c r="AK472" s="185"/>
      <c r="AL472" s="185" t="e">
        <f>VLOOKUP(H472,#REF!,13,FALSE)</f>
        <v>#REF!</v>
      </c>
      <c r="AM472" s="185" t="e">
        <f>VLOOKUP(CLEAN(H472),#REF!,7,FALSE)</f>
        <v>#REF!</v>
      </c>
      <c r="AN472" s="2" t="e">
        <f>VLOOKUP(H472,#REF!,8,FALSE)</f>
        <v>#REF!</v>
      </c>
      <c r="AO472" s="189" t="e">
        <f>VLOOKUP(H472,#REF!,2,FALSE)</f>
        <v>#REF!</v>
      </c>
      <c r="AP472" s="189" t="e">
        <f>VLOOKUP(H472,#REF!,2,FALSE)</f>
        <v>#REF!</v>
      </c>
      <c r="AQ472" s="189"/>
      <c r="AR472" s="2" t="e">
        <f>VLOOKUP(CLEAN(H472),#REF!,2,FALSE)</f>
        <v>#REF!</v>
      </c>
      <c r="AT472" s="2" t="e">
        <f>VLOOKUP(H472,#REF!,13,FALSE)</f>
        <v>#REF!</v>
      </c>
      <c r="AU472" s="2" t="e">
        <f>VLOOKUP(H472,#REF!,13,FALSE)</f>
        <v>#REF!</v>
      </c>
      <c r="AV472" s="2" t="e">
        <f>VLOOKUP(H472,#REF!,13,FALSE)</f>
        <v>#REF!</v>
      </c>
      <c r="AW472" s="2" t="e">
        <f>VLOOKUP(H472,#REF!,13,FALSE)</f>
        <v>#REF!</v>
      </c>
      <c r="AX472" s="2" t="e">
        <f>VLOOKUP(H472,#REF!,9,FALSE)</f>
        <v>#REF!</v>
      </c>
      <c r="AZ472" s="2" t="e">
        <f>VLOOKUP(H472,#REF!,2,FALSE)</f>
        <v>#REF!</v>
      </c>
      <c r="BF472" s="189" t="e">
        <f>VLOOKUP(CLEAN(H472),#REF!,2,FALSE)</f>
        <v>#REF!</v>
      </c>
      <c r="BG472" s="189" t="e">
        <f>T472-BF472</f>
        <v>#REF!</v>
      </c>
      <c r="BO472" s="2" t="e">
        <f>VLOOKUP(H472,#REF!,13,FALSE)</f>
        <v>#REF!</v>
      </c>
      <c r="BP472" s="2" t="e">
        <f>VLOOKUP(H472,#REF!,2,FALSE)</f>
        <v>#REF!</v>
      </c>
      <c r="BQ472" s="2" t="e">
        <f>VLOOKUP(H472,#REF!,13,FALSE)</f>
        <v>#REF!</v>
      </c>
      <c r="BR472" s="2" t="e">
        <f>VLOOKUP(H472,#REF!,3,FALSE)</f>
        <v>#REF!</v>
      </c>
    </row>
    <row r="473" spans="1:70" s="2" customFormat="1" ht="15" customHeight="1" outlineLevel="2">
      <c r="A473" s="5">
        <v>31</v>
      </c>
      <c r="B473" s="5" t="s">
        <v>11</v>
      </c>
      <c r="C473" s="5" t="s">
        <v>238</v>
      </c>
      <c r="D473" s="5" t="s">
        <v>22</v>
      </c>
      <c r="E473" s="5" t="s">
        <v>51</v>
      </c>
      <c r="F473" s="5" t="s">
        <v>21</v>
      </c>
      <c r="G473" s="5" t="s">
        <v>144</v>
      </c>
      <c r="H473" s="12">
        <v>30105246</v>
      </c>
      <c r="I473" s="42" t="str">
        <f t="shared" si="269"/>
        <v>30105246-EJECUCION</v>
      </c>
      <c r="J473" s="12"/>
      <c r="K473" s="307" t="str">
        <f t="shared" si="270"/>
        <v>30105246</v>
      </c>
      <c r="L473" s="15" t="s">
        <v>338</v>
      </c>
      <c r="M473" s="23">
        <v>164507000</v>
      </c>
      <c r="N473" s="34">
        <v>0</v>
      </c>
      <c r="O473" s="34">
        <v>8225350</v>
      </c>
      <c r="P473" s="310">
        <v>0</v>
      </c>
      <c r="Q473" s="34">
        <v>0</v>
      </c>
      <c r="R473" s="308">
        <v>0</v>
      </c>
      <c r="S473" s="34">
        <f t="shared" si="271"/>
        <v>0</v>
      </c>
      <c r="T473" s="34">
        <v>0</v>
      </c>
      <c r="U473" s="34">
        <v>0</v>
      </c>
      <c r="V473" s="34">
        <f>P473+Q473+R473+T473+U473</f>
        <v>0</v>
      </c>
      <c r="W473" s="34">
        <f>O473-V473</f>
        <v>8225350</v>
      </c>
      <c r="X473" s="34">
        <f>M473-(N473+O473)</f>
        <v>156281650</v>
      </c>
      <c r="Y473" s="48" t="s">
        <v>382</v>
      </c>
      <c r="Z473" s="48" t="s">
        <v>357</v>
      </c>
      <c r="AA473" s="2" t="e">
        <v>#N/A</v>
      </c>
      <c r="AB473" s="2" t="e">
        <f>VLOOKUP(H473,#REF!,2,FALSE)</f>
        <v>#REF!</v>
      </c>
      <c r="AC473" s="2" t="e">
        <f>VLOOKUP(I473,#REF!,2,FALSE)</f>
        <v>#REF!</v>
      </c>
      <c r="AD473" s="2" t="e">
        <f>VLOOKUP(H473,#REF!,13,FALSE)</f>
        <v>#REF!</v>
      </c>
      <c r="AE473" s="2" t="e">
        <f>VLOOKUP(I473,#REF!,7,FALSE)</f>
        <v>#REF!</v>
      </c>
      <c r="AG473" s="2" t="e">
        <f>VLOOKUP(H473,#REF!,13,FALSE)</f>
        <v>#REF!</v>
      </c>
      <c r="AH473" s="2" t="e">
        <f>VLOOKUP(I473,#REF!,2,FALSE)</f>
        <v>#REF!</v>
      </c>
      <c r="AJ473" s="185" t="e">
        <f>VLOOKUP(H473,#REF!,3,FALSE)</f>
        <v>#REF!</v>
      </c>
      <c r="AK473" s="185"/>
      <c r="AL473" s="185" t="e">
        <f>VLOOKUP(H473,#REF!,13,FALSE)</f>
        <v>#REF!</v>
      </c>
      <c r="AM473" s="185" t="e">
        <f>VLOOKUP(CLEAN(H473),#REF!,7,FALSE)</f>
        <v>#REF!</v>
      </c>
      <c r="AN473" s="2" t="e">
        <f>VLOOKUP(H473,#REF!,8,FALSE)</f>
        <v>#REF!</v>
      </c>
      <c r="AO473" s="189" t="e">
        <f>VLOOKUP(H473,#REF!,2,FALSE)</f>
        <v>#REF!</v>
      </c>
      <c r="AP473" s="189" t="e">
        <f>VLOOKUP(H473,#REF!,2,FALSE)</f>
        <v>#REF!</v>
      </c>
      <c r="AQ473" s="189"/>
      <c r="AR473" s="2" t="e">
        <f>VLOOKUP(CLEAN(H473),#REF!,2,FALSE)</f>
        <v>#REF!</v>
      </c>
      <c r="AT473" s="2" t="e">
        <f>VLOOKUP(H473,#REF!,13,FALSE)</f>
        <v>#REF!</v>
      </c>
      <c r="AU473" s="2" t="e">
        <f>VLOOKUP(H473,#REF!,13,FALSE)</f>
        <v>#REF!</v>
      </c>
      <c r="AV473" s="2" t="e">
        <f>VLOOKUP(H473,#REF!,13,FALSE)</f>
        <v>#REF!</v>
      </c>
      <c r="AW473" s="2" t="e">
        <f>VLOOKUP(H473,#REF!,13,FALSE)</f>
        <v>#REF!</v>
      </c>
      <c r="AX473" s="2" t="e">
        <f>VLOOKUP(H473,#REF!,9,FALSE)</f>
        <v>#REF!</v>
      </c>
      <c r="AZ473" s="2" t="e">
        <f>VLOOKUP(H473,#REF!,2,FALSE)</f>
        <v>#REF!</v>
      </c>
      <c r="BF473" s="189" t="e">
        <f>VLOOKUP(CLEAN(H473),#REF!,2,FALSE)</f>
        <v>#REF!</v>
      </c>
      <c r="BG473" s="189" t="e">
        <f>T473-BF473</f>
        <v>#REF!</v>
      </c>
      <c r="BO473" s="2" t="e">
        <f>VLOOKUP(H473,#REF!,13,FALSE)</f>
        <v>#REF!</v>
      </c>
      <c r="BP473" s="2" t="e">
        <f>VLOOKUP(H473,#REF!,2,FALSE)</f>
        <v>#REF!</v>
      </c>
      <c r="BQ473" s="2" t="e">
        <f>VLOOKUP(H473,#REF!,13,FALSE)</f>
        <v>#REF!</v>
      </c>
      <c r="BR473" s="2" t="e">
        <f>VLOOKUP(H473,#REF!,3,FALSE)</f>
        <v>#REF!</v>
      </c>
    </row>
    <row r="474" spans="1:70" ht="15" customHeight="1" outlineLevel="2">
      <c r="A474" s="7"/>
      <c r="B474" s="7"/>
      <c r="C474" s="7"/>
      <c r="D474" s="7"/>
      <c r="E474" s="7"/>
      <c r="F474" s="7"/>
      <c r="G474" s="7"/>
      <c r="H474" s="11"/>
      <c r="I474" s="11"/>
      <c r="J474" s="11"/>
      <c r="K474" s="11"/>
      <c r="L474" s="17" t="s">
        <v>693</v>
      </c>
      <c r="M474" s="27">
        <f t="shared" ref="M474:X474" si="272">SUBTOTAL(9,M465:M473)</f>
        <v>7779593000</v>
      </c>
      <c r="N474" s="27">
        <f t="shared" si="272"/>
        <v>0</v>
      </c>
      <c r="O474" s="27">
        <f t="shared" si="272"/>
        <v>958799100</v>
      </c>
      <c r="P474" s="24">
        <f t="shared" si="272"/>
        <v>0</v>
      </c>
      <c r="Q474" s="24">
        <f t="shared" si="272"/>
        <v>0</v>
      </c>
      <c r="R474" s="24">
        <f t="shared" si="272"/>
        <v>0</v>
      </c>
      <c r="S474" s="27">
        <f t="shared" si="272"/>
        <v>0</v>
      </c>
      <c r="T474" s="27">
        <f t="shared" si="272"/>
        <v>0</v>
      </c>
      <c r="U474" s="27">
        <f t="shared" si="272"/>
        <v>0</v>
      </c>
      <c r="V474" s="27">
        <f t="shared" si="272"/>
        <v>0</v>
      </c>
      <c r="W474" s="27">
        <f t="shared" si="272"/>
        <v>958799100</v>
      </c>
      <c r="X474" s="27">
        <f t="shared" si="272"/>
        <v>6820793900</v>
      </c>
      <c r="Y474" s="47"/>
      <c r="Z474" s="47"/>
      <c r="AM474" s="185" t="e">
        <f>VLOOKUP(CLEAN(H474),#REF!,7,FALSE)</f>
        <v>#REF!</v>
      </c>
      <c r="AO474"/>
      <c r="AP474"/>
      <c r="AQ474"/>
      <c r="AR474" s="2" t="e">
        <f>VLOOKUP(CLEAN(H474),#REF!,2,FALSE)</f>
        <v>#REF!</v>
      </c>
      <c r="AZ474" s="2" t="e">
        <f>VLOOKUP(H474,#REF!,2,FALSE)</f>
        <v>#REF!</v>
      </c>
      <c r="BO474" s="2" t="e">
        <f>VLOOKUP(H474,#REF!,13,FALSE)</f>
        <v>#REF!</v>
      </c>
      <c r="BQ474" s="2" t="e">
        <f>VLOOKUP(H474,#REF!,13,FALSE)</f>
        <v>#REF!</v>
      </c>
    </row>
    <row r="475" spans="1:70" ht="15" customHeight="1" outlineLevel="2">
      <c r="A475" s="7"/>
      <c r="B475" s="7"/>
      <c r="C475" s="7"/>
      <c r="D475" s="7"/>
      <c r="E475" s="7"/>
      <c r="F475" s="7"/>
      <c r="G475" s="7"/>
      <c r="H475" s="11"/>
      <c r="I475" s="11"/>
      <c r="J475" s="11"/>
      <c r="K475" s="11"/>
      <c r="L475" s="292"/>
      <c r="M475" s="22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47"/>
      <c r="Z475" s="47"/>
      <c r="AM475" s="185" t="e">
        <f>VLOOKUP(CLEAN(H475),#REF!,7,FALSE)</f>
        <v>#REF!</v>
      </c>
      <c r="AO475"/>
      <c r="AP475"/>
      <c r="AQ475"/>
      <c r="AR475" s="2" t="e">
        <f>VLOOKUP(CLEAN(H475),#REF!,2,FALSE)</f>
        <v>#REF!</v>
      </c>
      <c r="AZ475" s="2" t="e">
        <f>VLOOKUP(H475,#REF!,2,FALSE)</f>
        <v>#REF!</v>
      </c>
      <c r="BO475" s="2" t="e">
        <f>VLOOKUP(H475,#REF!,13,FALSE)</f>
        <v>#REF!</v>
      </c>
      <c r="BP475" s="293"/>
      <c r="BQ475" s="2" t="e">
        <f>VLOOKUP(H475,#REF!,13,FALSE)</f>
        <v>#REF!</v>
      </c>
    </row>
    <row r="476" spans="1:70" ht="18.75" customHeight="1" outlineLevel="1">
      <c r="A476" s="7"/>
      <c r="B476" s="7"/>
      <c r="C476" s="7"/>
      <c r="D476" s="7"/>
      <c r="E476" s="8"/>
      <c r="F476" s="7"/>
      <c r="G476" s="7"/>
      <c r="H476" s="11"/>
      <c r="I476" s="11"/>
      <c r="J476" s="11"/>
      <c r="K476" s="11"/>
      <c r="L476" s="45" t="s">
        <v>162</v>
      </c>
      <c r="M476" s="46">
        <f t="shared" ref="M476:X476" si="273">M474+M462+M448+M452+M456</f>
        <v>20481747145</v>
      </c>
      <c r="N476" s="46">
        <f t="shared" si="273"/>
        <v>6047372304</v>
      </c>
      <c r="O476" s="46">
        <f t="shared" si="273"/>
        <v>4002064442</v>
      </c>
      <c r="P476" s="46">
        <f t="shared" si="273"/>
        <v>1650000</v>
      </c>
      <c r="Q476" s="46">
        <f t="shared" si="273"/>
        <v>3890464</v>
      </c>
      <c r="R476" s="46">
        <f t="shared" si="273"/>
        <v>11908270</v>
      </c>
      <c r="S476" s="46">
        <f t="shared" si="273"/>
        <v>17448734</v>
      </c>
      <c r="T476" s="46">
        <f t="shared" si="273"/>
        <v>0</v>
      </c>
      <c r="U476" s="46">
        <f t="shared" si="273"/>
        <v>0</v>
      </c>
      <c r="V476" s="46">
        <f t="shared" si="273"/>
        <v>17448734</v>
      </c>
      <c r="W476" s="46">
        <f t="shared" si="273"/>
        <v>3984615708</v>
      </c>
      <c r="X476" s="46">
        <f t="shared" si="273"/>
        <v>10432310399</v>
      </c>
      <c r="Y476" s="47"/>
      <c r="Z476" s="47"/>
      <c r="AM476" s="185" t="e">
        <f>VLOOKUP(CLEAN(H476),#REF!,7,FALSE)</f>
        <v>#REF!</v>
      </c>
      <c r="AO476"/>
      <c r="AP476"/>
      <c r="AQ476"/>
      <c r="AR476" s="2" t="e">
        <f>VLOOKUP(CLEAN(H476),#REF!,2,FALSE)</f>
        <v>#REF!</v>
      </c>
      <c r="AZ476" s="2" t="e">
        <f>VLOOKUP(H476,#REF!,2,FALSE)</f>
        <v>#REF!</v>
      </c>
      <c r="BO476" s="2" t="e">
        <f>VLOOKUP(H476,#REF!,13,FALSE)</f>
        <v>#REF!</v>
      </c>
      <c r="BQ476" s="2" t="e">
        <f>VLOOKUP(H476,#REF!,13,FALSE)</f>
        <v>#REF!</v>
      </c>
    </row>
    <row r="477" spans="1:70" s="3" customFormat="1" ht="15" customHeight="1" outlineLevel="1">
      <c r="A477" s="7"/>
      <c r="B477" s="7"/>
      <c r="C477" s="7"/>
      <c r="D477" s="7"/>
      <c r="E477" s="8"/>
      <c r="F477" s="7"/>
      <c r="G477" s="7"/>
      <c r="H477" s="11"/>
      <c r="I477" s="11"/>
      <c r="J477" s="11"/>
      <c r="K477" s="11"/>
      <c r="L477" s="294"/>
      <c r="M477" s="26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47"/>
      <c r="Z477" s="47"/>
      <c r="AJ477" s="186"/>
      <c r="AK477" s="186"/>
      <c r="AL477" s="186"/>
      <c r="AM477" s="185" t="e">
        <f>VLOOKUP(CLEAN(H477),#REF!,7,FALSE)</f>
        <v>#REF!</v>
      </c>
      <c r="AR477" s="2" t="e">
        <f>VLOOKUP(CLEAN(H477),#REF!,2,FALSE)</f>
        <v>#REF!</v>
      </c>
      <c r="AZ477" s="2" t="e">
        <f>VLOOKUP(H477,#REF!,2,FALSE)</f>
        <v>#REF!</v>
      </c>
      <c r="BF477" s="193"/>
      <c r="BO477" s="2" t="e">
        <f>VLOOKUP(H477,#REF!,13,FALSE)</f>
        <v>#REF!</v>
      </c>
      <c r="BP477" s="7"/>
      <c r="BQ477" s="2" t="e">
        <f>VLOOKUP(H477,#REF!,13,FALSE)</f>
        <v>#REF!</v>
      </c>
    </row>
    <row r="478" spans="1:70" ht="21" customHeight="1" outlineLevel="1">
      <c r="A478" s="7"/>
      <c r="B478" s="7"/>
      <c r="C478" s="7"/>
      <c r="D478" s="7"/>
      <c r="E478" s="8"/>
      <c r="F478" s="7"/>
      <c r="G478" s="7"/>
      <c r="H478" s="11"/>
      <c r="I478" s="11"/>
      <c r="J478" s="11"/>
      <c r="K478" s="11"/>
      <c r="L478" s="53" t="s">
        <v>184</v>
      </c>
      <c r="M478" s="26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49"/>
      <c r="Z478" s="49"/>
      <c r="AM478" s="185" t="e">
        <f>VLOOKUP(CLEAN(H478),#REF!,7,FALSE)</f>
        <v>#REF!</v>
      </c>
      <c r="AO478"/>
      <c r="AP478"/>
      <c r="AQ478"/>
      <c r="AR478" s="2" t="e">
        <f>VLOOKUP(CLEAN(H478),#REF!,2,FALSE)</f>
        <v>#REF!</v>
      </c>
      <c r="AZ478" s="2" t="e">
        <f>VLOOKUP(H478,#REF!,2,FALSE)</f>
        <v>#REF!</v>
      </c>
      <c r="BO478" s="2" t="e">
        <f>VLOOKUP(H478,#REF!,13,FALSE)</f>
        <v>#REF!</v>
      </c>
      <c r="BQ478" s="2" t="e">
        <f>VLOOKUP(H478,#REF!,13,FALSE)</f>
        <v>#REF!</v>
      </c>
    </row>
    <row r="479" spans="1:70" ht="15" customHeight="1" outlineLevel="1">
      <c r="A479" s="7"/>
      <c r="B479" s="7"/>
      <c r="C479" s="7"/>
      <c r="D479" s="7"/>
      <c r="E479" s="8"/>
      <c r="F479" s="7"/>
      <c r="G479" s="7"/>
      <c r="H479" s="11"/>
      <c r="I479" s="11"/>
      <c r="J479" s="11"/>
      <c r="K479" s="11"/>
      <c r="L479" s="18" t="s">
        <v>695</v>
      </c>
      <c r="M479" s="26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47"/>
      <c r="Z479" s="47"/>
      <c r="AM479" s="185" t="e">
        <f>VLOOKUP(CLEAN(H479),#REF!,7,FALSE)</f>
        <v>#REF!</v>
      </c>
      <c r="AO479"/>
      <c r="AP479"/>
      <c r="AQ479"/>
      <c r="AR479" s="2" t="e">
        <f>VLOOKUP(CLEAN(H479),#REF!,2,FALSE)</f>
        <v>#REF!</v>
      </c>
      <c r="AZ479" s="2" t="e">
        <f>VLOOKUP(H479,#REF!,2,FALSE)</f>
        <v>#REF!</v>
      </c>
      <c r="BO479" s="2" t="e">
        <f>VLOOKUP(H479,#REF!,13,FALSE)</f>
        <v>#REF!</v>
      </c>
      <c r="BQ479" s="2" t="e">
        <f>VLOOKUP(H479,#REF!,13,FALSE)</f>
        <v>#REF!</v>
      </c>
    </row>
    <row r="480" spans="1:70" s="2" customFormat="1" ht="15" customHeight="1" outlineLevel="2">
      <c r="A480" s="5">
        <v>31</v>
      </c>
      <c r="B480" s="5" t="s">
        <v>5</v>
      </c>
      <c r="C480" s="5" t="s">
        <v>240</v>
      </c>
      <c r="D480" s="5" t="s">
        <v>22</v>
      </c>
      <c r="E480" s="5" t="s">
        <v>110</v>
      </c>
      <c r="F480" s="5" t="s">
        <v>457</v>
      </c>
      <c r="G480" s="5" t="s">
        <v>144</v>
      </c>
      <c r="H480" s="12">
        <v>30125798</v>
      </c>
      <c r="I480" s="42" t="str">
        <f t="shared" ref="I480:I484" si="274">CONCATENATE(H480,"-",G480)</f>
        <v>30125798-EJECUCION</v>
      </c>
      <c r="J480" s="12"/>
      <c r="K480" s="307" t="str">
        <f t="shared" ref="K480:K484" si="275">CLEAN(H480)</f>
        <v>30125798</v>
      </c>
      <c r="L480" s="15" t="s">
        <v>122</v>
      </c>
      <c r="M480" s="23">
        <v>573500851</v>
      </c>
      <c r="N480" s="34">
        <v>304082848</v>
      </c>
      <c r="O480" s="34">
        <v>269418003</v>
      </c>
      <c r="P480" s="310">
        <v>0</v>
      </c>
      <c r="Q480" s="34">
        <v>0</v>
      </c>
      <c r="R480" s="308">
        <v>0</v>
      </c>
      <c r="S480" s="34">
        <f t="shared" ref="S480:S486" si="276">P480+Q480+R480</f>
        <v>0</v>
      </c>
      <c r="T480" s="34">
        <v>0</v>
      </c>
      <c r="U480" s="34">
        <v>0</v>
      </c>
      <c r="V480" s="34">
        <f>P480+Q480+R480+T480+U480</f>
        <v>0</v>
      </c>
      <c r="W480" s="34">
        <f>O480-V480</f>
        <v>269418003</v>
      </c>
      <c r="X480" s="34">
        <f>M480-(N480+O480)</f>
        <v>0</v>
      </c>
      <c r="Y480" s="48" t="s">
        <v>239</v>
      </c>
      <c r="Z480" s="48" t="s">
        <v>8</v>
      </c>
      <c r="AA480" s="2" t="e">
        <v>#N/A</v>
      </c>
      <c r="AB480" s="2" t="e">
        <f>VLOOKUP(H480,#REF!,2,FALSE)</f>
        <v>#REF!</v>
      </c>
      <c r="AC480" s="2" t="e">
        <f>VLOOKUP(I480,#REF!,2,FALSE)</f>
        <v>#REF!</v>
      </c>
      <c r="AD480" s="2" t="e">
        <f>VLOOKUP(H480,#REF!,13,FALSE)</f>
        <v>#REF!</v>
      </c>
      <c r="AE480" s="177" t="e">
        <f>VLOOKUP(I480,#REF!,7,FALSE)</f>
        <v>#REF!</v>
      </c>
      <c r="AG480" s="2" t="e">
        <f>VLOOKUP(H480,#REF!,13,FALSE)</f>
        <v>#REF!</v>
      </c>
      <c r="AH480" s="2" t="e">
        <f>VLOOKUP(I480,#REF!,2,FALSE)</f>
        <v>#REF!</v>
      </c>
      <c r="AJ480" s="185" t="e">
        <f>VLOOKUP(H480,#REF!,3,FALSE)</f>
        <v>#REF!</v>
      </c>
      <c r="AK480" s="185"/>
      <c r="AL480" s="185" t="e">
        <f>VLOOKUP(H480,#REF!,13,FALSE)</f>
        <v>#REF!</v>
      </c>
      <c r="AM480" s="185" t="e">
        <f>VLOOKUP(CLEAN(H480),#REF!,7,FALSE)</f>
        <v>#REF!</v>
      </c>
      <c r="AN480" s="2" t="e">
        <f>VLOOKUP(H480,#REF!,8,FALSE)</f>
        <v>#REF!</v>
      </c>
      <c r="AO480" s="189" t="e">
        <f>VLOOKUP(H480,#REF!,2,FALSE)</f>
        <v>#REF!</v>
      </c>
      <c r="AP480" s="189" t="e">
        <f>VLOOKUP(H480,#REF!,2,FALSE)</f>
        <v>#REF!</v>
      </c>
      <c r="AQ480" s="189"/>
      <c r="AR480" s="2" t="e">
        <f>VLOOKUP(CLEAN(H480),#REF!,2,FALSE)</f>
        <v>#REF!</v>
      </c>
      <c r="AT480" s="2" t="e">
        <f>VLOOKUP(H480,#REF!,13,FALSE)</f>
        <v>#REF!</v>
      </c>
      <c r="AU480" s="2" t="e">
        <f>VLOOKUP(H480,#REF!,13,FALSE)</f>
        <v>#REF!</v>
      </c>
      <c r="AV480" s="2" t="e">
        <f>VLOOKUP(H480,#REF!,13,FALSE)</f>
        <v>#REF!</v>
      </c>
      <c r="AW480" s="2" t="e">
        <f>VLOOKUP(H480,#REF!,13,FALSE)</f>
        <v>#REF!</v>
      </c>
      <c r="AX480" s="2" t="e">
        <f>VLOOKUP(H480,#REF!,9,FALSE)</f>
        <v>#REF!</v>
      </c>
      <c r="AZ480" s="2" t="e">
        <f>VLOOKUP(H480,#REF!,2,FALSE)</f>
        <v>#REF!</v>
      </c>
      <c r="BF480" s="189" t="e">
        <f>VLOOKUP(CLEAN(H480),#REF!,2,FALSE)</f>
        <v>#REF!</v>
      </c>
      <c r="BG480" s="189" t="e">
        <f>T480-BF480</f>
        <v>#REF!</v>
      </c>
      <c r="BO480" s="2" t="e">
        <f>VLOOKUP(H480,#REF!,13,FALSE)</f>
        <v>#REF!</v>
      </c>
      <c r="BP480" s="2" t="e">
        <f>VLOOKUP(H480,#REF!,2,FALSE)</f>
        <v>#REF!</v>
      </c>
      <c r="BQ480" s="2" t="e">
        <f>VLOOKUP(H480,#REF!,13,FALSE)</f>
        <v>#REF!</v>
      </c>
      <c r="BR480" s="2" t="e">
        <f>VLOOKUP(H480,#REF!,3,FALSE)</f>
        <v>#REF!</v>
      </c>
    </row>
    <row r="481" spans="1:70" s="2" customFormat="1" ht="15" customHeight="1" outlineLevel="2">
      <c r="A481" s="5">
        <v>31</v>
      </c>
      <c r="B481" s="5" t="s">
        <v>5</v>
      </c>
      <c r="C481" s="5" t="s">
        <v>240</v>
      </c>
      <c r="D481" s="5" t="s">
        <v>22</v>
      </c>
      <c r="E481" s="5" t="s">
        <v>110</v>
      </c>
      <c r="F481" s="5" t="s">
        <v>89</v>
      </c>
      <c r="G481" s="5" t="s">
        <v>144</v>
      </c>
      <c r="H481" s="12">
        <v>30154323</v>
      </c>
      <c r="I481" s="42" t="str">
        <f t="shared" si="274"/>
        <v>30154323-EJECUCION</v>
      </c>
      <c r="J481" s="12"/>
      <c r="K481" s="307" t="str">
        <f t="shared" si="275"/>
        <v>30154323</v>
      </c>
      <c r="L481" s="15" t="s">
        <v>571</v>
      </c>
      <c r="M481" s="23">
        <v>1210122000</v>
      </c>
      <c r="N481" s="34">
        <v>1075336054</v>
      </c>
      <c r="O481" s="34">
        <f>M481-N481</f>
        <v>134785946</v>
      </c>
      <c r="P481" s="310">
        <v>0</v>
      </c>
      <c r="Q481" s="34">
        <v>0</v>
      </c>
      <c r="R481" s="308">
        <v>10944340</v>
      </c>
      <c r="S481" s="34">
        <f t="shared" si="276"/>
        <v>10944340</v>
      </c>
      <c r="T481" s="34">
        <v>0</v>
      </c>
      <c r="U481" s="34">
        <v>0</v>
      </c>
      <c r="V481" s="34">
        <f>P481+Q481+R481+T481+U481</f>
        <v>10944340</v>
      </c>
      <c r="W481" s="34">
        <f>O481-V481</f>
        <v>123841606</v>
      </c>
      <c r="X481" s="34">
        <f>M481-(N481+O481)</f>
        <v>0</v>
      </c>
      <c r="Y481" s="48" t="s">
        <v>239</v>
      </c>
      <c r="Z481" s="48" t="s">
        <v>8</v>
      </c>
      <c r="AA481" s="2" t="s">
        <v>843</v>
      </c>
      <c r="AB481" s="2" t="e">
        <f>VLOOKUP(H481,#REF!,2,FALSE)</f>
        <v>#REF!</v>
      </c>
      <c r="AD481" s="2" t="e">
        <f>VLOOKUP(H481,#REF!,13,FALSE)</f>
        <v>#REF!</v>
      </c>
      <c r="AE481" s="2" t="e">
        <f>VLOOKUP(I481,#REF!,7,FALSE)</f>
        <v>#REF!</v>
      </c>
      <c r="AG481" s="2" t="e">
        <f>VLOOKUP(H481,#REF!,13,FALSE)</f>
        <v>#REF!</v>
      </c>
      <c r="AH481" s="2" t="e">
        <f>VLOOKUP(I481,#REF!,2,FALSE)</f>
        <v>#REF!</v>
      </c>
      <c r="AJ481" s="185" t="e">
        <f>VLOOKUP(H481,#REF!,3,FALSE)</f>
        <v>#REF!</v>
      </c>
      <c r="AK481" s="185"/>
      <c r="AL481" s="185" t="e">
        <f>VLOOKUP(H481,#REF!,13,FALSE)</f>
        <v>#REF!</v>
      </c>
      <c r="AM481" s="185" t="e">
        <f>VLOOKUP(CLEAN(H481),#REF!,7,FALSE)</f>
        <v>#REF!</v>
      </c>
      <c r="AN481" s="2" t="e">
        <f>VLOOKUP(H481,#REF!,8,FALSE)</f>
        <v>#REF!</v>
      </c>
      <c r="AO481" s="189" t="e">
        <f>VLOOKUP(H481,#REF!,2,FALSE)</f>
        <v>#REF!</v>
      </c>
      <c r="AP481" s="189" t="e">
        <f>VLOOKUP(H481,#REF!,2,FALSE)</f>
        <v>#REF!</v>
      </c>
      <c r="AQ481" s="189"/>
      <c r="AR481" s="2" t="e">
        <f>VLOOKUP(CLEAN(H481),#REF!,2,FALSE)</f>
        <v>#REF!</v>
      </c>
      <c r="AT481" s="2" t="e">
        <f>VLOOKUP(H481,#REF!,13,FALSE)</f>
        <v>#REF!</v>
      </c>
      <c r="AU481" s="2" t="e">
        <f>VLOOKUP(H481,#REF!,13,FALSE)</f>
        <v>#REF!</v>
      </c>
      <c r="AV481" s="2" t="e">
        <f>VLOOKUP(H481,#REF!,13,FALSE)</f>
        <v>#REF!</v>
      </c>
      <c r="AW481" s="2" t="e">
        <f>VLOOKUP(H481,#REF!,13,FALSE)</f>
        <v>#REF!</v>
      </c>
      <c r="AX481" s="2" t="e">
        <f>VLOOKUP(H481,#REF!,9,FALSE)</f>
        <v>#REF!</v>
      </c>
      <c r="AZ481" s="189" t="e">
        <f>VLOOKUP(H481,#REF!,2,FALSE)</f>
        <v>#REF!</v>
      </c>
      <c r="BF481" s="189" t="e">
        <f>VLOOKUP(CLEAN(H481),#REF!,2,FALSE)</f>
        <v>#REF!</v>
      </c>
      <c r="BG481" s="189" t="e">
        <f>T481-BF481</f>
        <v>#REF!</v>
      </c>
      <c r="BO481" s="2" t="e">
        <f>VLOOKUP(H481,#REF!,13,FALSE)</f>
        <v>#REF!</v>
      </c>
      <c r="BP481" s="2" t="e">
        <f>VLOOKUP(H481,#REF!,2,FALSE)</f>
        <v>#REF!</v>
      </c>
      <c r="BQ481" s="2" t="e">
        <f>VLOOKUP(H481,#REF!,13,FALSE)</f>
        <v>#REF!</v>
      </c>
      <c r="BR481" s="2" t="e">
        <f>VLOOKUP(H481,#REF!,3,FALSE)</f>
        <v>#REF!</v>
      </c>
    </row>
    <row r="482" spans="1:70" s="2" customFormat="1" ht="15" customHeight="1" outlineLevel="2">
      <c r="A482" s="5">
        <v>33</v>
      </c>
      <c r="B482" s="5" t="s">
        <v>54</v>
      </c>
      <c r="C482" s="5" t="s">
        <v>251</v>
      </c>
      <c r="D482" s="5" t="s">
        <v>22</v>
      </c>
      <c r="E482" s="5" t="s">
        <v>110</v>
      </c>
      <c r="F482" s="5" t="s">
        <v>73</v>
      </c>
      <c r="G482" s="5" t="s">
        <v>144</v>
      </c>
      <c r="H482" s="12" t="s">
        <v>223</v>
      </c>
      <c r="I482" s="42" t="str">
        <f t="shared" si="274"/>
        <v>S/C-EJECUCION</v>
      </c>
      <c r="J482" s="12"/>
      <c r="K482" s="307" t="str">
        <f t="shared" si="275"/>
        <v>S/C</v>
      </c>
      <c r="L482" s="15" t="s">
        <v>373</v>
      </c>
      <c r="M482" s="23">
        <v>1628040595</v>
      </c>
      <c r="N482" s="34">
        <v>0</v>
      </c>
      <c r="O482" s="23">
        <f>1700697600-72657005</f>
        <v>1628040595</v>
      </c>
      <c r="P482" s="310">
        <v>51208498</v>
      </c>
      <c r="Q482" s="34">
        <v>398617773</v>
      </c>
      <c r="R482" s="308">
        <v>283987850</v>
      </c>
      <c r="S482" s="34">
        <f t="shared" si="276"/>
        <v>733814121</v>
      </c>
      <c r="T482" s="34">
        <v>312041894</v>
      </c>
      <c r="U482" s="34">
        <v>241370945</v>
      </c>
      <c r="V482" s="34">
        <f>P482+Q482+R482+T482+U482</f>
        <v>1287226960</v>
      </c>
      <c r="W482" s="34">
        <f>O482-V482</f>
        <v>340813635</v>
      </c>
      <c r="X482" s="34">
        <f>M482-(N482+O482)</f>
        <v>0</v>
      </c>
      <c r="Y482" s="48" t="s">
        <v>239</v>
      </c>
      <c r="Z482" s="48" t="s">
        <v>12</v>
      </c>
      <c r="AA482" s="2" t="e">
        <v>#N/A</v>
      </c>
      <c r="AB482" s="2" t="e">
        <f>VLOOKUP(H482,#REF!,2,FALSE)</f>
        <v>#REF!</v>
      </c>
      <c r="AC482" s="2" t="e">
        <f>VLOOKUP(I482,#REF!,2,FALSE)</f>
        <v>#REF!</v>
      </c>
      <c r="AD482" s="2" t="e">
        <f>VLOOKUP(H482,#REF!,13,FALSE)</f>
        <v>#REF!</v>
      </c>
      <c r="AE482" s="177" t="e">
        <f>VLOOKUP(I482,#REF!,7,FALSE)</f>
        <v>#REF!</v>
      </c>
      <c r="AG482" s="2" t="e">
        <f>VLOOKUP(H482,#REF!,13,FALSE)</f>
        <v>#REF!</v>
      </c>
      <c r="AH482" s="2" t="e">
        <f>VLOOKUP(I482,#REF!,2,FALSE)</f>
        <v>#REF!</v>
      </c>
      <c r="AJ482" s="185" t="e">
        <f>VLOOKUP(H482,#REF!,3,FALSE)</f>
        <v>#REF!</v>
      </c>
      <c r="AK482" s="185"/>
      <c r="AL482" s="185"/>
      <c r="AM482" s="185" t="e">
        <f>VLOOKUP(CLEAN(H482),#REF!,7,FALSE)</f>
        <v>#REF!</v>
      </c>
      <c r="AN482" s="2" t="e">
        <f>VLOOKUP(H482,#REF!,8,FALSE)</f>
        <v>#REF!</v>
      </c>
      <c r="AO482" s="189" t="e">
        <f>VLOOKUP(H482,#REF!,2,FALSE)</f>
        <v>#REF!</v>
      </c>
      <c r="AP482" s="189" t="e">
        <f>VLOOKUP(H482,#REF!,2,FALSE)</f>
        <v>#REF!</v>
      </c>
      <c r="AQ482" s="189"/>
      <c r="AR482" s="2" t="e">
        <f>VLOOKUP(CLEAN(H482),#REF!,2,FALSE)</f>
        <v>#REF!</v>
      </c>
      <c r="AT482" s="2" t="e">
        <f>VLOOKUP(H482,#REF!,13,FALSE)</f>
        <v>#REF!</v>
      </c>
      <c r="AU482" s="2" t="e">
        <f>VLOOKUP(H482,#REF!,13,FALSE)</f>
        <v>#REF!</v>
      </c>
      <c r="AV482" s="2" t="e">
        <f>VLOOKUP(H482,#REF!,13,FALSE)</f>
        <v>#REF!</v>
      </c>
      <c r="AW482" s="2" t="e">
        <f>VLOOKUP(H482,#REF!,13,FALSE)</f>
        <v>#REF!</v>
      </c>
      <c r="AX482" s="2" t="e">
        <f>VLOOKUP(H482,#REF!,9,FALSE)</f>
        <v>#REF!</v>
      </c>
      <c r="AZ482" s="2" t="e">
        <f>VLOOKUP(H482,#REF!,2,FALSE)</f>
        <v>#REF!</v>
      </c>
      <c r="BF482" s="189" t="e">
        <f>VLOOKUP(CLEAN(H482),#REF!,2,FALSE)</f>
        <v>#REF!</v>
      </c>
      <c r="BG482" s="189" t="e">
        <f>T482-BF482</f>
        <v>#REF!</v>
      </c>
      <c r="BO482" s="2" t="e">
        <f>VLOOKUP(H482,#REF!,13,FALSE)</f>
        <v>#REF!</v>
      </c>
      <c r="BP482" s="2" t="e">
        <f>VLOOKUP(H482,#REF!,2,FALSE)</f>
        <v>#REF!</v>
      </c>
      <c r="BQ482" s="2" t="e">
        <f>VLOOKUP(H482,#REF!,13,FALSE)</f>
        <v>#REF!</v>
      </c>
      <c r="BR482" s="2" t="e">
        <f>VLOOKUP(H482,#REF!,3,FALSE)</f>
        <v>#REF!</v>
      </c>
    </row>
    <row r="483" spans="1:70" s="2" customFormat="1" ht="15" customHeight="1" outlineLevel="2">
      <c r="A483" s="5">
        <v>31</v>
      </c>
      <c r="B483" s="5" t="s">
        <v>5</v>
      </c>
      <c r="C483" s="5" t="s">
        <v>251</v>
      </c>
      <c r="D483" s="5" t="s">
        <v>22</v>
      </c>
      <c r="E483" s="5" t="s">
        <v>110</v>
      </c>
      <c r="F483" s="5" t="s">
        <v>457</v>
      </c>
      <c r="G483" s="5" t="s">
        <v>144</v>
      </c>
      <c r="H483" s="12">
        <v>30137333</v>
      </c>
      <c r="I483" s="42" t="str">
        <f t="shared" si="274"/>
        <v>30137333-EJECUCION</v>
      </c>
      <c r="J483" s="12"/>
      <c r="K483" s="307" t="str">
        <f t="shared" si="275"/>
        <v>30137333</v>
      </c>
      <c r="L483" s="15" t="s">
        <v>360</v>
      </c>
      <c r="M483" s="23">
        <v>624878418</v>
      </c>
      <c r="N483" s="34">
        <v>10064000</v>
      </c>
      <c r="O483" s="34">
        <f>392541000+14037500</f>
        <v>406578500</v>
      </c>
      <c r="P483" s="310">
        <v>0</v>
      </c>
      <c r="Q483" s="34">
        <v>0</v>
      </c>
      <c r="R483" s="308">
        <v>0</v>
      </c>
      <c r="S483" s="34">
        <f t="shared" si="276"/>
        <v>0</v>
      </c>
      <c r="T483" s="34">
        <v>0</v>
      </c>
      <c r="U483" s="34">
        <v>47724142</v>
      </c>
      <c r="V483" s="34">
        <f>P483+Q483+R483+T483+U483</f>
        <v>47724142</v>
      </c>
      <c r="W483" s="34">
        <f>O483-V483</f>
        <v>358854358</v>
      </c>
      <c r="X483" s="34">
        <f>M483-(N483+O483)</f>
        <v>208235918</v>
      </c>
      <c r="Y483" s="48" t="s">
        <v>239</v>
      </c>
      <c r="Z483" s="48" t="s">
        <v>10</v>
      </c>
      <c r="AA483" s="2" t="s">
        <v>843</v>
      </c>
      <c r="AB483" s="2" t="e">
        <f>VLOOKUP(H483,#REF!,2,FALSE)</f>
        <v>#REF!</v>
      </c>
      <c r="AC483" s="2" t="e">
        <f>VLOOKUP(I483,#REF!,2,FALSE)</f>
        <v>#REF!</v>
      </c>
      <c r="AD483" s="2" t="e">
        <f>VLOOKUP(H483,#REF!,13,FALSE)</f>
        <v>#REF!</v>
      </c>
      <c r="AE483" s="2" t="e">
        <f>VLOOKUP(I483,#REF!,7,FALSE)</f>
        <v>#REF!</v>
      </c>
      <c r="AG483" s="2" t="e">
        <f>VLOOKUP(H483,#REF!,13,FALSE)</f>
        <v>#REF!</v>
      </c>
      <c r="AH483" s="2" t="e">
        <f>VLOOKUP(I483,#REF!,2,FALSE)</f>
        <v>#REF!</v>
      </c>
      <c r="AJ483" s="185" t="e">
        <f>VLOOKUP(H483,#REF!,3,FALSE)</f>
        <v>#REF!</v>
      </c>
      <c r="AK483" s="185"/>
      <c r="AL483" s="185" t="e">
        <f>VLOOKUP(H483,#REF!,13,FALSE)</f>
        <v>#REF!</v>
      </c>
      <c r="AM483" s="185" t="e">
        <f>VLOOKUP(CLEAN(H483),#REF!,7,FALSE)</f>
        <v>#REF!</v>
      </c>
      <c r="AN483" s="2" t="e">
        <f>VLOOKUP(H483,#REF!,8,FALSE)</f>
        <v>#REF!</v>
      </c>
      <c r="AO483" s="189" t="e">
        <f>VLOOKUP(H483,#REF!,2,FALSE)</f>
        <v>#REF!</v>
      </c>
      <c r="AP483" s="189" t="e">
        <f>VLOOKUP(H483,#REF!,2,FALSE)</f>
        <v>#REF!</v>
      </c>
      <c r="AQ483" s="189"/>
      <c r="AR483" s="2" t="e">
        <f>VLOOKUP(CLEAN(H483),#REF!,2,FALSE)</f>
        <v>#REF!</v>
      </c>
      <c r="AT483" s="2" t="e">
        <f>VLOOKUP(H483,#REF!,13,FALSE)</f>
        <v>#REF!</v>
      </c>
      <c r="AU483" s="2" t="e">
        <f>VLOOKUP(H483,#REF!,13,FALSE)</f>
        <v>#REF!</v>
      </c>
      <c r="AV483" s="2" t="e">
        <f>VLOOKUP(H483,#REF!,13,FALSE)</f>
        <v>#REF!</v>
      </c>
      <c r="AW483" s="2" t="e">
        <f>VLOOKUP(H483,#REF!,13,FALSE)</f>
        <v>#REF!</v>
      </c>
      <c r="AX483" s="2" t="e">
        <f>VLOOKUP(H483,#REF!,9,FALSE)</f>
        <v>#REF!</v>
      </c>
      <c r="AZ483" s="189" t="e">
        <f>VLOOKUP(H483,#REF!,2,FALSE)</f>
        <v>#REF!</v>
      </c>
      <c r="BF483" s="189" t="e">
        <f>VLOOKUP(CLEAN(H483),#REF!,2,FALSE)</f>
        <v>#REF!</v>
      </c>
      <c r="BG483" s="189" t="e">
        <f>T483-BF483</f>
        <v>#REF!</v>
      </c>
      <c r="BO483" s="2" t="e">
        <f>VLOOKUP(H483,#REF!,13,FALSE)</f>
        <v>#REF!</v>
      </c>
      <c r="BP483" s="2" t="e">
        <f>VLOOKUP(H483,#REF!,2,FALSE)</f>
        <v>#REF!</v>
      </c>
      <c r="BQ483" s="2" t="e">
        <f>VLOOKUP(H483,#REF!,13,FALSE)</f>
        <v>#REF!</v>
      </c>
      <c r="BR483" s="2" t="e">
        <f>VLOOKUP(H483,#REF!,3,FALSE)</f>
        <v>#REF!</v>
      </c>
    </row>
    <row r="484" spans="1:70" s="2" customFormat="1" ht="15" customHeight="1" outlineLevel="2">
      <c r="A484" s="5">
        <v>24</v>
      </c>
      <c r="B484" s="5" t="s">
        <v>54</v>
      </c>
      <c r="C484" s="5" t="s">
        <v>576</v>
      </c>
      <c r="D484" s="5" t="s">
        <v>22</v>
      </c>
      <c r="E484" s="5" t="s">
        <v>110</v>
      </c>
      <c r="F484" s="5" t="s">
        <v>75</v>
      </c>
      <c r="G484" s="5" t="s">
        <v>144</v>
      </c>
      <c r="H484" s="12">
        <v>30133915</v>
      </c>
      <c r="I484" s="42" t="str">
        <f t="shared" si="274"/>
        <v>30133915-EJECUCION</v>
      </c>
      <c r="J484" s="12"/>
      <c r="K484" s="307" t="str">
        <f t="shared" si="275"/>
        <v>30133915</v>
      </c>
      <c r="L484" s="15" t="s">
        <v>832</v>
      </c>
      <c r="M484" s="23">
        <v>200000000</v>
      </c>
      <c r="N484" s="34">
        <v>0</v>
      </c>
      <c r="O484" s="23">
        <f>28209514+28151547</f>
        <v>56361061</v>
      </c>
      <c r="P484" s="310">
        <v>0</v>
      </c>
      <c r="Q484" s="34">
        <v>0</v>
      </c>
      <c r="R484" s="308">
        <v>28209514</v>
      </c>
      <c r="S484" s="34">
        <f t="shared" si="276"/>
        <v>28209514</v>
      </c>
      <c r="T484" s="34">
        <v>28151547</v>
      </c>
      <c r="U484" s="34">
        <v>0</v>
      </c>
      <c r="V484" s="34">
        <f>P484+Q484+R484+T484+U484</f>
        <v>56361061</v>
      </c>
      <c r="W484" s="34">
        <f>O484-V484</f>
        <v>0</v>
      </c>
      <c r="X484" s="34">
        <f>M484-(N484+O484)</f>
        <v>143638939</v>
      </c>
      <c r="Y484" s="48" t="s">
        <v>239</v>
      </c>
      <c r="Z484" s="48" t="s">
        <v>256</v>
      </c>
      <c r="AA484" s="2" t="s">
        <v>840</v>
      </c>
      <c r="AB484" s="2" t="e">
        <f>VLOOKUP(H484,#REF!,2,FALSE)</f>
        <v>#REF!</v>
      </c>
      <c r="AG484" s="2" t="e">
        <f>VLOOKUP(H484,#REF!,13,FALSE)</f>
        <v>#REF!</v>
      </c>
      <c r="AH484" s="2" t="e">
        <f>VLOOKUP(I484,#REF!,2,FALSE)</f>
        <v>#REF!</v>
      </c>
      <c r="AJ484" s="185" t="e">
        <f>VLOOKUP(H484,#REF!,3,FALSE)</f>
        <v>#REF!</v>
      </c>
      <c r="AK484" s="185"/>
      <c r="AL484" s="185"/>
      <c r="AM484" s="185" t="e">
        <f>VLOOKUP(CLEAN(H484),#REF!,7,FALSE)</f>
        <v>#REF!</v>
      </c>
      <c r="AN484" s="2" t="e">
        <f>VLOOKUP(H484,#REF!,8,FALSE)</f>
        <v>#REF!</v>
      </c>
      <c r="AO484" s="189" t="e">
        <f>VLOOKUP(H484,#REF!,2,FALSE)</f>
        <v>#REF!</v>
      </c>
      <c r="AP484" s="189" t="e">
        <f>VLOOKUP(H484,#REF!,2,FALSE)</f>
        <v>#REF!</v>
      </c>
      <c r="AQ484" s="189" t="e">
        <f>AO484-AP484</f>
        <v>#REF!</v>
      </c>
      <c r="AR484" s="189" t="e">
        <f>VLOOKUP(CLEAN(H484),#REF!,2,FALSE)</f>
        <v>#REF!</v>
      </c>
      <c r="AS484" s="189" t="e">
        <f>T484-AR484</f>
        <v>#REF!</v>
      </c>
      <c r="AT484" s="2" t="e">
        <f>VLOOKUP(H484,#REF!,13,FALSE)</f>
        <v>#REF!</v>
      </c>
      <c r="AU484" s="2" t="e">
        <f>VLOOKUP(H484,#REF!,13,FALSE)</f>
        <v>#REF!</v>
      </c>
      <c r="AV484" s="2" t="e">
        <f>VLOOKUP(H484,#REF!,13,FALSE)</f>
        <v>#REF!</v>
      </c>
      <c r="AW484" s="2" t="e">
        <f>VLOOKUP(H484,#REF!,13,FALSE)</f>
        <v>#REF!</v>
      </c>
      <c r="AX484" s="2" t="e">
        <f>VLOOKUP(H484,#REF!,9,FALSE)</f>
        <v>#REF!</v>
      </c>
      <c r="AZ484" s="189" t="e">
        <f>VLOOKUP(H484,#REF!,2,FALSE)</f>
        <v>#REF!</v>
      </c>
      <c r="BF484" s="189" t="e">
        <f>VLOOKUP(CLEAN(H484),#REF!,2,FALSE)</f>
        <v>#REF!</v>
      </c>
      <c r="BG484" s="189" t="e">
        <f>T484-BF484</f>
        <v>#REF!</v>
      </c>
      <c r="BO484" s="2" t="e">
        <f>VLOOKUP(H484,#REF!,13,FALSE)</f>
        <v>#REF!</v>
      </c>
      <c r="BP484" s="2" t="e">
        <f>VLOOKUP(H484,#REF!,2,FALSE)</f>
        <v>#REF!</v>
      </c>
      <c r="BQ484" s="2" t="e">
        <f>VLOOKUP(H484,#REF!,13,FALSE)</f>
        <v>#REF!</v>
      </c>
      <c r="BR484" s="2" t="e">
        <f>VLOOKUP(H484,#REF!,3,FALSE)</f>
        <v>#REF!</v>
      </c>
    </row>
    <row r="485" spans="1:70" s="2" customFormat="1" ht="15" customHeight="1" outlineLevel="2">
      <c r="A485" s="5">
        <v>31</v>
      </c>
      <c r="B485" s="5" t="s">
        <v>5</v>
      </c>
      <c r="C485" s="5" t="s">
        <v>241</v>
      </c>
      <c r="D485" s="5" t="s">
        <v>22</v>
      </c>
      <c r="E485" s="5" t="s">
        <v>110</v>
      </c>
      <c r="F485" s="5" t="s">
        <v>89</v>
      </c>
      <c r="G485" s="5" t="s">
        <v>144</v>
      </c>
      <c r="H485" s="12">
        <v>30133755</v>
      </c>
      <c r="I485" s="42" t="str">
        <f>CONCATENATE(H485,"-",G485)</f>
        <v>30133755-EJECUCION</v>
      </c>
      <c r="J485" s="12"/>
      <c r="K485" s="307" t="str">
        <f>CLEAN(H485)</f>
        <v>30133755</v>
      </c>
      <c r="L485" s="15" t="s">
        <v>683</v>
      </c>
      <c r="M485" s="23">
        <v>8508500000</v>
      </c>
      <c r="N485" s="34">
        <v>3998661000</v>
      </c>
      <c r="O485" s="34">
        <f>600000000+1000000000-151340206-68527594-95000000-249188000-133588000-50000000-200000000</f>
        <v>652356200</v>
      </c>
      <c r="P485" s="310">
        <v>0</v>
      </c>
      <c r="Q485" s="34">
        <v>0</v>
      </c>
      <c r="R485" s="308">
        <v>0</v>
      </c>
      <c r="S485" s="34">
        <f t="shared" si="276"/>
        <v>0</v>
      </c>
      <c r="T485" s="34">
        <v>0</v>
      </c>
      <c r="U485" s="34">
        <v>0</v>
      </c>
      <c r="V485" s="34">
        <f>P485+Q485+R485+T485+U485</f>
        <v>0</v>
      </c>
      <c r="W485" s="34">
        <f>O485-V485</f>
        <v>652356200</v>
      </c>
      <c r="X485" s="34">
        <f>M485-(N485+O485)</f>
        <v>3857482800</v>
      </c>
      <c r="Y485" s="48" t="s">
        <v>239</v>
      </c>
      <c r="Z485" s="48" t="s">
        <v>10</v>
      </c>
      <c r="AA485" s="2" t="s">
        <v>847</v>
      </c>
      <c r="AB485" s="2" t="e">
        <f>VLOOKUP(H485,#REF!,2,FALSE)</f>
        <v>#REF!</v>
      </c>
      <c r="AC485" s="2" t="e">
        <f>VLOOKUP(I485,#REF!,2,FALSE)</f>
        <v>#REF!</v>
      </c>
      <c r="AD485" s="2" t="e">
        <f>VLOOKUP(H485,#REF!,13,FALSE)</f>
        <v>#REF!</v>
      </c>
      <c r="AE485" s="2" t="e">
        <f>VLOOKUP(I485,#REF!,7,FALSE)</f>
        <v>#REF!</v>
      </c>
      <c r="AG485" s="2" t="e">
        <f>VLOOKUP(H485,#REF!,13,FALSE)</f>
        <v>#REF!</v>
      </c>
      <c r="AH485" s="2" t="e">
        <f>VLOOKUP(I485,#REF!,2,FALSE)</f>
        <v>#REF!</v>
      </c>
      <c r="AJ485" s="185" t="e">
        <f>VLOOKUP(H485,#REF!,3,FALSE)</f>
        <v>#REF!</v>
      </c>
      <c r="AK485" s="185"/>
      <c r="AL485" s="185" t="e">
        <f>VLOOKUP(H485,#REF!,13,FALSE)</f>
        <v>#REF!</v>
      </c>
      <c r="AM485" s="185" t="e">
        <f>VLOOKUP(CLEAN(H485),#REF!,7,FALSE)</f>
        <v>#REF!</v>
      </c>
      <c r="AN485" s="2" t="e">
        <f>VLOOKUP(H485,#REF!,8,FALSE)</f>
        <v>#REF!</v>
      </c>
      <c r="AO485" s="189" t="e">
        <f>VLOOKUP(H485,#REF!,2,FALSE)</f>
        <v>#REF!</v>
      </c>
      <c r="AP485" s="189" t="e">
        <f>VLOOKUP(H485,#REF!,2,FALSE)</f>
        <v>#REF!</v>
      </c>
      <c r="AQ485" s="189"/>
      <c r="AR485" s="2" t="e">
        <f>VLOOKUP(CLEAN(H485),#REF!,2,FALSE)</f>
        <v>#REF!</v>
      </c>
      <c r="AT485" s="2" t="e">
        <f>VLOOKUP(H485,#REF!,13,FALSE)</f>
        <v>#REF!</v>
      </c>
      <c r="AU485" s="2" t="e">
        <f>VLOOKUP(H485,#REF!,13,FALSE)</f>
        <v>#REF!</v>
      </c>
      <c r="AV485" s="2" t="e">
        <f>VLOOKUP(H485,#REF!,13,FALSE)</f>
        <v>#REF!</v>
      </c>
      <c r="AW485" s="2" t="e">
        <f>VLOOKUP(H485,#REF!,13,FALSE)</f>
        <v>#REF!</v>
      </c>
      <c r="AX485" s="2" t="e">
        <f>VLOOKUP(H485,#REF!,9,FALSE)</f>
        <v>#REF!</v>
      </c>
      <c r="AZ485" s="2" t="e">
        <f>VLOOKUP(H485,#REF!,2,FALSE)</f>
        <v>#REF!</v>
      </c>
      <c r="BF485" s="189" t="e">
        <f>VLOOKUP(CLEAN(H485),#REF!,2,FALSE)</f>
        <v>#REF!</v>
      </c>
      <c r="BG485" s="189" t="e">
        <f>T485-BF485</f>
        <v>#REF!</v>
      </c>
      <c r="BO485" s="2" t="e">
        <f>VLOOKUP(H485,#REF!,13,FALSE)</f>
        <v>#REF!</v>
      </c>
      <c r="BP485" s="2" t="e">
        <f>VLOOKUP(H485,#REF!,2,FALSE)</f>
        <v>#REF!</v>
      </c>
      <c r="BQ485" s="2" t="e">
        <f>VLOOKUP(H485,#REF!,13,FALSE)</f>
        <v>#REF!</v>
      </c>
      <c r="BR485" s="2" t="e">
        <f>VLOOKUP(H485,#REF!,3,FALSE)</f>
        <v>#REF!</v>
      </c>
    </row>
    <row r="486" spans="1:70" s="2" customFormat="1" ht="15" customHeight="1" outlineLevel="2">
      <c r="A486" s="5">
        <v>31</v>
      </c>
      <c r="B486" s="5" t="s">
        <v>5</v>
      </c>
      <c r="C486" s="5" t="s">
        <v>241</v>
      </c>
      <c r="D486" s="5" t="s">
        <v>22</v>
      </c>
      <c r="E486" s="5" t="s">
        <v>110</v>
      </c>
      <c r="F486" s="5" t="s">
        <v>89</v>
      </c>
      <c r="G486" s="5" t="s">
        <v>144</v>
      </c>
      <c r="H486" s="12" t="s">
        <v>111</v>
      </c>
      <c r="I486" s="42" t="str">
        <f>CONCATENATE(H486,"-",G486)</f>
        <v>20144598-3-EJECUCION</v>
      </c>
      <c r="J486" s="12"/>
      <c r="K486" s="307" t="str">
        <f>CLEAN(H486)</f>
        <v>20144598-3</v>
      </c>
      <c r="L486" s="15" t="s">
        <v>112</v>
      </c>
      <c r="M486" s="23">
        <v>629394552</v>
      </c>
      <c r="N486" s="34">
        <v>242799871</v>
      </c>
      <c r="O486" s="34">
        <v>386594681</v>
      </c>
      <c r="P486" s="310">
        <v>0</v>
      </c>
      <c r="Q486" s="34">
        <v>74620129</v>
      </c>
      <c r="R486" s="308">
        <v>95920543</v>
      </c>
      <c r="S486" s="34">
        <f t="shared" si="276"/>
        <v>170540672</v>
      </c>
      <c r="T486" s="34">
        <v>126054009</v>
      </c>
      <c r="U486" s="34">
        <v>45613460</v>
      </c>
      <c r="V486" s="34">
        <f>P486+Q486+R486+T486+U486</f>
        <v>342208141</v>
      </c>
      <c r="W486" s="34">
        <f>O486-V486</f>
        <v>44386540</v>
      </c>
      <c r="X486" s="34">
        <f>M486-(N486+O486)</f>
        <v>0</v>
      </c>
      <c r="Y486" s="48" t="s">
        <v>675</v>
      </c>
      <c r="Z486" s="48" t="s">
        <v>123</v>
      </c>
      <c r="AA486" s="2" t="s">
        <v>843</v>
      </c>
      <c r="AB486" s="2" t="e">
        <f>VLOOKUP(H486,#REF!,2,FALSE)</f>
        <v>#REF!</v>
      </c>
      <c r="AC486" s="2" t="e">
        <f>VLOOKUP(I486,#REF!,2,FALSE)</f>
        <v>#REF!</v>
      </c>
      <c r="AD486" s="2" t="e">
        <f>VLOOKUP(H486,#REF!,13,FALSE)</f>
        <v>#REF!</v>
      </c>
      <c r="AE486" s="2" t="e">
        <f>VLOOKUP(I486,#REF!,7,FALSE)</f>
        <v>#REF!</v>
      </c>
      <c r="AG486" s="2" t="e">
        <f>VLOOKUP(H486,#REF!,13,FALSE)</f>
        <v>#REF!</v>
      </c>
      <c r="AH486" s="2" t="e">
        <f>VLOOKUP(I486,#REF!,2,FALSE)</f>
        <v>#REF!</v>
      </c>
      <c r="AJ486" s="2" t="e">
        <f>VLOOKUP(H486,#REF!,3,FALSE)</f>
        <v>#REF!</v>
      </c>
      <c r="AL486" s="2" t="e">
        <f>VLOOKUP(H486,#REF!,13,FALSE)</f>
        <v>#REF!</v>
      </c>
      <c r="AM486" s="2" t="e">
        <f>VLOOKUP(CLEAN(H486),#REF!,7,FALSE)</f>
        <v>#REF!</v>
      </c>
      <c r="AN486" s="2" t="e">
        <f>VLOOKUP(H486,#REF!,8,FALSE)</f>
        <v>#REF!</v>
      </c>
      <c r="AO486" s="189" t="e">
        <f>VLOOKUP(H486,#REF!,2,FALSE)</f>
        <v>#REF!</v>
      </c>
      <c r="AP486" s="189" t="e">
        <f>VLOOKUP(H486,#REF!,2,FALSE)</f>
        <v>#REF!</v>
      </c>
      <c r="AQ486" s="189" t="e">
        <f>AO486-AP486</f>
        <v>#REF!</v>
      </c>
      <c r="AR486" s="189" t="e">
        <f>VLOOKUP(CLEAN(H486),#REF!,2,FALSE)</f>
        <v>#REF!</v>
      </c>
      <c r="AT486" s="2" t="e">
        <f>VLOOKUP(H486,#REF!,13,FALSE)</f>
        <v>#REF!</v>
      </c>
      <c r="AU486" s="2" t="e">
        <f>VLOOKUP(H486,#REF!,13,FALSE)</f>
        <v>#REF!</v>
      </c>
      <c r="AV486" s="2" t="e">
        <f>VLOOKUP(H486,#REF!,13,FALSE)</f>
        <v>#REF!</v>
      </c>
      <c r="AW486" s="2" t="e">
        <f>VLOOKUP(H486,#REF!,13,FALSE)</f>
        <v>#REF!</v>
      </c>
      <c r="AX486" s="2" t="e">
        <f>VLOOKUP(H486,#REF!,9,FALSE)</f>
        <v>#REF!</v>
      </c>
      <c r="AZ486" s="189" t="e">
        <f>VLOOKUP(H486,#REF!,2,FALSE)</f>
        <v>#REF!</v>
      </c>
      <c r="BF486" s="189" t="e">
        <f>VLOOKUP(CLEAN(H486),#REF!,2,FALSE)</f>
        <v>#REF!</v>
      </c>
      <c r="BG486" s="189" t="e">
        <f>T486-BF486</f>
        <v>#REF!</v>
      </c>
      <c r="BO486" s="2" t="e">
        <f>VLOOKUP(H486,#REF!,13,FALSE)</f>
        <v>#REF!</v>
      </c>
      <c r="BP486" s="2" t="e">
        <f>VLOOKUP(H486,#REF!,2,FALSE)</f>
        <v>#REF!</v>
      </c>
      <c r="BQ486" s="2" t="e">
        <f>VLOOKUP(H486,#REF!,13,FALSE)</f>
        <v>#REF!</v>
      </c>
      <c r="BR486" s="2" t="e">
        <f>VLOOKUP(H486,#REF!,3,FALSE)</f>
        <v>#REF!</v>
      </c>
    </row>
    <row r="487" spans="1:70" ht="15" customHeight="1" outlineLevel="2">
      <c r="A487" s="7"/>
      <c r="B487" s="7"/>
      <c r="C487" s="7"/>
      <c r="D487" s="7"/>
      <c r="E487" s="7"/>
      <c r="F487" s="7"/>
      <c r="G487" s="7"/>
      <c r="H487" s="11"/>
      <c r="I487" s="11"/>
      <c r="J487" s="11"/>
      <c r="K487" s="11"/>
      <c r="L487" s="17" t="s">
        <v>691</v>
      </c>
      <c r="M487" s="27">
        <f t="shared" ref="M487:X487" si="277">SUBTOTAL(9,M480:M486)</f>
        <v>13374436416</v>
      </c>
      <c r="N487" s="27">
        <f t="shared" si="277"/>
        <v>5630943773</v>
      </c>
      <c r="O487" s="27">
        <f t="shared" si="277"/>
        <v>3534134986</v>
      </c>
      <c r="P487" s="24">
        <f t="shared" si="277"/>
        <v>51208498</v>
      </c>
      <c r="Q487" s="24">
        <f t="shared" si="277"/>
        <v>473237902</v>
      </c>
      <c r="R487" s="24">
        <f t="shared" si="277"/>
        <v>419062247</v>
      </c>
      <c r="S487" s="27">
        <f t="shared" si="277"/>
        <v>943508647</v>
      </c>
      <c r="T487" s="27">
        <f t="shared" si="277"/>
        <v>466247450</v>
      </c>
      <c r="U487" s="27">
        <f t="shared" si="277"/>
        <v>334708547</v>
      </c>
      <c r="V487" s="27">
        <f t="shared" si="277"/>
        <v>1744464644</v>
      </c>
      <c r="W487" s="27">
        <f t="shared" si="277"/>
        <v>1789670342</v>
      </c>
      <c r="X487" s="27">
        <f t="shared" si="277"/>
        <v>4209357657</v>
      </c>
      <c r="Y487" s="47"/>
      <c r="Z487" s="47"/>
      <c r="AM487" s="185" t="e">
        <f>VLOOKUP(CLEAN(H487),#REF!,7,FALSE)</f>
        <v>#REF!</v>
      </c>
      <c r="AO487"/>
      <c r="AP487"/>
      <c r="AQ487"/>
      <c r="AR487" s="2" t="e">
        <f>VLOOKUP(CLEAN(H487),#REF!,2,FALSE)</f>
        <v>#REF!</v>
      </c>
      <c r="AZ487" s="2" t="e">
        <f>VLOOKUP(H487,#REF!,2,FALSE)</f>
        <v>#REF!</v>
      </c>
      <c r="BO487" s="2" t="e">
        <f>VLOOKUP(H487,#REF!,13,FALSE)</f>
        <v>#REF!</v>
      </c>
      <c r="BQ487" s="2" t="e">
        <f>VLOOKUP(H487,#REF!,13,FALSE)</f>
        <v>#REF!</v>
      </c>
    </row>
    <row r="488" spans="1:70" ht="15" customHeight="1" outlineLevel="2">
      <c r="A488" s="7"/>
      <c r="B488" s="7"/>
      <c r="C488" s="7"/>
      <c r="D488" s="7"/>
      <c r="E488" s="7"/>
      <c r="F488" s="7"/>
      <c r="G488" s="7"/>
      <c r="H488" s="11"/>
      <c r="I488" s="11"/>
      <c r="J488" s="11"/>
      <c r="K488" s="11"/>
      <c r="L488" s="292"/>
      <c r="M488" s="22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47"/>
      <c r="Z488" s="47"/>
      <c r="AM488" s="185" t="e">
        <f>VLOOKUP(CLEAN(H488),#REF!,7,FALSE)</f>
        <v>#REF!</v>
      </c>
      <c r="AO488"/>
      <c r="AP488"/>
      <c r="AQ488"/>
      <c r="AR488" s="2" t="e">
        <f>VLOOKUP(CLEAN(H488),#REF!,2,FALSE)</f>
        <v>#REF!</v>
      </c>
      <c r="AZ488" s="2" t="e">
        <f>VLOOKUP(H488,#REF!,2,FALSE)</f>
        <v>#REF!</v>
      </c>
      <c r="BO488" s="2" t="e">
        <f>VLOOKUP(H488,#REF!,13,FALSE)</f>
        <v>#REF!</v>
      </c>
      <c r="BP488" s="293"/>
      <c r="BQ488" s="2" t="e">
        <f>VLOOKUP(H488,#REF!,13,FALSE)</f>
        <v>#REF!</v>
      </c>
    </row>
    <row r="489" spans="1:70" ht="15" customHeight="1" outlineLevel="2">
      <c r="A489" s="7"/>
      <c r="B489" s="7"/>
      <c r="C489" s="7"/>
      <c r="D489" s="7"/>
      <c r="E489" s="7"/>
      <c r="F489" s="7"/>
      <c r="G489" s="7"/>
      <c r="H489" s="11"/>
      <c r="I489" s="11"/>
      <c r="J489" s="11"/>
      <c r="K489" s="11"/>
      <c r="L489" s="18" t="s">
        <v>701</v>
      </c>
      <c r="M489" s="22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47"/>
      <c r="Z489" s="47"/>
      <c r="AM489" s="185" t="e">
        <f>VLOOKUP(CLEAN(H489),#REF!,7,FALSE)</f>
        <v>#REF!</v>
      </c>
      <c r="AO489"/>
      <c r="AP489"/>
      <c r="AQ489"/>
      <c r="AR489" s="2" t="e">
        <f>VLOOKUP(CLEAN(H489),#REF!,2,FALSE)</f>
        <v>#REF!</v>
      </c>
      <c r="AZ489" s="2" t="e">
        <f>VLOOKUP(H489,#REF!,2,FALSE)</f>
        <v>#REF!</v>
      </c>
      <c r="BO489" s="2" t="e">
        <f>VLOOKUP(H489,#REF!,13,FALSE)</f>
        <v>#REF!</v>
      </c>
      <c r="BQ489" s="2" t="e">
        <f>VLOOKUP(H489,#REF!,13,FALSE)</f>
        <v>#REF!</v>
      </c>
    </row>
    <row r="490" spans="1:70" s="2" customFormat="1" ht="15" customHeight="1" outlineLevel="2">
      <c r="A490" s="5">
        <v>31</v>
      </c>
      <c r="B490" s="5" t="s">
        <v>54</v>
      </c>
      <c r="C490" s="5" t="s">
        <v>241</v>
      </c>
      <c r="D490" s="5" t="s">
        <v>22</v>
      </c>
      <c r="E490" s="5" t="s">
        <v>110</v>
      </c>
      <c r="F490" s="5" t="s">
        <v>89</v>
      </c>
      <c r="G490" s="5" t="s">
        <v>144</v>
      </c>
      <c r="H490" s="12">
        <v>30396578</v>
      </c>
      <c r="I490" s="42" t="str">
        <f t="shared" ref="I490:I494" si="278">CONCATENATE(H490,"-",G490)</f>
        <v>30396578-EJECUCION</v>
      </c>
      <c r="J490" s="12"/>
      <c r="K490" s="307" t="str">
        <f t="shared" ref="K490:K494" si="279">CLEAN(H490)</f>
        <v>30396578</v>
      </c>
      <c r="L490" s="15" t="s">
        <v>277</v>
      </c>
      <c r="M490" s="23">
        <v>1965875000</v>
      </c>
      <c r="N490" s="34">
        <v>0</v>
      </c>
      <c r="O490" s="34">
        <f>196587500+982556002-28209514-188961000-46054009-28151547-40000000-200000000+98476294</f>
        <v>746243726</v>
      </c>
      <c r="P490" s="310">
        <v>0</v>
      </c>
      <c r="Q490" s="34">
        <v>0</v>
      </c>
      <c r="R490" s="308">
        <v>0</v>
      </c>
      <c r="S490" s="34">
        <f t="shared" ref="S490:S494" si="280">P490+Q490+R490</f>
        <v>0</v>
      </c>
      <c r="T490" s="34">
        <v>0</v>
      </c>
      <c r="U490" s="34">
        <v>0</v>
      </c>
      <c r="V490" s="34">
        <f>P490+Q490+R490+T490+U490</f>
        <v>0</v>
      </c>
      <c r="W490" s="34">
        <f>O490-V490</f>
        <v>746243726</v>
      </c>
      <c r="X490" s="34">
        <f>M490-(N490+O490)</f>
        <v>1219631274</v>
      </c>
      <c r="Y490" s="48" t="s">
        <v>243</v>
      </c>
      <c r="Z490" s="48" t="s">
        <v>10</v>
      </c>
      <c r="AA490" s="2" t="s">
        <v>843</v>
      </c>
      <c r="AB490" s="2" t="e">
        <f>VLOOKUP(H490,#REF!,2,FALSE)</f>
        <v>#REF!</v>
      </c>
      <c r="AC490" s="2" t="e">
        <f>VLOOKUP(I490,#REF!,2,FALSE)</f>
        <v>#REF!</v>
      </c>
      <c r="AD490" s="2" t="e">
        <f>VLOOKUP(H490,#REF!,13,FALSE)</f>
        <v>#REF!</v>
      </c>
      <c r="AE490" s="2" t="e">
        <f>VLOOKUP(I490,#REF!,7,FALSE)</f>
        <v>#REF!</v>
      </c>
      <c r="AG490" s="2" t="e">
        <f>VLOOKUP(H490,#REF!,13,FALSE)</f>
        <v>#REF!</v>
      </c>
      <c r="AH490" s="2" t="e">
        <f>VLOOKUP(I490,#REF!,2,FALSE)</f>
        <v>#REF!</v>
      </c>
      <c r="AJ490" s="185" t="e">
        <f>VLOOKUP(H490,#REF!,3,FALSE)</f>
        <v>#REF!</v>
      </c>
      <c r="AK490" s="185"/>
      <c r="AL490" s="185" t="e">
        <f>VLOOKUP(H490,#REF!,13,FALSE)</f>
        <v>#REF!</v>
      </c>
      <c r="AM490" s="185" t="e">
        <f>VLOOKUP(CLEAN(H490),#REF!,7,FALSE)</f>
        <v>#REF!</v>
      </c>
      <c r="AN490" s="2" t="e">
        <f>VLOOKUP(H490,#REF!,8,FALSE)</f>
        <v>#REF!</v>
      </c>
      <c r="AO490" s="189" t="e">
        <f>VLOOKUP(H490,#REF!,2,FALSE)</f>
        <v>#REF!</v>
      </c>
      <c r="AP490" s="189" t="e">
        <f>VLOOKUP(H490,#REF!,2,FALSE)</f>
        <v>#REF!</v>
      </c>
      <c r="AQ490" s="189"/>
      <c r="AR490" s="2" t="e">
        <f>VLOOKUP(CLEAN(H490),#REF!,2,FALSE)</f>
        <v>#REF!</v>
      </c>
      <c r="AT490" s="2" t="e">
        <f>VLOOKUP(H490,#REF!,13,FALSE)</f>
        <v>#REF!</v>
      </c>
      <c r="AU490" s="2" t="e">
        <f>VLOOKUP(H490,#REF!,13,FALSE)</f>
        <v>#REF!</v>
      </c>
      <c r="AV490" s="2" t="e">
        <f>VLOOKUP(H490,#REF!,13,FALSE)</f>
        <v>#REF!</v>
      </c>
      <c r="AW490" s="2" t="e">
        <f>VLOOKUP(H490,#REF!,13,FALSE)</f>
        <v>#REF!</v>
      </c>
      <c r="AX490" s="2" t="e">
        <f>VLOOKUP(H490,#REF!,9,FALSE)</f>
        <v>#REF!</v>
      </c>
      <c r="AY490" s="2" t="e">
        <f>VLOOKUP(H490,#REF!,2,FALSE)</f>
        <v>#REF!</v>
      </c>
      <c r="AZ490" s="189" t="e">
        <f>VLOOKUP(H490,#REF!,2,FALSE)</f>
        <v>#REF!</v>
      </c>
      <c r="BF490" s="189" t="e">
        <f>VLOOKUP(CLEAN(H490),#REF!,2,FALSE)</f>
        <v>#REF!</v>
      </c>
      <c r="BG490" s="189" t="e">
        <f>T490-BF490</f>
        <v>#REF!</v>
      </c>
      <c r="BO490" s="2" t="e">
        <f>VLOOKUP(H490,#REF!,13,FALSE)</f>
        <v>#REF!</v>
      </c>
      <c r="BP490" s="2" t="e">
        <f>VLOOKUP(H490,#REF!,2,FALSE)</f>
        <v>#REF!</v>
      </c>
      <c r="BQ490" s="2" t="e">
        <f>VLOOKUP(H490,#REF!,13,FALSE)</f>
        <v>#REF!</v>
      </c>
      <c r="BR490" s="2" t="e">
        <f>VLOOKUP(H490,#REF!,3,FALSE)</f>
        <v>#REF!</v>
      </c>
    </row>
    <row r="491" spans="1:70" s="2" customFormat="1" ht="15" customHeight="1" outlineLevel="2">
      <c r="A491" s="5">
        <v>29</v>
      </c>
      <c r="B491" s="5" t="s">
        <v>54</v>
      </c>
      <c r="C491" s="5" t="s">
        <v>242</v>
      </c>
      <c r="D491" s="5" t="s">
        <v>22</v>
      </c>
      <c r="E491" s="5" t="s">
        <v>110</v>
      </c>
      <c r="F491" s="5" t="s">
        <v>457</v>
      </c>
      <c r="G491" s="5" t="s">
        <v>144</v>
      </c>
      <c r="H491" s="12">
        <v>30488884</v>
      </c>
      <c r="I491" s="42" t="str">
        <f t="shared" si="278"/>
        <v>30488884-EJECUCION</v>
      </c>
      <c r="J491" s="12"/>
      <c r="K491" s="307" t="str">
        <f t="shared" si="279"/>
        <v>30488884</v>
      </c>
      <c r="L491" s="15" t="s">
        <v>637</v>
      </c>
      <c r="M491" s="23">
        <v>249188000</v>
      </c>
      <c r="N491" s="34">
        <v>0</v>
      </c>
      <c r="O491" s="23">
        <v>249188000</v>
      </c>
      <c r="P491" s="310">
        <v>0</v>
      </c>
      <c r="Q491" s="34">
        <v>0</v>
      </c>
      <c r="R491" s="308">
        <v>0</v>
      </c>
      <c r="S491" s="34">
        <f t="shared" si="280"/>
        <v>0</v>
      </c>
      <c r="T491" s="34">
        <v>0</v>
      </c>
      <c r="U491" s="34">
        <v>0</v>
      </c>
      <c r="V491" s="34">
        <f>P491+Q491+R491+T491+U491</f>
        <v>0</v>
      </c>
      <c r="W491" s="34">
        <f>O491-V491</f>
        <v>249188000</v>
      </c>
      <c r="X491" s="34">
        <f>M491-(N491+O491)</f>
        <v>0</v>
      </c>
      <c r="Y491" s="48" t="s">
        <v>243</v>
      </c>
      <c r="Z491" s="48" t="s">
        <v>10</v>
      </c>
      <c r="AA491" s="2" t="e">
        <v>#N/A</v>
      </c>
      <c r="AB491" s="2" t="e">
        <f>VLOOKUP(H491,#REF!,2,FALSE)</f>
        <v>#REF!</v>
      </c>
      <c r="AC491" s="2" t="e">
        <f>VLOOKUP(I491,#REF!,2,FALSE)</f>
        <v>#REF!</v>
      </c>
      <c r="AD491" s="2" t="e">
        <f>VLOOKUP(H491,#REF!,13,FALSE)</f>
        <v>#REF!</v>
      </c>
      <c r="AE491" s="2" t="e">
        <f>VLOOKUP(I491,#REF!,7,FALSE)</f>
        <v>#REF!</v>
      </c>
      <c r="AG491" s="2" t="e">
        <f>VLOOKUP(H491,#REF!,13,FALSE)</f>
        <v>#REF!</v>
      </c>
      <c r="AH491" s="2" t="e">
        <f>VLOOKUP(I491,#REF!,2,FALSE)</f>
        <v>#REF!</v>
      </c>
      <c r="AJ491" s="185" t="e">
        <f>VLOOKUP(H491,#REF!,3,FALSE)</f>
        <v>#REF!</v>
      </c>
      <c r="AK491" s="185"/>
      <c r="AL491" s="185" t="e">
        <f>VLOOKUP(H491,#REF!,13,FALSE)</f>
        <v>#REF!</v>
      </c>
      <c r="AM491" s="185" t="e">
        <f>VLOOKUP(CLEAN(H491),#REF!,7,FALSE)</f>
        <v>#REF!</v>
      </c>
      <c r="AN491" s="2" t="e">
        <f>VLOOKUP(H491,#REF!,8,FALSE)</f>
        <v>#REF!</v>
      </c>
      <c r="AO491" s="189" t="e">
        <f>VLOOKUP(H491,#REF!,2,FALSE)</f>
        <v>#REF!</v>
      </c>
      <c r="AP491" s="189" t="e">
        <f>VLOOKUP(H491,#REF!,2,FALSE)</f>
        <v>#REF!</v>
      </c>
      <c r="AQ491" s="189"/>
      <c r="AR491" s="2" t="e">
        <f>VLOOKUP(CLEAN(H491),#REF!,2,FALSE)</f>
        <v>#REF!</v>
      </c>
      <c r="AT491" s="2" t="e">
        <f>VLOOKUP(H491,#REF!,13,FALSE)</f>
        <v>#REF!</v>
      </c>
      <c r="AU491" s="2" t="e">
        <f>VLOOKUP(H491,#REF!,13,FALSE)</f>
        <v>#REF!</v>
      </c>
      <c r="AV491" s="2" t="e">
        <f>VLOOKUP(H491,#REF!,13,FALSE)</f>
        <v>#REF!</v>
      </c>
      <c r="AW491" s="2" t="e">
        <f>VLOOKUP(H491,#REF!,13,FALSE)</f>
        <v>#REF!</v>
      </c>
      <c r="AX491" s="2" t="e">
        <f>VLOOKUP(H491,#REF!,9,FALSE)</f>
        <v>#REF!</v>
      </c>
      <c r="AY491" s="2" t="e">
        <f>VLOOKUP(H491,#REF!,2,FALSE)</f>
        <v>#REF!</v>
      </c>
      <c r="AZ491" s="189" t="e">
        <f>VLOOKUP(H491,#REF!,2,FALSE)</f>
        <v>#REF!</v>
      </c>
      <c r="BF491" s="189" t="e">
        <f>VLOOKUP(CLEAN(H491),#REF!,2,FALSE)</f>
        <v>#REF!</v>
      </c>
      <c r="BG491" s="189" t="e">
        <f>T491-BF491</f>
        <v>#REF!</v>
      </c>
      <c r="BO491" s="2" t="e">
        <f>VLOOKUP(H491,#REF!,13,FALSE)</f>
        <v>#REF!</v>
      </c>
      <c r="BP491" s="2" t="e">
        <f>VLOOKUP(H491,#REF!,2,FALSE)</f>
        <v>#REF!</v>
      </c>
      <c r="BQ491" s="2" t="e">
        <f>VLOOKUP(H491,#REF!,13,FALSE)</f>
        <v>#REF!</v>
      </c>
      <c r="BR491" s="2" t="e">
        <f>VLOOKUP(H491,#REF!,3,FALSE)</f>
        <v>#REF!</v>
      </c>
    </row>
    <row r="492" spans="1:70" s="2" customFormat="1" ht="15" customHeight="1" outlineLevel="2">
      <c r="A492" s="5">
        <v>24</v>
      </c>
      <c r="B492" s="5" t="s">
        <v>54</v>
      </c>
      <c r="C492" s="5" t="s">
        <v>238</v>
      </c>
      <c r="D492" s="5" t="s">
        <v>22</v>
      </c>
      <c r="E492" s="5" t="s">
        <v>110</v>
      </c>
      <c r="F492" s="5" t="s">
        <v>457</v>
      </c>
      <c r="G492" s="5" t="s">
        <v>144</v>
      </c>
      <c r="H492" s="12" t="s">
        <v>374</v>
      </c>
      <c r="I492" s="42" t="str">
        <f t="shared" si="278"/>
        <v>SUBT 24-EJECUCION</v>
      </c>
      <c r="J492" s="12"/>
      <c r="K492" s="307" t="str">
        <f t="shared" si="279"/>
        <v>SUBT 24</v>
      </c>
      <c r="L492" s="15" t="s">
        <v>375</v>
      </c>
      <c r="M492" s="23">
        <v>418628558</v>
      </c>
      <c r="N492" s="34">
        <v>0</v>
      </c>
      <c r="O492" s="23">
        <v>418628558.37150991</v>
      </c>
      <c r="P492" s="310">
        <v>0</v>
      </c>
      <c r="Q492" s="34">
        <v>0</v>
      </c>
      <c r="R492" s="308">
        <v>0</v>
      </c>
      <c r="S492" s="34">
        <f t="shared" si="280"/>
        <v>0</v>
      </c>
      <c r="T492" s="34">
        <v>1317274</v>
      </c>
      <c r="U492" s="34">
        <v>0</v>
      </c>
      <c r="V492" s="34">
        <f>P492+Q492+R492+T492+U492</f>
        <v>1317274</v>
      </c>
      <c r="W492" s="34">
        <f>O492-V492</f>
        <v>417311284.37150991</v>
      </c>
      <c r="X492" s="34">
        <f>M492-(N492+O492)</f>
        <v>-0.37150990962982178</v>
      </c>
      <c r="Y492" s="48" t="s">
        <v>419</v>
      </c>
      <c r="Z492" s="48" t="s">
        <v>256</v>
      </c>
      <c r="AA492" s="2" t="e">
        <v>#N/A</v>
      </c>
      <c r="AB492" s="2" t="e">
        <f>VLOOKUP(H492,#REF!,2,FALSE)</f>
        <v>#REF!</v>
      </c>
      <c r="AC492" s="2" t="e">
        <f>VLOOKUP(I492,#REF!,2,FALSE)</f>
        <v>#REF!</v>
      </c>
      <c r="AD492" s="2" t="e">
        <f>VLOOKUP(H492,#REF!,13,FALSE)</f>
        <v>#REF!</v>
      </c>
      <c r="AE492" s="2" t="e">
        <f>VLOOKUP(I492,#REF!,7,FALSE)</f>
        <v>#REF!</v>
      </c>
      <c r="AG492" s="2" t="e">
        <f>VLOOKUP(H492,#REF!,13,FALSE)</f>
        <v>#REF!</v>
      </c>
      <c r="AH492" s="2" t="e">
        <f>VLOOKUP(I492,#REF!,2,FALSE)</f>
        <v>#REF!</v>
      </c>
      <c r="AJ492" s="185" t="e">
        <f>VLOOKUP(H492,#REF!,3,FALSE)</f>
        <v>#REF!</v>
      </c>
      <c r="AK492" s="185"/>
      <c r="AL492" s="185"/>
      <c r="AM492" s="185" t="e">
        <f>VLOOKUP(CLEAN(H492),#REF!,7,FALSE)</f>
        <v>#REF!</v>
      </c>
      <c r="AN492" s="2" t="e">
        <f>VLOOKUP(H492,#REF!,8,FALSE)</f>
        <v>#REF!</v>
      </c>
      <c r="AO492" s="189" t="e">
        <f>VLOOKUP(H492,#REF!,2,FALSE)</f>
        <v>#REF!</v>
      </c>
      <c r="AP492" s="189" t="e">
        <f>VLOOKUP(H492,#REF!,2,FALSE)</f>
        <v>#REF!</v>
      </c>
      <c r="AQ492" s="189"/>
      <c r="AR492" s="2" t="e">
        <f>VLOOKUP(CLEAN(H492),#REF!,2,FALSE)</f>
        <v>#REF!</v>
      </c>
      <c r="AT492" s="2" t="e">
        <f>VLOOKUP(H492,#REF!,13,FALSE)</f>
        <v>#REF!</v>
      </c>
      <c r="AU492" s="2" t="e">
        <f>VLOOKUP(H492,#REF!,13,FALSE)</f>
        <v>#REF!</v>
      </c>
      <c r="AV492" s="2" t="e">
        <f>VLOOKUP(H492,#REF!,13,FALSE)</f>
        <v>#REF!</v>
      </c>
      <c r="AW492" s="2" t="e">
        <f>VLOOKUP(H492,#REF!,13,FALSE)</f>
        <v>#REF!</v>
      </c>
      <c r="AX492" s="2" t="e">
        <f>VLOOKUP(H492,#REF!,9,FALSE)</f>
        <v>#REF!</v>
      </c>
      <c r="AZ492" s="2" t="e">
        <f>VLOOKUP(H492,#REF!,2,FALSE)</f>
        <v>#REF!</v>
      </c>
      <c r="BF492" s="189" t="e">
        <f>VLOOKUP(CLEAN(H492),#REF!,2,FALSE)</f>
        <v>#REF!</v>
      </c>
      <c r="BG492" s="189" t="e">
        <f>T492-BF492</f>
        <v>#REF!</v>
      </c>
      <c r="BO492" s="2" t="e">
        <f>VLOOKUP(H492,#REF!,13,FALSE)</f>
        <v>#REF!</v>
      </c>
      <c r="BP492" s="2" t="e">
        <f>VLOOKUP(H492,#REF!,2,FALSE)</f>
        <v>#REF!</v>
      </c>
      <c r="BQ492" s="2" t="e">
        <f>VLOOKUP(H492,#REF!,13,FALSE)</f>
        <v>#REF!</v>
      </c>
      <c r="BR492" s="2" t="e">
        <f>VLOOKUP(H492,#REF!,3,FALSE)</f>
        <v>#REF!</v>
      </c>
    </row>
    <row r="493" spans="1:70" s="2" customFormat="1" ht="15" customHeight="1" outlineLevel="2">
      <c r="A493" s="5">
        <v>24</v>
      </c>
      <c r="B493" s="5" t="s">
        <v>54</v>
      </c>
      <c r="C493" s="5" t="s">
        <v>253</v>
      </c>
      <c r="D493" s="5" t="s">
        <v>22</v>
      </c>
      <c r="E493" s="5" t="s">
        <v>110</v>
      </c>
      <c r="F493" s="5" t="s">
        <v>457</v>
      </c>
      <c r="G493" s="5" t="s">
        <v>144</v>
      </c>
      <c r="H493" s="12" t="s">
        <v>374</v>
      </c>
      <c r="I493" s="42" t="str">
        <f t="shared" si="278"/>
        <v>SUBT 24-EJECUCION</v>
      </c>
      <c r="J493" s="12"/>
      <c r="K493" s="307" t="str">
        <f t="shared" si="279"/>
        <v>SUBT 24</v>
      </c>
      <c r="L493" s="15" t="s">
        <v>376</v>
      </c>
      <c r="M493" s="23">
        <v>418628558</v>
      </c>
      <c r="N493" s="34">
        <v>0</v>
      </c>
      <c r="O493" s="23">
        <v>418628558.37150991</v>
      </c>
      <c r="P493" s="310">
        <v>0</v>
      </c>
      <c r="Q493" s="34">
        <v>0</v>
      </c>
      <c r="R493" s="308">
        <v>0</v>
      </c>
      <c r="S493" s="34">
        <f t="shared" si="280"/>
        <v>0</v>
      </c>
      <c r="T493" s="34">
        <v>0</v>
      </c>
      <c r="U493" s="34">
        <v>0</v>
      </c>
      <c r="V493" s="34">
        <f>P493+Q493+R493+T493+U493</f>
        <v>0</v>
      </c>
      <c r="W493" s="34">
        <f>O493-V493</f>
        <v>418628558.37150991</v>
      </c>
      <c r="X493" s="34">
        <f>M493-(N493+O493)</f>
        <v>-0.37150990962982178</v>
      </c>
      <c r="Y493" s="48" t="s">
        <v>419</v>
      </c>
      <c r="Z493" s="48" t="s">
        <v>256</v>
      </c>
      <c r="AA493" s="2" t="e">
        <v>#N/A</v>
      </c>
      <c r="AB493" s="2" t="e">
        <f>VLOOKUP(H493,#REF!,2,FALSE)</f>
        <v>#REF!</v>
      </c>
      <c r="AC493" s="2" t="e">
        <f>VLOOKUP(I493,#REF!,2,FALSE)</f>
        <v>#REF!</v>
      </c>
      <c r="AD493" s="2" t="e">
        <f>VLOOKUP(H493,#REF!,13,FALSE)</f>
        <v>#REF!</v>
      </c>
      <c r="AE493" s="2" t="e">
        <f>VLOOKUP(I493,#REF!,7,FALSE)</f>
        <v>#REF!</v>
      </c>
      <c r="AG493" s="2" t="e">
        <f>VLOOKUP(H493,#REF!,13,FALSE)</f>
        <v>#REF!</v>
      </c>
      <c r="AH493" s="2" t="e">
        <f>VLOOKUP(I493,#REF!,2,FALSE)</f>
        <v>#REF!</v>
      </c>
      <c r="AJ493" s="185" t="e">
        <f>VLOOKUP(H493,#REF!,3,FALSE)</f>
        <v>#REF!</v>
      </c>
      <c r="AK493" s="185"/>
      <c r="AL493" s="185"/>
      <c r="AM493" s="185" t="e">
        <f>VLOOKUP(CLEAN(H493),#REF!,7,FALSE)</f>
        <v>#REF!</v>
      </c>
      <c r="AN493" s="2" t="e">
        <f>VLOOKUP(H493,#REF!,8,FALSE)</f>
        <v>#REF!</v>
      </c>
      <c r="AO493" s="189" t="e">
        <f>VLOOKUP(H493,#REF!,2,FALSE)</f>
        <v>#REF!</v>
      </c>
      <c r="AP493" s="189" t="e">
        <f>VLOOKUP(H493,#REF!,2,FALSE)</f>
        <v>#REF!</v>
      </c>
      <c r="AQ493" s="189"/>
      <c r="AR493" s="2" t="e">
        <f>VLOOKUP(CLEAN(H493),#REF!,2,FALSE)</f>
        <v>#REF!</v>
      </c>
      <c r="AT493" s="2" t="e">
        <f>VLOOKUP(H493,#REF!,13,FALSE)</f>
        <v>#REF!</v>
      </c>
      <c r="AU493" s="2" t="e">
        <f>VLOOKUP(H493,#REF!,13,FALSE)</f>
        <v>#REF!</v>
      </c>
      <c r="AV493" s="2" t="e">
        <f>VLOOKUP(H493,#REF!,13,FALSE)</f>
        <v>#REF!</v>
      </c>
      <c r="AW493" s="2" t="e">
        <f>VLOOKUP(H493,#REF!,13,FALSE)</f>
        <v>#REF!</v>
      </c>
      <c r="AX493" s="2" t="e">
        <f>VLOOKUP(H493,#REF!,9,FALSE)</f>
        <v>#REF!</v>
      </c>
      <c r="AZ493" s="2" t="e">
        <f>VLOOKUP(H493,#REF!,2,FALSE)</f>
        <v>#REF!</v>
      </c>
      <c r="BF493" s="189" t="e">
        <f>VLOOKUP(CLEAN(H493),#REF!,2,FALSE)</f>
        <v>#REF!</v>
      </c>
      <c r="BG493" s="189" t="e">
        <f>T493-BF493</f>
        <v>#REF!</v>
      </c>
      <c r="BO493" s="2" t="e">
        <f>VLOOKUP(H493,#REF!,13,FALSE)</f>
        <v>#REF!</v>
      </c>
      <c r="BP493" s="2" t="e">
        <f>VLOOKUP(H493,#REF!,2,FALSE)</f>
        <v>#REF!</v>
      </c>
      <c r="BQ493" s="2" t="e">
        <f>VLOOKUP(H493,#REF!,13,FALSE)</f>
        <v>#REF!</v>
      </c>
      <c r="BR493" s="2" t="e">
        <f>VLOOKUP(H493,#REF!,3,FALSE)</f>
        <v>#REF!</v>
      </c>
    </row>
    <row r="494" spans="1:70" s="2" customFormat="1" ht="15" customHeight="1" outlineLevel="2">
      <c r="A494" s="5">
        <v>24</v>
      </c>
      <c r="B494" s="5" t="s">
        <v>54</v>
      </c>
      <c r="C494" s="5" t="s">
        <v>242</v>
      </c>
      <c r="D494" s="5" t="s">
        <v>22</v>
      </c>
      <c r="E494" s="5" t="s">
        <v>110</v>
      </c>
      <c r="F494" s="5" t="s">
        <v>457</v>
      </c>
      <c r="G494" s="5" t="s">
        <v>144</v>
      </c>
      <c r="H494" s="12" t="s">
        <v>374</v>
      </c>
      <c r="I494" s="42" t="str">
        <f t="shared" si="278"/>
        <v>SUBT 24-EJECUCION</v>
      </c>
      <c r="J494" s="12"/>
      <c r="K494" s="307" t="str">
        <f t="shared" si="279"/>
        <v>SUBT 24</v>
      </c>
      <c r="L494" s="15" t="s">
        <v>377</v>
      </c>
      <c r="M494" s="23">
        <v>418628558</v>
      </c>
      <c r="N494" s="34">
        <v>0</v>
      </c>
      <c r="O494" s="23">
        <v>418628558.37150991</v>
      </c>
      <c r="P494" s="310">
        <v>0</v>
      </c>
      <c r="Q494" s="34">
        <v>0</v>
      </c>
      <c r="R494" s="308">
        <v>0</v>
      </c>
      <c r="S494" s="34">
        <f t="shared" si="280"/>
        <v>0</v>
      </c>
      <c r="T494" s="34">
        <v>0</v>
      </c>
      <c r="U494" s="34">
        <v>0</v>
      </c>
      <c r="V494" s="34">
        <f>P494+Q494+R494+T494+U494</f>
        <v>0</v>
      </c>
      <c r="W494" s="34">
        <f>O494-V494</f>
        <v>418628558.37150991</v>
      </c>
      <c r="X494" s="34">
        <f>M494-(N494+O494)</f>
        <v>-0.37150990962982178</v>
      </c>
      <c r="Y494" s="48" t="s">
        <v>419</v>
      </c>
      <c r="Z494" s="48" t="s">
        <v>256</v>
      </c>
      <c r="AA494" s="2" t="e">
        <v>#N/A</v>
      </c>
      <c r="AB494" s="2" t="e">
        <f>VLOOKUP(H494,#REF!,2,FALSE)</f>
        <v>#REF!</v>
      </c>
      <c r="AC494" s="2" t="e">
        <f>VLOOKUP(I494,#REF!,2,FALSE)</f>
        <v>#REF!</v>
      </c>
      <c r="AD494" s="2" t="e">
        <f>VLOOKUP(H494,#REF!,13,FALSE)</f>
        <v>#REF!</v>
      </c>
      <c r="AE494" s="2" t="e">
        <f>VLOOKUP(I494,#REF!,7,FALSE)</f>
        <v>#REF!</v>
      </c>
      <c r="AG494" s="2" t="e">
        <f>VLOOKUP(H494,#REF!,13,FALSE)</f>
        <v>#REF!</v>
      </c>
      <c r="AH494" s="2" t="e">
        <f>VLOOKUP(I494,#REF!,2,FALSE)</f>
        <v>#REF!</v>
      </c>
      <c r="AJ494" s="185" t="e">
        <f>VLOOKUP(H494,#REF!,3,FALSE)</f>
        <v>#REF!</v>
      </c>
      <c r="AK494" s="185"/>
      <c r="AL494" s="185"/>
      <c r="AM494" s="185" t="e">
        <f>VLOOKUP(CLEAN(H494),#REF!,7,FALSE)</f>
        <v>#REF!</v>
      </c>
      <c r="AN494" s="2" t="e">
        <f>VLOOKUP(H494,#REF!,8,FALSE)</f>
        <v>#REF!</v>
      </c>
      <c r="AO494" s="189" t="e">
        <f>VLOOKUP(H494,#REF!,2,FALSE)</f>
        <v>#REF!</v>
      </c>
      <c r="AP494" s="189" t="e">
        <f>VLOOKUP(H494,#REF!,2,FALSE)</f>
        <v>#REF!</v>
      </c>
      <c r="AQ494" s="189"/>
      <c r="AR494" s="2" t="e">
        <f>VLOOKUP(CLEAN(H494),#REF!,2,FALSE)</f>
        <v>#REF!</v>
      </c>
      <c r="AT494" s="2" t="e">
        <f>VLOOKUP(H494,#REF!,13,FALSE)</f>
        <v>#REF!</v>
      </c>
      <c r="AU494" s="2" t="e">
        <f>VLOOKUP(H494,#REF!,13,FALSE)</f>
        <v>#REF!</v>
      </c>
      <c r="AV494" s="2" t="e">
        <f>VLOOKUP(H494,#REF!,13,FALSE)</f>
        <v>#REF!</v>
      </c>
      <c r="AW494" s="2" t="e">
        <f>VLOOKUP(H494,#REF!,13,FALSE)</f>
        <v>#REF!</v>
      </c>
      <c r="AX494" s="2" t="e">
        <f>VLOOKUP(H494,#REF!,9,FALSE)</f>
        <v>#REF!</v>
      </c>
      <c r="AZ494" s="2" t="e">
        <f>VLOOKUP(H494,#REF!,2,FALSE)</f>
        <v>#REF!</v>
      </c>
      <c r="BF494" s="189" t="e">
        <f>VLOOKUP(CLEAN(H494),#REF!,2,FALSE)</f>
        <v>#REF!</v>
      </c>
      <c r="BG494" s="189" t="e">
        <f>T494-BF494</f>
        <v>#REF!</v>
      </c>
      <c r="BO494" s="2" t="e">
        <f>VLOOKUP(H494,#REF!,13,FALSE)</f>
        <v>#REF!</v>
      </c>
      <c r="BP494" s="2" t="e">
        <f>VLOOKUP(H494,#REF!,2,FALSE)</f>
        <v>#REF!</v>
      </c>
      <c r="BQ494" s="2" t="e">
        <f>VLOOKUP(H494,#REF!,13,FALSE)</f>
        <v>#REF!</v>
      </c>
      <c r="BR494" s="2" t="e">
        <f>VLOOKUP(H494,#REF!,3,FALSE)</f>
        <v>#REF!</v>
      </c>
    </row>
    <row r="495" spans="1:70" ht="15" customHeight="1" outlineLevel="2">
      <c r="A495" s="7"/>
      <c r="B495" s="7"/>
      <c r="C495" s="7"/>
      <c r="D495" s="7"/>
      <c r="E495" s="7"/>
      <c r="F495" s="7"/>
      <c r="G495" s="7"/>
      <c r="H495" s="11"/>
      <c r="I495" s="11"/>
      <c r="J495" s="11"/>
      <c r="K495" s="11"/>
      <c r="L495" s="17" t="s">
        <v>702</v>
      </c>
      <c r="M495" s="27">
        <f t="shared" ref="M495:X495" si="281">SUBTOTAL(9,M490:M494)</f>
        <v>3470948674</v>
      </c>
      <c r="N495" s="27">
        <f t="shared" si="281"/>
        <v>0</v>
      </c>
      <c r="O495" s="27">
        <f t="shared" si="281"/>
        <v>2251317401.1145301</v>
      </c>
      <c r="P495" s="24">
        <f t="shared" si="281"/>
        <v>0</v>
      </c>
      <c r="Q495" s="24">
        <f t="shared" si="281"/>
        <v>0</v>
      </c>
      <c r="R495" s="24">
        <f t="shared" si="281"/>
        <v>0</v>
      </c>
      <c r="S495" s="27">
        <f t="shared" si="281"/>
        <v>0</v>
      </c>
      <c r="T495" s="27">
        <f t="shared" si="281"/>
        <v>1317274</v>
      </c>
      <c r="U495" s="27">
        <f t="shared" si="281"/>
        <v>0</v>
      </c>
      <c r="V495" s="27">
        <f t="shared" si="281"/>
        <v>1317274</v>
      </c>
      <c r="W495" s="27">
        <f t="shared" si="281"/>
        <v>2250000127.1145301</v>
      </c>
      <c r="X495" s="27">
        <f t="shared" si="281"/>
        <v>1219631272.8854699</v>
      </c>
      <c r="Y495" s="47"/>
      <c r="Z495" s="47"/>
      <c r="AM495" s="185" t="e">
        <f>VLOOKUP(CLEAN(H495),#REF!,7,FALSE)</f>
        <v>#REF!</v>
      </c>
      <c r="AO495"/>
      <c r="AP495"/>
      <c r="AQ495"/>
      <c r="AR495" s="2" t="e">
        <f>VLOOKUP(CLEAN(H495),#REF!,2,FALSE)</f>
        <v>#REF!</v>
      </c>
      <c r="AZ495" s="2" t="e">
        <f>VLOOKUP(H495,#REF!,2,FALSE)</f>
        <v>#REF!</v>
      </c>
      <c r="BO495" s="2" t="e">
        <f>VLOOKUP(H495,#REF!,13,FALSE)</f>
        <v>#REF!</v>
      </c>
      <c r="BQ495" s="2" t="e">
        <f>VLOOKUP(H495,#REF!,13,FALSE)</f>
        <v>#REF!</v>
      </c>
    </row>
    <row r="496" spans="1:70" ht="15" customHeight="1" outlineLevel="2">
      <c r="A496" s="7"/>
      <c r="B496" s="7"/>
      <c r="C496" s="7"/>
      <c r="D496" s="7"/>
      <c r="E496" s="7"/>
      <c r="F496" s="7"/>
      <c r="G496" s="7"/>
      <c r="H496" s="11"/>
      <c r="I496" s="11"/>
      <c r="J496" s="11"/>
      <c r="K496" s="11"/>
      <c r="L496" s="292"/>
      <c r="M496" s="22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47"/>
      <c r="Z496" s="47"/>
      <c r="AM496" s="185" t="e">
        <f>VLOOKUP(CLEAN(H496),#REF!,7,FALSE)</f>
        <v>#REF!</v>
      </c>
      <c r="AO496"/>
      <c r="AP496"/>
      <c r="AQ496"/>
      <c r="AR496" s="2" t="e">
        <f>VLOOKUP(CLEAN(H496),#REF!,2,FALSE)</f>
        <v>#REF!</v>
      </c>
      <c r="AZ496" s="2" t="e">
        <f>VLOOKUP(H496,#REF!,2,FALSE)</f>
        <v>#REF!</v>
      </c>
      <c r="BO496" s="2" t="e">
        <f>VLOOKUP(H496,#REF!,13,FALSE)</f>
        <v>#REF!</v>
      </c>
      <c r="BP496" s="293"/>
      <c r="BQ496" s="2" t="e">
        <f>VLOOKUP(H496,#REF!,13,FALSE)</f>
        <v>#REF!</v>
      </c>
    </row>
    <row r="497" spans="1:70" ht="15" customHeight="1" outlineLevel="1">
      <c r="A497" s="7"/>
      <c r="B497" s="7"/>
      <c r="C497" s="7"/>
      <c r="D497" s="7"/>
      <c r="E497" s="8"/>
      <c r="F497" s="7"/>
      <c r="G497" s="7"/>
      <c r="H497" s="11"/>
      <c r="I497" s="11"/>
      <c r="J497" s="11"/>
      <c r="K497" s="11"/>
      <c r="L497" s="16" t="s">
        <v>185</v>
      </c>
      <c r="M497" s="25">
        <f t="shared" ref="M497:X497" si="282">M495+M487</f>
        <v>16845385090</v>
      </c>
      <c r="N497" s="25">
        <f t="shared" si="282"/>
        <v>5630943773</v>
      </c>
      <c r="O497" s="25">
        <f t="shared" si="282"/>
        <v>5785452387.1145306</v>
      </c>
      <c r="P497" s="25">
        <f t="shared" si="282"/>
        <v>51208498</v>
      </c>
      <c r="Q497" s="25">
        <f t="shared" si="282"/>
        <v>473237902</v>
      </c>
      <c r="R497" s="25">
        <f t="shared" si="282"/>
        <v>419062247</v>
      </c>
      <c r="S497" s="25">
        <f t="shared" si="282"/>
        <v>943508647</v>
      </c>
      <c r="T497" s="25">
        <f t="shared" si="282"/>
        <v>467564724</v>
      </c>
      <c r="U497" s="25">
        <f t="shared" si="282"/>
        <v>334708547</v>
      </c>
      <c r="V497" s="25">
        <f t="shared" si="282"/>
        <v>1745781918</v>
      </c>
      <c r="W497" s="25">
        <f t="shared" si="282"/>
        <v>4039670469.1145301</v>
      </c>
      <c r="X497" s="25">
        <f t="shared" si="282"/>
        <v>5428988929.8854694</v>
      </c>
      <c r="Y497" s="47"/>
      <c r="Z497" s="47"/>
      <c r="AM497" s="185" t="e">
        <f>VLOOKUP(CLEAN(H497),#REF!,7,FALSE)</f>
        <v>#REF!</v>
      </c>
      <c r="AO497"/>
      <c r="AP497"/>
      <c r="AQ497"/>
      <c r="AR497" s="2" t="e">
        <f>VLOOKUP(CLEAN(H497),#REF!,2,FALSE)</f>
        <v>#REF!</v>
      </c>
      <c r="AZ497" s="2" t="e">
        <f>VLOOKUP(H497,#REF!,2,FALSE)</f>
        <v>#REF!</v>
      </c>
      <c r="BO497" s="2" t="e">
        <f>VLOOKUP(H497,#REF!,13,FALSE)</f>
        <v>#REF!</v>
      </c>
      <c r="BQ497" s="2" t="e">
        <f>VLOOKUP(H497,#REF!,13,FALSE)</f>
        <v>#REF!</v>
      </c>
    </row>
    <row r="498" spans="1:70" s="3" customFormat="1" ht="15" customHeight="1" outlineLevel="1">
      <c r="A498" s="7"/>
      <c r="B498" s="7"/>
      <c r="C498" s="7"/>
      <c r="D498" s="7"/>
      <c r="E498" s="8"/>
      <c r="F498" s="7"/>
      <c r="G498" s="7"/>
      <c r="H498" s="11"/>
      <c r="I498" s="11"/>
      <c r="J498" s="11"/>
      <c r="K498" s="11"/>
      <c r="L498" s="294"/>
      <c r="M498" s="26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47"/>
      <c r="Z498" s="47"/>
      <c r="AJ498" s="186"/>
      <c r="AK498" s="186"/>
      <c r="AL498" s="186"/>
      <c r="AM498" s="185" t="e">
        <f>VLOOKUP(CLEAN(H498),#REF!,7,FALSE)</f>
        <v>#REF!</v>
      </c>
      <c r="AR498" s="2" t="e">
        <f>VLOOKUP(CLEAN(H498),#REF!,2,FALSE)</f>
        <v>#REF!</v>
      </c>
      <c r="AZ498" s="2" t="e">
        <f>VLOOKUP(H498,#REF!,2,FALSE)</f>
        <v>#REF!</v>
      </c>
      <c r="BF498" s="193"/>
      <c r="BO498" s="2" t="e">
        <f>VLOOKUP(H498,#REF!,13,FALSE)</f>
        <v>#REF!</v>
      </c>
      <c r="BP498" s="7"/>
      <c r="BQ498" s="2" t="e">
        <f>VLOOKUP(H498,#REF!,13,FALSE)</f>
        <v>#REF!</v>
      </c>
    </row>
    <row r="499" spans="1:70" ht="18.75" customHeight="1" outlineLevel="1">
      <c r="A499" s="7"/>
      <c r="B499" s="7"/>
      <c r="C499" s="7"/>
      <c r="D499" s="7"/>
      <c r="E499" s="8"/>
      <c r="F499" s="7"/>
      <c r="G499" s="7"/>
      <c r="H499" s="11"/>
      <c r="I499" s="11"/>
      <c r="J499" s="11"/>
      <c r="K499" s="11"/>
      <c r="L499" s="45" t="s">
        <v>196</v>
      </c>
      <c r="M499" s="46">
        <f t="shared" ref="M499:X499" si="283">M497+M476+M439+M412+M382+M366+M333+M304+M279+M252</f>
        <v>145308938574</v>
      </c>
      <c r="N499" s="46">
        <f t="shared" si="283"/>
        <v>48251123583</v>
      </c>
      <c r="O499" s="46">
        <f t="shared" si="283"/>
        <v>25825850393.114532</v>
      </c>
      <c r="P499" s="46">
        <f t="shared" si="283"/>
        <v>532287268</v>
      </c>
      <c r="Q499" s="46">
        <f t="shared" si="283"/>
        <v>780167320</v>
      </c>
      <c r="R499" s="46">
        <f t="shared" si="283"/>
        <v>1494352016</v>
      </c>
      <c r="S499" s="46">
        <f t="shared" si="283"/>
        <v>2806806604</v>
      </c>
      <c r="T499" s="46">
        <f t="shared" si="283"/>
        <v>1179687450</v>
      </c>
      <c r="U499" s="46">
        <f t="shared" si="283"/>
        <v>1553014531</v>
      </c>
      <c r="V499" s="46">
        <f t="shared" si="283"/>
        <v>5539508585</v>
      </c>
      <c r="W499" s="46">
        <f t="shared" si="283"/>
        <v>20286341808.114532</v>
      </c>
      <c r="X499" s="46">
        <f t="shared" si="283"/>
        <v>71231964597.885468</v>
      </c>
      <c r="Y499" s="47"/>
      <c r="Z499" s="47"/>
      <c r="AM499" s="185" t="e">
        <f>VLOOKUP(CLEAN(H499),#REF!,7,FALSE)</f>
        <v>#REF!</v>
      </c>
      <c r="AO499"/>
      <c r="AP499"/>
      <c r="AQ499"/>
      <c r="AR499" s="2" t="e">
        <f>VLOOKUP(CLEAN(H499),#REF!,2,FALSE)</f>
        <v>#REF!</v>
      </c>
      <c r="AZ499" s="2" t="e">
        <f>VLOOKUP(H499,#REF!,2,FALSE)</f>
        <v>#REF!</v>
      </c>
      <c r="BO499" s="2" t="e">
        <f>VLOOKUP(H499,#REF!,13,FALSE)</f>
        <v>#REF!</v>
      </c>
      <c r="BQ499" s="2" t="e">
        <f>VLOOKUP(H499,#REF!,13,FALSE)</f>
        <v>#REF!</v>
      </c>
    </row>
    <row r="500" spans="1:70" s="3" customFormat="1" ht="15" customHeight="1" outlineLevel="1">
      <c r="A500" s="7"/>
      <c r="B500" s="7"/>
      <c r="C500" s="7"/>
      <c r="D500" s="7"/>
      <c r="E500" s="8"/>
      <c r="F500" s="7"/>
      <c r="G500" s="7"/>
      <c r="H500" s="11"/>
      <c r="I500" s="11"/>
      <c r="J500" s="11"/>
      <c r="K500" s="11"/>
      <c r="L500" s="294"/>
      <c r="M500" s="26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47"/>
      <c r="Z500" s="47"/>
      <c r="AJ500" s="186"/>
      <c r="AK500" s="186"/>
      <c r="AL500" s="186"/>
      <c r="AM500" s="185" t="e">
        <f>VLOOKUP(CLEAN(H500),#REF!,7,FALSE)</f>
        <v>#REF!</v>
      </c>
      <c r="AR500" s="2" t="e">
        <f>VLOOKUP(CLEAN(H500),#REF!,2,FALSE)</f>
        <v>#REF!</v>
      </c>
      <c r="AZ500" s="2" t="e">
        <f>VLOOKUP(H500,#REF!,2,FALSE)</f>
        <v>#REF!</v>
      </c>
      <c r="BF500" s="193"/>
      <c r="BO500" s="2" t="e">
        <f>VLOOKUP(H500,#REF!,13,FALSE)</f>
        <v>#REF!</v>
      </c>
      <c r="BP500" s="7"/>
      <c r="BQ500" s="2" t="e">
        <f>VLOOKUP(H500,#REF!,13,FALSE)</f>
        <v>#REF!</v>
      </c>
    </row>
    <row r="501" spans="1:70" s="3" customFormat="1" ht="26.25" customHeight="1" outlineLevel="1">
      <c r="A501" s="7"/>
      <c r="B501" s="7"/>
      <c r="C501" s="7"/>
      <c r="D501" s="7"/>
      <c r="E501" s="8"/>
      <c r="F501" s="7"/>
      <c r="G501" s="7"/>
      <c r="H501" s="11"/>
      <c r="I501" s="11"/>
      <c r="J501" s="11"/>
      <c r="K501" s="11"/>
      <c r="L501" s="57" t="s">
        <v>197</v>
      </c>
      <c r="M501" s="26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47"/>
      <c r="Z501" s="47"/>
      <c r="AJ501" s="186"/>
      <c r="AK501" s="186"/>
      <c r="AL501" s="186"/>
      <c r="AM501" s="185" t="e">
        <f>VLOOKUP(CLEAN(H501),#REF!,7,FALSE)</f>
        <v>#REF!</v>
      </c>
      <c r="AR501" s="2" t="e">
        <f>VLOOKUP(CLEAN(H501),#REF!,2,FALSE)</f>
        <v>#REF!</v>
      </c>
      <c r="AZ501" s="2" t="e">
        <f>VLOOKUP(H501,#REF!,2,FALSE)</f>
        <v>#REF!</v>
      </c>
      <c r="BF501" s="193"/>
      <c r="BO501" s="2" t="e">
        <f>VLOOKUP(H501,#REF!,13,FALSE)</f>
        <v>#REF!</v>
      </c>
      <c r="BQ501" s="2" t="e">
        <f>VLOOKUP(H501,#REF!,13,FALSE)</f>
        <v>#REF!</v>
      </c>
    </row>
    <row r="502" spans="1:70" s="3" customFormat="1" ht="15" customHeight="1" outlineLevel="1">
      <c r="A502" s="7"/>
      <c r="B502" s="7"/>
      <c r="C502" s="7"/>
      <c r="D502" s="7"/>
      <c r="E502" s="8"/>
      <c r="F502" s="7"/>
      <c r="G502" s="7"/>
      <c r="H502" s="11"/>
      <c r="I502" s="11"/>
      <c r="J502" s="11"/>
      <c r="K502" s="11"/>
      <c r="L502" s="18" t="s">
        <v>695</v>
      </c>
      <c r="M502" s="26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47"/>
      <c r="Z502" s="47"/>
      <c r="AJ502" s="186"/>
      <c r="AK502" s="186"/>
      <c r="AL502" s="186"/>
      <c r="AM502" s="185" t="e">
        <f>VLOOKUP(CLEAN(H502),#REF!,7,FALSE)</f>
        <v>#REF!</v>
      </c>
      <c r="AR502" s="2" t="e">
        <f>VLOOKUP(CLEAN(H502),#REF!,2,FALSE)</f>
        <v>#REF!</v>
      </c>
      <c r="AZ502" s="2" t="e">
        <f>VLOOKUP(H502,#REF!,2,FALSE)</f>
        <v>#REF!</v>
      </c>
      <c r="BF502" s="193"/>
      <c r="BO502" s="2" t="e">
        <f>VLOOKUP(H502,#REF!,13,FALSE)</f>
        <v>#REF!</v>
      </c>
      <c r="BQ502" s="2" t="e">
        <f>VLOOKUP(H502,#REF!,13,FALSE)</f>
        <v>#REF!</v>
      </c>
    </row>
    <row r="503" spans="1:70" s="2" customFormat="1" ht="15" customHeight="1" outlineLevel="2">
      <c r="A503" s="5">
        <v>31</v>
      </c>
      <c r="B503" s="5" t="s">
        <v>54</v>
      </c>
      <c r="C503" s="5" t="s">
        <v>238</v>
      </c>
      <c r="D503" s="5" t="s">
        <v>30</v>
      </c>
      <c r="E503" s="5" t="s">
        <v>31</v>
      </c>
      <c r="F503" s="5" t="s">
        <v>6</v>
      </c>
      <c r="G503" s="5" t="s">
        <v>144</v>
      </c>
      <c r="H503" s="12">
        <v>30092606</v>
      </c>
      <c r="I503" s="311" t="str">
        <f t="shared" ref="I503:I506" si="284">CONCATENATE(H503,"-",G503)</f>
        <v>30092606-EJECUCION</v>
      </c>
      <c r="J503" s="190"/>
      <c r="K503" s="309" t="str">
        <f t="shared" ref="K503:K506" si="285">CLEAN(H503)</f>
        <v>30092606</v>
      </c>
      <c r="L503" s="15" t="s">
        <v>278</v>
      </c>
      <c r="M503" s="23">
        <v>1182852000</v>
      </c>
      <c r="N503" s="34">
        <v>0</v>
      </c>
      <c r="O503" s="34">
        <v>498695895</v>
      </c>
      <c r="P503" s="310">
        <v>0</v>
      </c>
      <c r="Q503" s="34">
        <v>52643150</v>
      </c>
      <c r="R503" s="308">
        <v>96052745</v>
      </c>
      <c r="S503" s="34">
        <f t="shared" ref="S503:S506" si="286">P503+Q503+R503</f>
        <v>148695895</v>
      </c>
      <c r="T503" s="34">
        <v>0</v>
      </c>
      <c r="U503" s="34">
        <v>201539483</v>
      </c>
      <c r="V503" s="34">
        <f>P503+Q503+R503+T503+U503</f>
        <v>350235378</v>
      </c>
      <c r="W503" s="34">
        <f>O503-V503</f>
        <v>148460517</v>
      </c>
      <c r="X503" s="34">
        <f>M503-(N503+O503)</f>
        <v>684156105</v>
      </c>
      <c r="Y503" s="48" t="s">
        <v>239</v>
      </c>
      <c r="Z503" s="48" t="s">
        <v>8</v>
      </c>
      <c r="AA503" s="2" t="s">
        <v>845</v>
      </c>
      <c r="AB503" s="2" t="e">
        <f>VLOOKUP(H503,#REF!,2,FALSE)</f>
        <v>#REF!</v>
      </c>
      <c r="AC503" s="2" t="e">
        <f>VLOOKUP(I503,#REF!,2,FALSE)</f>
        <v>#REF!</v>
      </c>
      <c r="AD503" s="2" t="e">
        <f>VLOOKUP(H503,#REF!,13,FALSE)</f>
        <v>#REF!</v>
      </c>
      <c r="AE503" s="2" t="e">
        <f>VLOOKUP(I503,#REF!,7,FALSE)</f>
        <v>#REF!</v>
      </c>
      <c r="AG503" s="2" t="e">
        <f>VLOOKUP(H503,#REF!,13,FALSE)</f>
        <v>#REF!</v>
      </c>
      <c r="AH503" s="2" t="e">
        <f>VLOOKUP(I503,#REF!,2,FALSE)</f>
        <v>#REF!</v>
      </c>
      <c r="AJ503" s="185" t="e">
        <f>VLOOKUP(H503,#REF!,3,FALSE)</f>
        <v>#REF!</v>
      </c>
      <c r="AK503" s="185"/>
      <c r="AL503" s="185" t="e">
        <f>VLOOKUP(H503,#REF!,13,FALSE)</f>
        <v>#REF!</v>
      </c>
      <c r="AM503" s="185" t="e">
        <f>VLOOKUP(CLEAN(H503),#REF!,7,FALSE)</f>
        <v>#REF!</v>
      </c>
      <c r="AN503" s="2" t="e">
        <f>VLOOKUP(H503,#REF!,8,FALSE)</f>
        <v>#REF!</v>
      </c>
      <c r="AO503" s="189" t="e">
        <f>VLOOKUP(H503,#REF!,2,FALSE)</f>
        <v>#REF!</v>
      </c>
      <c r="AP503" s="189" t="e">
        <f>VLOOKUP(H503,#REF!,2,FALSE)</f>
        <v>#REF!</v>
      </c>
      <c r="AQ503" s="189"/>
      <c r="AR503" s="2" t="e">
        <f>VLOOKUP(CLEAN(H503),#REF!,2,FALSE)</f>
        <v>#REF!</v>
      </c>
      <c r="AT503" s="2" t="e">
        <f>VLOOKUP(H503,#REF!,13,FALSE)</f>
        <v>#REF!</v>
      </c>
      <c r="AU503" s="2" t="e">
        <f>VLOOKUP(H503,#REF!,13,FALSE)</f>
        <v>#REF!</v>
      </c>
      <c r="AV503" s="2" t="e">
        <f>VLOOKUP(H503,#REF!,13,FALSE)</f>
        <v>#REF!</v>
      </c>
      <c r="AW503" s="2" t="e">
        <f>VLOOKUP(H503,#REF!,13,FALSE)</f>
        <v>#REF!</v>
      </c>
      <c r="AX503" s="2" t="e">
        <f>VLOOKUP(H503,#REF!,9,FALSE)</f>
        <v>#REF!</v>
      </c>
      <c r="AZ503" s="189" t="e">
        <f>VLOOKUP(H503,#REF!,2,FALSE)</f>
        <v>#REF!</v>
      </c>
      <c r="BF503" s="189" t="e">
        <f>VLOOKUP(CLEAN(H503),#REF!,2,FALSE)</f>
        <v>#REF!</v>
      </c>
      <c r="BG503" s="189" t="e">
        <f>T503-BF503</f>
        <v>#REF!</v>
      </c>
      <c r="BO503" s="2" t="e">
        <f>VLOOKUP(H503,#REF!,13,FALSE)</f>
        <v>#REF!</v>
      </c>
      <c r="BP503" s="2" t="e">
        <f>VLOOKUP(H503,#REF!,2,FALSE)</f>
        <v>#REF!</v>
      </c>
      <c r="BQ503" s="2" t="e">
        <f>VLOOKUP(H503,#REF!,13,FALSE)</f>
        <v>#REF!</v>
      </c>
      <c r="BR503" s="2" t="e">
        <f>VLOOKUP(H503,#REF!,3,FALSE)</f>
        <v>#REF!</v>
      </c>
    </row>
    <row r="504" spans="1:70" s="2" customFormat="1" ht="15" customHeight="1" outlineLevel="2">
      <c r="A504" s="5">
        <v>24</v>
      </c>
      <c r="B504" s="5" t="s">
        <v>11</v>
      </c>
      <c r="C504" s="5" t="s">
        <v>576</v>
      </c>
      <c r="D504" s="5" t="s">
        <v>30</v>
      </c>
      <c r="E504" s="5" t="s">
        <v>31</v>
      </c>
      <c r="F504" s="5" t="s">
        <v>75</v>
      </c>
      <c r="G504" s="5" t="s">
        <v>144</v>
      </c>
      <c r="H504" s="12">
        <v>30130843</v>
      </c>
      <c r="I504" s="42" t="str">
        <f t="shared" si="284"/>
        <v>30130843-EJECUCION</v>
      </c>
      <c r="J504" s="190"/>
      <c r="K504" s="309" t="str">
        <f t="shared" si="285"/>
        <v>30130843</v>
      </c>
      <c r="L504" s="15" t="s">
        <v>833</v>
      </c>
      <c r="M504" s="23">
        <v>815000000</v>
      </c>
      <c r="N504" s="34">
        <v>0</v>
      </c>
      <c r="O504" s="34">
        <v>815000000</v>
      </c>
      <c r="P504" s="310">
        <v>0</v>
      </c>
      <c r="Q504" s="34">
        <v>0</v>
      </c>
      <c r="R504" s="308">
        <v>0</v>
      </c>
      <c r="S504" s="34">
        <f t="shared" si="286"/>
        <v>0</v>
      </c>
      <c r="T504" s="34">
        <v>0</v>
      </c>
      <c r="U504" s="34">
        <v>0</v>
      </c>
      <c r="V504" s="34">
        <f>P504+Q504+R504+T504+U504</f>
        <v>0</v>
      </c>
      <c r="W504" s="34">
        <f>O504-V504</f>
        <v>815000000</v>
      </c>
      <c r="X504" s="34">
        <f>M504-(N504+O504)</f>
        <v>0</v>
      </c>
      <c r="Y504" s="48" t="s">
        <v>239</v>
      </c>
      <c r="Z504" s="48" t="s">
        <v>8</v>
      </c>
      <c r="AA504" s="2" t="e">
        <v>#N/A</v>
      </c>
      <c r="AB504" s="2" t="e">
        <f>VLOOKUP(H504,#REF!,2,FALSE)</f>
        <v>#REF!</v>
      </c>
      <c r="AD504" s="2" t="e">
        <f>VLOOKUP(H504,#REF!,13,FALSE)</f>
        <v>#REF!</v>
      </c>
      <c r="AE504" s="177" t="e">
        <f>VLOOKUP(I504,#REF!,7,FALSE)</f>
        <v>#REF!</v>
      </c>
      <c r="AG504" s="2" t="e">
        <f>VLOOKUP(H504,#REF!,13,FALSE)</f>
        <v>#REF!</v>
      </c>
      <c r="AH504" s="2" t="e">
        <f>VLOOKUP(I504,#REF!,2,FALSE)</f>
        <v>#REF!</v>
      </c>
      <c r="AJ504" s="185" t="e">
        <f>VLOOKUP(H504,#REF!,3,FALSE)</f>
        <v>#REF!</v>
      </c>
      <c r="AK504" s="185"/>
      <c r="AL504" s="185"/>
      <c r="AM504" s="185" t="e">
        <f>VLOOKUP(CLEAN(H504),#REF!,7,FALSE)</f>
        <v>#REF!</v>
      </c>
      <c r="AN504" s="2" t="e">
        <f>VLOOKUP(H504,#REF!,8,FALSE)</f>
        <v>#REF!</v>
      </c>
      <c r="AO504" s="189" t="e">
        <f>VLOOKUP(H504,#REF!,2,FALSE)</f>
        <v>#REF!</v>
      </c>
      <c r="AP504" s="189" t="e">
        <f>VLOOKUP(H504,#REF!,2,FALSE)</f>
        <v>#REF!</v>
      </c>
      <c r="AQ504" s="189"/>
      <c r="AR504" s="2" t="e">
        <f>VLOOKUP(CLEAN(H504),#REF!,2,FALSE)</f>
        <v>#REF!</v>
      </c>
      <c r="AT504" s="2" t="e">
        <f>VLOOKUP(H504,#REF!,13,FALSE)</f>
        <v>#REF!</v>
      </c>
      <c r="AU504" s="2" t="e">
        <f>VLOOKUP(H504,#REF!,13,FALSE)</f>
        <v>#REF!</v>
      </c>
      <c r="AV504" s="2" t="e">
        <f>VLOOKUP(H504,#REF!,13,FALSE)</f>
        <v>#REF!</v>
      </c>
      <c r="AW504" s="2" t="e">
        <f>VLOOKUP(H504,#REF!,13,FALSE)</f>
        <v>#REF!</v>
      </c>
      <c r="AX504" s="2" t="e">
        <f>VLOOKUP(H504,#REF!,9,FALSE)</f>
        <v>#REF!</v>
      </c>
      <c r="AZ504" s="189" t="e">
        <f>VLOOKUP(H504,#REF!,2,FALSE)</f>
        <v>#REF!</v>
      </c>
      <c r="BF504" s="189" t="e">
        <f>VLOOKUP(CLEAN(H504),#REF!,2,FALSE)</f>
        <v>#REF!</v>
      </c>
      <c r="BG504" s="189" t="e">
        <f>T504-BF504</f>
        <v>#REF!</v>
      </c>
      <c r="BO504" s="2" t="e">
        <f>VLOOKUP(H504,#REF!,13,FALSE)</f>
        <v>#REF!</v>
      </c>
      <c r="BP504" s="2" t="e">
        <f>VLOOKUP(H504,#REF!,2,FALSE)</f>
        <v>#REF!</v>
      </c>
      <c r="BQ504" s="2" t="e">
        <f>VLOOKUP(H504,#REF!,13,FALSE)</f>
        <v>#REF!</v>
      </c>
      <c r="BR504" s="2" t="e">
        <f>VLOOKUP(H504,#REF!,3,FALSE)</f>
        <v>#REF!</v>
      </c>
    </row>
    <row r="505" spans="1:70" s="2" customFormat="1" ht="15" customHeight="1" outlineLevel="2">
      <c r="A505" s="5">
        <v>31</v>
      </c>
      <c r="B505" s="5" t="s">
        <v>5</v>
      </c>
      <c r="C505" s="5" t="s">
        <v>248</v>
      </c>
      <c r="D505" s="5" t="s">
        <v>30</v>
      </c>
      <c r="E505" s="5" t="s">
        <v>31</v>
      </c>
      <c r="F505" s="5" t="s">
        <v>89</v>
      </c>
      <c r="G505" s="5" t="s">
        <v>144</v>
      </c>
      <c r="H505" s="12">
        <v>30121787</v>
      </c>
      <c r="I505" s="42" t="str">
        <f t="shared" si="284"/>
        <v>30121787-EJECUCION</v>
      </c>
      <c r="J505" s="12"/>
      <c r="K505" s="307" t="str">
        <f t="shared" si="285"/>
        <v>30121787</v>
      </c>
      <c r="L505" s="15" t="s">
        <v>62</v>
      </c>
      <c r="M505" s="23">
        <v>744201003</v>
      </c>
      <c r="N505" s="34">
        <v>0</v>
      </c>
      <c r="O505" s="34">
        <f>684201003-45000000-19121010-70500000-129500000</f>
        <v>420079993</v>
      </c>
      <c r="P505" s="310">
        <v>0</v>
      </c>
      <c r="Q505" s="34">
        <v>81963368</v>
      </c>
      <c r="R505" s="308">
        <v>148036300</v>
      </c>
      <c r="S505" s="34">
        <f t="shared" si="286"/>
        <v>229999668</v>
      </c>
      <c r="T505" s="34">
        <v>0</v>
      </c>
      <c r="U505" s="34">
        <v>126941408</v>
      </c>
      <c r="V505" s="34">
        <f>P505+Q505+R505+T505+U505</f>
        <v>356941076</v>
      </c>
      <c r="W505" s="34">
        <f>O505-V505</f>
        <v>63138917</v>
      </c>
      <c r="X505" s="34">
        <f>M505-(N505+O505)</f>
        <v>324121010</v>
      </c>
      <c r="Y505" s="48" t="s">
        <v>239</v>
      </c>
      <c r="Z505" s="48" t="s">
        <v>8</v>
      </c>
      <c r="AA505" s="2" t="s">
        <v>844</v>
      </c>
      <c r="AB505" s="2" t="e">
        <f>VLOOKUP(H505,#REF!,2,FALSE)</f>
        <v>#REF!</v>
      </c>
      <c r="AC505" s="2" t="e">
        <f>VLOOKUP(I505,#REF!,2,FALSE)</f>
        <v>#REF!</v>
      </c>
      <c r="AD505" s="2" t="e">
        <f>VLOOKUP(H505,#REF!,13,FALSE)</f>
        <v>#REF!</v>
      </c>
      <c r="AE505" s="2" t="e">
        <f>VLOOKUP(I505,#REF!,7,FALSE)</f>
        <v>#REF!</v>
      </c>
      <c r="AG505" s="2" t="e">
        <f>VLOOKUP(H505,#REF!,13,FALSE)</f>
        <v>#REF!</v>
      </c>
      <c r="AH505" s="2" t="e">
        <f>VLOOKUP(I505,#REF!,2,FALSE)</f>
        <v>#REF!</v>
      </c>
      <c r="AJ505" s="185" t="e">
        <f>VLOOKUP(H505,#REF!,3,FALSE)</f>
        <v>#REF!</v>
      </c>
      <c r="AK505" s="185"/>
      <c r="AL505" s="185" t="e">
        <f>VLOOKUP(H505,#REF!,13,FALSE)</f>
        <v>#REF!</v>
      </c>
      <c r="AM505" s="185" t="e">
        <f>VLOOKUP(CLEAN(H505),#REF!,7,FALSE)</f>
        <v>#REF!</v>
      </c>
      <c r="AN505" s="2" t="e">
        <f>VLOOKUP(H505,#REF!,8,FALSE)</f>
        <v>#REF!</v>
      </c>
      <c r="AO505" s="189" t="e">
        <f>VLOOKUP(H505,#REF!,2,FALSE)</f>
        <v>#REF!</v>
      </c>
      <c r="AP505" s="189" t="e">
        <f>VLOOKUP(H505,#REF!,2,FALSE)</f>
        <v>#REF!</v>
      </c>
      <c r="AQ505" s="189"/>
      <c r="AR505" s="2" t="e">
        <f>VLOOKUP(CLEAN(H505),#REF!,2,FALSE)</f>
        <v>#REF!</v>
      </c>
      <c r="AT505" s="2" t="e">
        <f>VLOOKUP(H505,#REF!,13,FALSE)</f>
        <v>#REF!</v>
      </c>
      <c r="AU505" s="2" t="e">
        <f>VLOOKUP(H505,#REF!,13,FALSE)</f>
        <v>#REF!</v>
      </c>
      <c r="AV505" s="2" t="e">
        <f>VLOOKUP(H505,#REF!,13,FALSE)</f>
        <v>#REF!</v>
      </c>
      <c r="AW505" s="2" t="e">
        <f>VLOOKUP(H505,#REF!,13,FALSE)</f>
        <v>#REF!</v>
      </c>
      <c r="AX505" s="2" t="e">
        <f>VLOOKUP(H505,#REF!,9,FALSE)</f>
        <v>#REF!</v>
      </c>
      <c r="AZ505" s="189" t="e">
        <f>VLOOKUP(H505,#REF!,2,FALSE)</f>
        <v>#REF!</v>
      </c>
      <c r="BF505" s="189" t="e">
        <f>VLOOKUP(CLEAN(H505),#REF!,2,FALSE)</f>
        <v>#REF!</v>
      </c>
      <c r="BG505" s="189" t="e">
        <f>T505-BF505</f>
        <v>#REF!</v>
      </c>
      <c r="BO505" s="2" t="e">
        <f>VLOOKUP(H505,#REF!,13,FALSE)</f>
        <v>#REF!</v>
      </c>
      <c r="BP505" s="2" t="e">
        <f>VLOOKUP(H505,#REF!,2,FALSE)</f>
        <v>#REF!</v>
      </c>
      <c r="BQ505" s="2" t="e">
        <f>VLOOKUP(H505,#REF!,13,FALSE)</f>
        <v>#REF!</v>
      </c>
      <c r="BR505" s="2" t="e">
        <f>VLOOKUP(H505,#REF!,3,FALSE)</f>
        <v>#REF!</v>
      </c>
    </row>
    <row r="506" spans="1:70" s="2" customFormat="1" ht="15" customHeight="1" outlineLevel="2">
      <c r="A506" s="5">
        <v>31</v>
      </c>
      <c r="B506" s="5" t="s">
        <v>5</v>
      </c>
      <c r="C506" s="5" t="s">
        <v>275</v>
      </c>
      <c r="D506" s="5" t="s">
        <v>30</v>
      </c>
      <c r="E506" s="5" t="s">
        <v>31</v>
      </c>
      <c r="F506" s="5" t="s">
        <v>89</v>
      </c>
      <c r="G506" s="5" t="s">
        <v>144</v>
      </c>
      <c r="H506" s="12">
        <v>30094891</v>
      </c>
      <c r="I506" s="42" t="str">
        <f t="shared" si="284"/>
        <v>30094891-EJECUCION</v>
      </c>
      <c r="J506" s="12"/>
      <c r="K506" s="307" t="str">
        <f t="shared" si="285"/>
        <v>30094891</v>
      </c>
      <c r="L506" s="15" t="s">
        <v>32</v>
      </c>
      <c r="M506" s="23">
        <v>4093774619</v>
      </c>
      <c r="N506" s="34">
        <v>4077499258</v>
      </c>
      <c r="O506" s="34">
        <v>16275361</v>
      </c>
      <c r="P506" s="310">
        <v>0</v>
      </c>
      <c r="Q506" s="34">
        <v>0</v>
      </c>
      <c r="R506" s="308">
        <v>0</v>
      </c>
      <c r="S506" s="34">
        <f t="shared" si="286"/>
        <v>0</v>
      </c>
      <c r="T506" s="34">
        <v>0</v>
      </c>
      <c r="U506" s="34">
        <v>0</v>
      </c>
      <c r="V506" s="34">
        <f>P506+Q506+R506+T506+U506</f>
        <v>0</v>
      </c>
      <c r="W506" s="34">
        <f>O506-V506</f>
        <v>16275361</v>
      </c>
      <c r="X506" s="34">
        <f>M506-(N506+O506)</f>
        <v>0</v>
      </c>
      <c r="Y506" s="48" t="s">
        <v>650</v>
      </c>
      <c r="Z506" s="48" t="s">
        <v>8</v>
      </c>
      <c r="AA506" s="2" t="e">
        <v>#N/A</v>
      </c>
      <c r="AB506" s="2" t="e">
        <f>VLOOKUP(H506,#REF!,2,FALSE)</f>
        <v>#REF!</v>
      </c>
      <c r="AC506" s="2" t="e">
        <f>VLOOKUP(I506,#REF!,2,FALSE)</f>
        <v>#REF!</v>
      </c>
      <c r="AD506" s="2" t="e">
        <f>VLOOKUP(H506,#REF!,13,FALSE)</f>
        <v>#REF!</v>
      </c>
      <c r="AE506" s="177" t="e">
        <f>VLOOKUP(I506,#REF!,7,FALSE)</f>
        <v>#REF!</v>
      </c>
      <c r="AG506" s="2" t="e">
        <f>VLOOKUP(H506,#REF!,13,FALSE)</f>
        <v>#REF!</v>
      </c>
      <c r="AH506" s="2" t="e">
        <f>VLOOKUP(I506,#REF!,2,FALSE)</f>
        <v>#REF!</v>
      </c>
      <c r="AJ506" s="185" t="e">
        <f>VLOOKUP(H506,#REF!,3,FALSE)</f>
        <v>#REF!</v>
      </c>
      <c r="AK506" s="185"/>
      <c r="AL506" s="185" t="e">
        <f>VLOOKUP(H506,#REF!,13,FALSE)</f>
        <v>#REF!</v>
      </c>
      <c r="AM506" s="185" t="e">
        <f>VLOOKUP(CLEAN(H506),#REF!,7,FALSE)</f>
        <v>#REF!</v>
      </c>
      <c r="AN506" s="2" t="e">
        <f>VLOOKUP(H506,#REF!,8,FALSE)</f>
        <v>#REF!</v>
      </c>
      <c r="AO506" s="189" t="e">
        <f>VLOOKUP(H506,#REF!,2,FALSE)</f>
        <v>#REF!</v>
      </c>
      <c r="AP506" s="189" t="e">
        <f>VLOOKUP(H506,#REF!,2,FALSE)</f>
        <v>#REF!</v>
      </c>
      <c r="AQ506" s="189"/>
      <c r="AR506" s="2" t="e">
        <f>VLOOKUP(CLEAN(H506),#REF!,2,FALSE)</f>
        <v>#REF!</v>
      </c>
      <c r="AT506" s="2" t="e">
        <f>VLOOKUP(H506,#REF!,13,FALSE)</f>
        <v>#REF!</v>
      </c>
      <c r="AU506" s="2" t="e">
        <f>VLOOKUP(H506,#REF!,13,FALSE)</f>
        <v>#REF!</v>
      </c>
      <c r="AV506" s="2" t="e">
        <f>VLOOKUP(H506,#REF!,13,FALSE)</f>
        <v>#REF!</v>
      </c>
      <c r="AW506" s="2" t="e">
        <f>VLOOKUP(H506,#REF!,13,FALSE)</f>
        <v>#REF!</v>
      </c>
      <c r="AX506" s="2" t="e">
        <f>VLOOKUP(H506,#REF!,9,FALSE)</f>
        <v>#REF!</v>
      </c>
      <c r="AZ506" s="2" t="e">
        <f>VLOOKUP(H506,#REF!,2,FALSE)</f>
        <v>#REF!</v>
      </c>
      <c r="BF506" s="189" t="e">
        <f>VLOOKUP(CLEAN(H506),#REF!,2,FALSE)</f>
        <v>#REF!</v>
      </c>
      <c r="BG506" s="189" t="e">
        <f>T506-BF506</f>
        <v>#REF!</v>
      </c>
      <c r="BO506" s="2" t="e">
        <f>VLOOKUP(H506,#REF!,13,FALSE)</f>
        <v>#REF!</v>
      </c>
      <c r="BP506" s="2" t="e">
        <f>VLOOKUP(H506,#REF!,2,FALSE)</f>
        <v>#REF!</v>
      </c>
      <c r="BQ506" s="2" t="e">
        <f>VLOOKUP(H506,#REF!,13,FALSE)</f>
        <v>#REF!</v>
      </c>
      <c r="BR506" s="2" t="e">
        <f>VLOOKUP(H506,#REF!,3,FALSE)</f>
        <v>#REF!</v>
      </c>
    </row>
    <row r="507" spans="1:70" ht="15" customHeight="1" outlineLevel="2">
      <c r="A507" s="7"/>
      <c r="B507" s="7"/>
      <c r="C507" s="7"/>
      <c r="D507" s="7"/>
      <c r="E507" s="7"/>
      <c r="F507" s="7"/>
      <c r="G507" s="7"/>
      <c r="H507" s="11"/>
      <c r="I507" s="11"/>
      <c r="J507" s="11"/>
      <c r="K507" s="11"/>
      <c r="L507" s="17" t="s">
        <v>691</v>
      </c>
      <c r="M507" s="27">
        <f>SUBTOTAL(9,M503:M506)</f>
        <v>6835827622</v>
      </c>
      <c r="N507" s="27">
        <f t="shared" ref="N507:O507" si="287">SUBTOTAL(9,N503:N506)</f>
        <v>4077499258</v>
      </c>
      <c r="O507" s="27">
        <f t="shared" si="287"/>
        <v>1750051249</v>
      </c>
      <c r="P507" s="24">
        <f t="shared" ref="P507:X507" si="288">SUBTOTAL(9,P503:P506)</f>
        <v>0</v>
      </c>
      <c r="Q507" s="24">
        <f t="shared" si="288"/>
        <v>134606518</v>
      </c>
      <c r="R507" s="24">
        <f t="shared" si="288"/>
        <v>244089045</v>
      </c>
      <c r="S507" s="27">
        <f t="shared" si="288"/>
        <v>378695563</v>
      </c>
      <c r="T507" s="27">
        <f t="shared" si="288"/>
        <v>0</v>
      </c>
      <c r="U507" s="27">
        <f t="shared" si="288"/>
        <v>328480891</v>
      </c>
      <c r="V507" s="27">
        <f t="shared" si="288"/>
        <v>707176454</v>
      </c>
      <c r="W507" s="27">
        <f t="shared" si="288"/>
        <v>1042874795</v>
      </c>
      <c r="X507" s="27">
        <f t="shared" si="288"/>
        <v>1008277115</v>
      </c>
      <c r="Y507" s="47"/>
      <c r="Z507" s="47"/>
      <c r="AM507" s="185" t="e">
        <f>VLOOKUP(CLEAN(H507),#REF!,7,FALSE)</f>
        <v>#REF!</v>
      </c>
      <c r="AO507"/>
      <c r="AP507"/>
      <c r="AQ507"/>
      <c r="AR507" s="2" t="e">
        <f>VLOOKUP(CLEAN(H507),#REF!,2,FALSE)</f>
        <v>#REF!</v>
      </c>
      <c r="AZ507" s="2" t="e">
        <f>VLOOKUP(H507,#REF!,2,FALSE)</f>
        <v>#REF!</v>
      </c>
      <c r="BO507" s="2" t="e">
        <f>VLOOKUP(H507,#REF!,13,FALSE)</f>
        <v>#REF!</v>
      </c>
      <c r="BQ507" s="2" t="e">
        <f>VLOOKUP(H507,#REF!,13,FALSE)</f>
        <v>#REF!</v>
      </c>
    </row>
    <row r="508" spans="1:70" ht="15" customHeight="1" outlineLevel="2">
      <c r="A508" s="7"/>
      <c r="B508" s="7"/>
      <c r="C508" s="7"/>
      <c r="D508" s="7"/>
      <c r="E508" s="7"/>
      <c r="F508" s="7"/>
      <c r="G508" s="7"/>
      <c r="H508" s="11"/>
      <c r="I508" s="11"/>
      <c r="J508" s="11"/>
      <c r="K508" s="11"/>
      <c r="L508" s="292"/>
      <c r="M508" s="22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47"/>
      <c r="Z508" s="47"/>
      <c r="AM508" s="185" t="e">
        <f>VLOOKUP(CLEAN(H508),#REF!,7,FALSE)</f>
        <v>#REF!</v>
      </c>
      <c r="AO508"/>
      <c r="AP508"/>
      <c r="AQ508"/>
      <c r="AR508" s="2" t="e">
        <f>VLOOKUP(CLEAN(H508),#REF!,2,FALSE)</f>
        <v>#REF!</v>
      </c>
      <c r="AZ508" s="2" t="e">
        <f>VLOOKUP(H508,#REF!,2,FALSE)</f>
        <v>#REF!</v>
      </c>
      <c r="BO508" s="2" t="e">
        <f>VLOOKUP(H508,#REF!,13,FALSE)</f>
        <v>#REF!</v>
      </c>
      <c r="BP508" s="293"/>
      <c r="BQ508" s="2" t="e">
        <f>VLOOKUP(H508,#REF!,13,FALSE)</f>
        <v>#REF!</v>
      </c>
    </row>
    <row r="509" spans="1:70" ht="15" customHeight="1" outlineLevel="2">
      <c r="A509" s="7"/>
      <c r="B509" s="7"/>
      <c r="C509" s="7"/>
      <c r="D509" s="7"/>
      <c r="E509" s="7"/>
      <c r="F509" s="7"/>
      <c r="G509" s="7"/>
      <c r="H509" s="11"/>
      <c r="I509" s="11"/>
      <c r="J509" s="11"/>
      <c r="K509" s="11"/>
      <c r="L509" s="18" t="s">
        <v>701</v>
      </c>
      <c r="M509" s="22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47"/>
      <c r="Z509" s="47"/>
      <c r="AM509" s="185" t="e">
        <f>VLOOKUP(CLEAN(H509),#REF!,7,FALSE)</f>
        <v>#REF!</v>
      </c>
      <c r="AO509"/>
      <c r="AP509"/>
      <c r="AQ509"/>
      <c r="AR509" s="2" t="e">
        <f>VLOOKUP(CLEAN(H509),#REF!,2,FALSE)</f>
        <v>#REF!</v>
      </c>
      <c r="AZ509" s="2" t="e">
        <f>VLOOKUP(H509,#REF!,2,FALSE)</f>
        <v>#REF!</v>
      </c>
      <c r="BO509" s="2" t="e">
        <f>VLOOKUP(H509,#REF!,13,FALSE)</f>
        <v>#REF!</v>
      </c>
      <c r="BQ509" s="2" t="e">
        <f>VLOOKUP(H509,#REF!,13,FALSE)</f>
        <v>#REF!</v>
      </c>
    </row>
    <row r="510" spans="1:70" s="2" customFormat="1" ht="15" customHeight="1" outlineLevel="2">
      <c r="A510" s="5">
        <v>29</v>
      </c>
      <c r="B510" s="5" t="s">
        <v>11</v>
      </c>
      <c r="C510" s="5" t="s">
        <v>240</v>
      </c>
      <c r="D510" s="5" t="s">
        <v>30</v>
      </c>
      <c r="E510" s="5" t="s">
        <v>31</v>
      </c>
      <c r="F510" s="5" t="s">
        <v>457</v>
      </c>
      <c r="G510" s="5" t="s">
        <v>144</v>
      </c>
      <c r="H510" s="12">
        <v>40000574</v>
      </c>
      <c r="I510" s="311" t="str">
        <f t="shared" ref="I510:I511" si="289">CONCATENATE(H510,"-",G510)</f>
        <v>40000574-EJECUCION</v>
      </c>
      <c r="J510" s="190"/>
      <c r="K510" s="309" t="str">
        <f t="shared" ref="K510:K511" si="290">CLEAN(H510)</f>
        <v>40000574</v>
      </c>
      <c r="L510" s="15" t="s">
        <v>638</v>
      </c>
      <c r="M510" s="23">
        <v>272814000</v>
      </c>
      <c r="N510" s="34">
        <v>0</v>
      </c>
      <c r="O510" s="34">
        <v>272814000</v>
      </c>
      <c r="P510" s="310">
        <v>0</v>
      </c>
      <c r="Q510" s="34">
        <v>0</v>
      </c>
      <c r="R510" s="308">
        <v>0</v>
      </c>
      <c r="S510" s="34">
        <f t="shared" ref="S510:S511" si="291">P510+Q510+R510</f>
        <v>0</v>
      </c>
      <c r="T510" s="34">
        <v>0</v>
      </c>
      <c r="U510" s="34">
        <v>0</v>
      </c>
      <c r="V510" s="34">
        <f>P510+Q510+R510+T510+U510</f>
        <v>0</v>
      </c>
      <c r="W510" s="34">
        <f>O510-V510</f>
        <v>272814000</v>
      </c>
      <c r="X510" s="34">
        <f>M510-(N510+O510)</f>
        <v>0</v>
      </c>
      <c r="Y510" s="48" t="s">
        <v>460</v>
      </c>
      <c r="Z510" s="48" t="s">
        <v>10</v>
      </c>
      <c r="AA510" s="2" t="e">
        <v>#N/A</v>
      </c>
      <c r="AB510" s="2" t="e">
        <f>VLOOKUP(H510,#REF!,2,FALSE)</f>
        <v>#REF!</v>
      </c>
      <c r="AD510" s="2" t="e">
        <f>VLOOKUP(H510,#REF!,13,FALSE)</f>
        <v>#REF!</v>
      </c>
      <c r="AE510" s="2" t="e">
        <f>VLOOKUP(I510,#REF!,7,FALSE)</f>
        <v>#REF!</v>
      </c>
      <c r="AG510" s="2" t="e">
        <f>VLOOKUP(H510,#REF!,13,FALSE)</f>
        <v>#REF!</v>
      </c>
      <c r="AH510" s="2" t="e">
        <f>VLOOKUP(I510,#REF!,2,FALSE)</f>
        <v>#REF!</v>
      </c>
      <c r="AJ510" s="185" t="e">
        <f>VLOOKUP(H510,#REF!,3,FALSE)</f>
        <v>#REF!</v>
      </c>
      <c r="AK510" s="185"/>
      <c r="AL510" s="185" t="e">
        <f>VLOOKUP(H510,#REF!,13,FALSE)</f>
        <v>#REF!</v>
      </c>
      <c r="AM510" s="185" t="e">
        <f>VLOOKUP(CLEAN(H510),#REF!,7,FALSE)</f>
        <v>#REF!</v>
      </c>
      <c r="AN510" s="2" t="e">
        <f>VLOOKUP(H510,#REF!,8,FALSE)</f>
        <v>#REF!</v>
      </c>
      <c r="AO510" s="189" t="e">
        <f>VLOOKUP(H510,#REF!,2,FALSE)</f>
        <v>#REF!</v>
      </c>
      <c r="AP510" s="189" t="e">
        <f>VLOOKUP(H510,#REF!,2,FALSE)</f>
        <v>#REF!</v>
      </c>
      <c r="AQ510" s="189"/>
      <c r="AR510" s="2" t="e">
        <f>VLOOKUP(CLEAN(H510),#REF!,2,FALSE)</f>
        <v>#REF!</v>
      </c>
      <c r="AT510" s="2" t="e">
        <f>VLOOKUP(H510,#REF!,13,FALSE)</f>
        <v>#REF!</v>
      </c>
      <c r="AU510" s="2" t="e">
        <f>VLOOKUP(H510,#REF!,13,FALSE)</f>
        <v>#REF!</v>
      </c>
      <c r="AV510" s="2" t="e">
        <f>VLOOKUP(H510,#REF!,13,FALSE)</f>
        <v>#REF!</v>
      </c>
      <c r="AW510" s="2" t="e">
        <f>VLOOKUP(H510,#REF!,13,FALSE)</f>
        <v>#REF!</v>
      </c>
      <c r="AX510" s="2" t="e">
        <f>VLOOKUP(H510,#REF!,9,FALSE)</f>
        <v>#REF!</v>
      </c>
      <c r="AY510" s="2" t="e">
        <f>VLOOKUP(H510,#REF!,2,FALSE)</f>
        <v>#REF!</v>
      </c>
      <c r="AZ510" s="189" t="e">
        <f>VLOOKUP(H510,#REF!,2,FALSE)</f>
        <v>#REF!</v>
      </c>
      <c r="BF510" s="189" t="e">
        <f>VLOOKUP(CLEAN(H510),#REF!,2,FALSE)</f>
        <v>#REF!</v>
      </c>
      <c r="BG510" s="189" t="e">
        <f>T510-BF510</f>
        <v>#REF!</v>
      </c>
      <c r="BO510" s="2" t="e">
        <f>VLOOKUP(H510,#REF!,13,FALSE)</f>
        <v>#REF!</v>
      </c>
      <c r="BP510" s="2" t="e">
        <f>VLOOKUP(H510,#REF!,2,FALSE)</f>
        <v>#REF!</v>
      </c>
      <c r="BQ510" s="2" t="e">
        <f>VLOOKUP(H510,#REF!,13,FALSE)</f>
        <v>#REF!</v>
      </c>
      <c r="BR510" s="2" t="e">
        <f>VLOOKUP(H510,#REF!,3,FALSE)</f>
        <v>#REF!</v>
      </c>
    </row>
    <row r="511" spans="1:70" s="2" customFormat="1" ht="15" customHeight="1" outlineLevel="2">
      <c r="A511" s="5">
        <v>29</v>
      </c>
      <c r="B511" s="5" t="s">
        <v>11</v>
      </c>
      <c r="C511" s="5" t="s">
        <v>242</v>
      </c>
      <c r="D511" s="5" t="s">
        <v>30</v>
      </c>
      <c r="E511" s="5" t="s">
        <v>31</v>
      </c>
      <c r="F511" s="5" t="s">
        <v>457</v>
      </c>
      <c r="G511" s="5" t="s">
        <v>144</v>
      </c>
      <c r="H511" s="12">
        <v>30402076</v>
      </c>
      <c r="I511" s="42" t="str">
        <f t="shared" si="289"/>
        <v>30402076-EJECUCION</v>
      </c>
      <c r="J511" s="12"/>
      <c r="K511" s="307" t="str">
        <f t="shared" si="290"/>
        <v>30402076</v>
      </c>
      <c r="L511" s="15" t="s">
        <v>815</v>
      </c>
      <c r="M511" s="23">
        <v>1211111000</v>
      </c>
      <c r="N511" s="34">
        <v>0</v>
      </c>
      <c r="O511" s="34">
        <v>0</v>
      </c>
      <c r="P511" s="310">
        <v>0</v>
      </c>
      <c r="Q511" s="34">
        <v>0</v>
      </c>
      <c r="R511" s="308">
        <v>0</v>
      </c>
      <c r="S511" s="34">
        <f t="shared" si="291"/>
        <v>0</v>
      </c>
      <c r="T511" s="34">
        <v>0</v>
      </c>
      <c r="U511" s="34">
        <v>0</v>
      </c>
      <c r="V511" s="34">
        <f>P511+Q511+R511+T511+U511</f>
        <v>0</v>
      </c>
      <c r="W511" s="34">
        <f>O511-V511</f>
        <v>0</v>
      </c>
      <c r="X511" s="34">
        <f>M511-(N511+O511)</f>
        <v>1211111000</v>
      </c>
      <c r="Y511" s="48" t="s">
        <v>418</v>
      </c>
      <c r="Z511" s="48" t="s">
        <v>10</v>
      </c>
      <c r="AA511" s="2" t="e">
        <v>#N/A</v>
      </c>
      <c r="AB511" s="2" t="e">
        <f>VLOOKUP(H511,#REF!,2,FALSE)</f>
        <v>#REF!</v>
      </c>
      <c r="AJ511" s="185" t="e">
        <f>VLOOKUP(H511,#REF!,3,FALSE)</f>
        <v>#REF!</v>
      </c>
      <c r="AK511" s="185" t="s">
        <v>685</v>
      </c>
      <c r="AL511" s="185" t="e">
        <f>VLOOKUP(H511,#REF!,13,FALSE)</f>
        <v>#REF!</v>
      </c>
      <c r="AM511" s="185" t="e">
        <f>VLOOKUP(CLEAN(H511),#REF!,7,FALSE)</f>
        <v>#REF!</v>
      </c>
      <c r="AN511" s="2" t="e">
        <f>VLOOKUP(H511,#REF!,8,FALSE)</f>
        <v>#REF!</v>
      </c>
      <c r="AO511" s="189" t="e">
        <f>VLOOKUP(H511,#REF!,2,FALSE)</f>
        <v>#REF!</v>
      </c>
      <c r="AP511" s="189" t="e">
        <f>VLOOKUP(H511,#REF!,2,FALSE)</f>
        <v>#REF!</v>
      </c>
      <c r="AQ511" s="189"/>
      <c r="AR511" s="2" t="e">
        <f>VLOOKUP(CLEAN(H511),#REF!,2,FALSE)</f>
        <v>#REF!</v>
      </c>
      <c r="AT511" s="2" t="e">
        <f>VLOOKUP(H511,#REF!,13,FALSE)</f>
        <v>#REF!</v>
      </c>
      <c r="AU511" s="2" t="e">
        <f>VLOOKUP(H511,#REF!,13,FALSE)</f>
        <v>#REF!</v>
      </c>
      <c r="AV511" s="2" t="e">
        <f>VLOOKUP(H511,#REF!,13,FALSE)</f>
        <v>#REF!</v>
      </c>
      <c r="AW511" s="2" t="e">
        <f>VLOOKUP(H511,#REF!,13,FALSE)</f>
        <v>#REF!</v>
      </c>
      <c r="AX511" s="2" t="e">
        <f>VLOOKUP(H511,#REF!,9,FALSE)</f>
        <v>#REF!</v>
      </c>
      <c r="AZ511" s="2" t="e">
        <f>VLOOKUP(H511,#REF!,2,FALSE)</f>
        <v>#REF!</v>
      </c>
      <c r="BF511" s="189" t="e">
        <f>VLOOKUP(CLEAN(H511),#REF!,2,FALSE)</f>
        <v>#REF!</v>
      </c>
      <c r="BG511" s="189" t="e">
        <f>T511-BF511</f>
        <v>#REF!</v>
      </c>
      <c r="BO511" s="2" t="e">
        <f>VLOOKUP(H511,#REF!,13,FALSE)</f>
        <v>#REF!</v>
      </c>
      <c r="BP511" s="2" t="e">
        <f>VLOOKUP(H511,#REF!,2,FALSE)</f>
        <v>#REF!</v>
      </c>
      <c r="BQ511" s="2" t="e">
        <f>VLOOKUP(H511,#REF!,13,FALSE)</f>
        <v>#REF!</v>
      </c>
      <c r="BR511" s="2" t="e">
        <f>VLOOKUP(H511,#REF!,3,FALSE)</f>
        <v>#REF!</v>
      </c>
    </row>
    <row r="512" spans="1:70" ht="15" customHeight="1" outlineLevel="2">
      <c r="A512" s="7"/>
      <c r="B512" s="7"/>
      <c r="C512" s="7"/>
      <c r="D512" s="7"/>
      <c r="E512" s="7"/>
      <c r="F512" s="7"/>
      <c r="G512" s="7"/>
      <c r="H512" s="11"/>
      <c r="I512" s="11"/>
      <c r="J512" s="11"/>
      <c r="K512" s="11"/>
      <c r="L512" s="17" t="s">
        <v>702</v>
      </c>
      <c r="M512" s="27">
        <f>SUBTOTAL(9,M510:M511)</f>
        <v>1483925000</v>
      </c>
      <c r="N512" s="27">
        <f t="shared" ref="N512:O512" si="292">SUBTOTAL(9,N510:N511)</f>
        <v>0</v>
      </c>
      <c r="O512" s="27">
        <f t="shared" si="292"/>
        <v>272814000</v>
      </c>
      <c r="P512" s="24">
        <f t="shared" ref="P512:X512" si="293">SUBTOTAL(9,P510:P511)</f>
        <v>0</v>
      </c>
      <c r="Q512" s="24">
        <f t="shared" si="293"/>
        <v>0</v>
      </c>
      <c r="R512" s="24">
        <f t="shared" si="293"/>
        <v>0</v>
      </c>
      <c r="S512" s="27">
        <f t="shared" si="293"/>
        <v>0</v>
      </c>
      <c r="T512" s="27">
        <f t="shared" si="293"/>
        <v>0</v>
      </c>
      <c r="U512" s="27">
        <f t="shared" si="293"/>
        <v>0</v>
      </c>
      <c r="V512" s="27">
        <f t="shared" si="293"/>
        <v>0</v>
      </c>
      <c r="W512" s="27">
        <f t="shared" si="293"/>
        <v>272814000</v>
      </c>
      <c r="X512" s="27">
        <f t="shared" si="293"/>
        <v>1211111000</v>
      </c>
      <c r="Y512" s="47"/>
      <c r="Z512" s="47"/>
      <c r="AM512" s="185" t="e">
        <f>VLOOKUP(CLEAN(H512),#REF!,7,FALSE)</f>
        <v>#REF!</v>
      </c>
      <c r="AO512"/>
      <c r="AP512"/>
      <c r="AQ512"/>
      <c r="AR512" s="2" t="e">
        <f>VLOOKUP(CLEAN(H512),#REF!,2,FALSE)</f>
        <v>#REF!</v>
      </c>
      <c r="AZ512" s="2" t="e">
        <f>VLOOKUP(H512,#REF!,2,FALSE)</f>
        <v>#REF!</v>
      </c>
      <c r="BO512" s="2" t="e">
        <f>VLOOKUP(H512,#REF!,13,FALSE)</f>
        <v>#REF!</v>
      </c>
      <c r="BQ512" s="2" t="e">
        <f>VLOOKUP(H512,#REF!,13,FALSE)</f>
        <v>#REF!</v>
      </c>
    </row>
    <row r="513" spans="1:70" ht="15" customHeight="1" outlineLevel="2">
      <c r="A513" s="7"/>
      <c r="B513" s="7"/>
      <c r="C513" s="7"/>
      <c r="D513" s="7"/>
      <c r="E513" s="7"/>
      <c r="F513" s="7"/>
      <c r="G513" s="7"/>
      <c r="H513" s="11"/>
      <c r="I513" s="11"/>
      <c r="J513" s="11"/>
      <c r="K513" s="11"/>
      <c r="L513" s="292"/>
      <c r="M513" s="22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47"/>
      <c r="Z513" s="47"/>
      <c r="AM513" s="185" t="e">
        <f>VLOOKUP(CLEAN(H513),#REF!,7,FALSE)</f>
        <v>#REF!</v>
      </c>
      <c r="AO513"/>
      <c r="AP513"/>
      <c r="AQ513"/>
      <c r="AR513" s="2" t="e">
        <f>VLOOKUP(CLEAN(H513),#REF!,2,FALSE)</f>
        <v>#REF!</v>
      </c>
      <c r="AZ513" s="2" t="e">
        <f>VLOOKUP(H513,#REF!,2,FALSE)</f>
        <v>#REF!</v>
      </c>
      <c r="BO513" s="2" t="e">
        <f>VLOOKUP(H513,#REF!,13,FALSE)</f>
        <v>#REF!</v>
      </c>
      <c r="BP513" s="293"/>
      <c r="BQ513" s="2" t="e">
        <f>VLOOKUP(H513,#REF!,13,FALSE)</f>
        <v>#REF!</v>
      </c>
    </row>
    <row r="514" spans="1:70" ht="15" customHeight="1" outlineLevel="2">
      <c r="A514" s="7"/>
      <c r="B514" s="7"/>
      <c r="C514" s="7"/>
      <c r="D514" s="7"/>
      <c r="E514" s="7"/>
      <c r="F514" s="7"/>
      <c r="G514" s="7"/>
      <c r="H514" s="11"/>
      <c r="I514" s="11"/>
      <c r="J514" s="11"/>
      <c r="K514" s="11"/>
      <c r="L514" s="18" t="s">
        <v>696</v>
      </c>
      <c r="M514" s="22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47"/>
      <c r="Z514" s="47"/>
      <c r="AM514" s="185" t="e">
        <f>VLOOKUP(CLEAN(H514),#REF!,7,FALSE)</f>
        <v>#REF!</v>
      </c>
      <c r="AO514"/>
      <c r="AP514"/>
      <c r="AQ514"/>
      <c r="AR514" s="2" t="e">
        <f>VLOOKUP(CLEAN(H514),#REF!,2,FALSE)</f>
        <v>#REF!</v>
      </c>
      <c r="AZ514" s="2" t="e">
        <f>VLOOKUP(H514,#REF!,2,FALSE)</f>
        <v>#REF!</v>
      </c>
      <c r="BO514" s="2" t="e">
        <f>VLOOKUP(H514,#REF!,13,FALSE)</f>
        <v>#REF!</v>
      </c>
      <c r="BQ514" s="2" t="e">
        <f>VLOOKUP(H514,#REF!,13,FALSE)</f>
        <v>#REF!</v>
      </c>
    </row>
    <row r="515" spans="1:70" s="2" customFormat="1" ht="15" customHeight="1" outlineLevel="2">
      <c r="A515" s="5">
        <v>31</v>
      </c>
      <c r="B515" s="5" t="s">
        <v>11</v>
      </c>
      <c r="C515" s="5" t="s">
        <v>241</v>
      </c>
      <c r="D515" s="5" t="s">
        <v>30</v>
      </c>
      <c r="E515" s="5" t="s">
        <v>31</v>
      </c>
      <c r="F515" s="5" t="s">
        <v>89</v>
      </c>
      <c r="G515" s="5" t="s">
        <v>144</v>
      </c>
      <c r="H515" s="12">
        <v>30371775</v>
      </c>
      <c r="I515" s="42" t="str">
        <f t="shared" ref="I515:I519" si="294">CONCATENATE(H515,"-",G515)</f>
        <v>30371775-EJECUCION</v>
      </c>
      <c r="J515" s="12"/>
      <c r="K515" s="307" t="str">
        <f t="shared" ref="K515:K519" si="295">CLEAN(H515)</f>
        <v>30371775</v>
      </c>
      <c r="L515" s="15" t="s">
        <v>227</v>
      </c>
      <c r="M515" s="23">
        <v>200210000</v>
      </c>
      <c r="N515" s="34">
        <v>0</v>
      </c>
      <c r="O515" s="34">
        <v>10000000</v>
      </c>
      <c r="P515" s="310">
        <v>0</v>
      </c>
      <c r="Q515" s="34">
        <v>0</v>
      </c>
      <c r="R515" s="308">
        <v>0</v>
      </c>
      <c r="S515" s="34">
        <f t="shared" ref="S515:S519" si="296">P515+Q515+R515</f>
        <v>0</v>
      </c>
      <c r="T515" s="34">
        <v>0</v>
      </c>
      <c r="U515" s="34">
        <v>0</v>
      </c>
      <c r="V515" s="34">
        <f>P515+Q515+R515+T515+U515</f>
        <v>0</v>
      </c>
      <c r="W515" s="34">
        <f>O515-V515</f>
        <v>10000000</v>
      </c>
      <c r="X515" s="34">
        <f>M515-(N515+O515)</f>
        <v>190210000</v>
      </c>
      <c r="Y515" s="48" t="s">
        <v>246</v>
      </c>
      <c r="Z515" s="48" t="s">
        <v>357</v>
      </c>
      <c r="AA515" s="2" t="e">
        <v>#N/A</v>
      </c>
      <c r="AB515" s="2" t="e">
        <f>VLOOKUP(H515,#REF!,2,FALSE)</f>
        <v>#REF!</v>
      </c>
      <c r="AC515" s="2" t="e">
        <f>VLOOKUP(I515,#REF!,2,FALSE)</f>
        <v>#REF!</v>
      </c>
      <c r="AD515" s="2" t="e">
        <f>VLOOKUP(H515,#REF!,13,FALSE)</f>
        <v>#REF!</v>
      </c>
      <c r="AE515" s="2" t="e">
        <f>VLOOKUP(I515,#REF!,7,FALSE)</f>
        <v>#REF!</v>
      </c>
      <c r="AG515" s="2" t="e">
        <f>VLOOKUP(H515,#REF!,13,FALSE)</f>
        <v>#REF!</v>
      </c>
      <c r="AH515" s="2" t="e">
        <f>VLOOKUP(I515,#REF!,2,FALSE)</f>
        <v>#REF!</v>
      </c>
      <c r="AJ515" s="185" t="e">
        <f>VLOOKUP(H515,#REF!,3,FALSE)</f>
        <v>#REF!</v>
      </c>
      <c r="AK515" s="185"/>
      <c r="AL515" s="185" t="e">
        <f>VLOOKUP(H515,#REF!,13,FALSE)</f>
        <v>#REF!</v>
      </c>
      <c r="AM515" s="185" t="e">
        <f>VLOOKUP(CLEAN(H515),#REF!,7,FALSE)</f>
        <v>#REF!</v>
      </c>
      <c r="AN515" s="2" t="e">
        <f>VLOOKUP(H515,#REF!,8,FALSE)</f>
        <v>#REF!</v>
      </c>
      <c r="AO515" s="189" t="e">
        <f>VLOOKUP(H515,#REF!,2,FALSE)</f>
        <v>#REF!</v>
      </c>
      <c r="AP515" s="189" t="e">
        <f>VLOOKUP(H515,#REF!,2,FALSE)</f>
        <v>#REF!</v>
      </c>
      <c r="AQ515" s="189"/>
      <c r="AR515" s="2" t="e">
        <f>VLOOKUP(CLEAN(H515),#REF!,2,FALSE)</f>
        <v>#REF!</v>
      </c>
      <c r="AT515" s="2" t="e">
        <f>VLOOKUP(H515,#REF!,13,FALSE)</f>
        <v>#REF!</v>
      </c>
      <c r="AU515" s="2" t="e">
        <f>VLOOKUP(H515,#REF!,13,FALSE)</f>
        <v>#REF!</v>
      </c>
      <c r="AV515" s="2" t="e">
        <f>VLOOKUP(H515,#REF!,13,FALSE)</f>
        <v>#REF!</v>
      </c>
      <c r="AW515" s="2" t="e">
        <f>VLOOKUP(H515,#REF!,13,FALSE)</f>
        <v>#REF!</v>
      </c>
      <c r="AX515" s="2" t="e">
        <f>VLOOKUP(H515,#REF!,9,FALSE)</f>
        <v>#REF!</v>
      </c>
      <c r="AZ515" s="2" t="e">
        <f>VLOOKUP(H515,#REF!,2,FALSE)</f>
        <v>#REF!</v>
      </c>
      <c r="BF515" s="189" t="e">
        <f>VLOOKUP(CLEAN(H515),#REF!,2,FALSE)</f>
        <v>#REF!</v>
      </c>
      <c r="BG515" s="189" t="e">
        <f>T515-BF515</f>
        <v>#REF!</v>
      </c>
      <c r="BO515" s="2" t="e">
        <f>VLOOKUP(H515,#REF!,13,FALSE)</f>
        <v>#REF!</v>
      </c>
      <c r="BP515" s="2" t="e">
        <f>VLOOKUP(H515,#REF!,2,FALSE)</f>
        <v>#REF!</v>
      </c>
      <c r="BQ515" s="2" t="e">
        <f>VLOOKUP(H515,#REF!,13,FALSE)</f>
        <v>#REF!</v>
      </c>
      <c r="BR515" s="2" t="e">
        <f>VLOOKUP(H515,#REF!,3,FALSE)</f>
        <v>#REF!</v>
      </c>
    </row>
    <row r="516" spans="1:70" s="2" customFormat="1" ht="15" customHeight="1" outlineLevel="2">
      <c r="A516" s="5">
        <v>31</v>
      </c>
      <c r="B516" s="5" t="s">
        <v>11</v>
      </c>
      <c r="C516" s="5" t="s">
        <v>238</v>
      </c>
      <c r="D516" s="5" t="s">
        <v>30</v>
      </c>
      <c r="E516" s="5" t="s">
        <v>31</v>
      </c>
      <c r="F516" s="5" t="s">
        <v>6</v>
      </c>
      <c r="G516" s="5" t="s">
        <v>144</v>
      </c>
      <c r="H516" s="12">
        <v>30076949</v>
      </c>
      <c r="I516" s="42" t="str">
        <f t="shared" si="294"/>
        <v>30076949-EJECUCION</v>
      </c>
      <c r="J516" s="12"/>
      <c r="K516" s="307" t="str">
        <f t="shared" si="295"/>
        <v>30076949</v>
      </c>
      <c r="L516" s="15" t="s">
        <v>332</v>
      </c>
      <c r="M516" s="23">
        <v>6869766000</v>
      </c>
      <c r="N516" s="34">
        <v>0</v>
      </c>
      <c r="O516" s="34">
        <v>10000000</v>
      </c>
      <c r="P516" s="310">
        <v>0</v>
      </c>
      <c r="Q516" s="34">
        <v>0</v>
      </c>
      <c r="R516" s="308">
        <v>0</v>
      </c>
      <c r="S516" s="34">
        <f t="shared" si="296"/>
        <v>0</v>
      </c>
      <c r="T516" s="34">
        <v>0</v>
      </c>
      <c r="U516" s="34">
        <v>0</v>
      </c>
      <c r="V516" s="34">
        <f>P516+Q516+R516+T516+U516</f>
        <v>0</v>
      </c>
      <c r="W516" s="34">
        <f>O516-V516</f>
        <v>10000000</v>
      </c>
      <c r="X516" s="34">
        <f>M516-(N516+O516)</f>
        <v>6859766000</v>
      </c>
      <c r="Y516" s="48" t="s">
        <v>246</v>
      </c>
      <c r="Z516" s="48" t="s">
        <v>259</v>
      </c>
      <c r="AA516" s="2" t="e">
        <v>#N/A</v>
      </c>
      <c r="AB516" s="2" t="e">
        <f>VLOOKUP(H516,#REF!,2,FALSE)</f>
        <v>#REF!</v>
      </c>
      <c r="AC516" s="2" t="e">
        <f>VLOOKUP(I516,#REF!,2,FALSE)</f>
        <v>#REF!</v>
      </c>
      <c r="AD516" s="2" t="e">
        <f>VLOOKUP(H516,#REF!,13,FALSE)</f>
        <v>#REF!</v>
      </c>
      <c r="AE516" s="2" t="e">
        <f>VLOOKUP(I516,#REF!,7,FALSE)</f>
        <v>#REF!</v>
      </c>
      <c r="AG516" s="2" t="e">
        <f>VLOOKUP(H516,#REF!,13,FALSE)</f>
        <v>#REF!</v>
      </c>
      <c r="AH516" s="2" t="e">
        <f>VLOOKUP(I516,#REF!,2,FALSE)</f>
        <v>#REF!</v>
      </c>
      <c r="AJ516" s="185" t="e">
        <f>VLOOKUP(H516,#REF!,3,FALSE)</f>
        <v>#REF!</v>
      </c>
      <c r="AK516" s="185"/>
      <c r="AL516" s="185" t="e">
        <f>VLOOKUP(H516,#REF!,13,FALSE)</f>
        <v>#REF!</v>
      </c>
      <c r="AM516" s="185" t="e">
        <f>VLOOKUP(CLEAN(H516),#REF!,7,FALSE)</f>
        <v>#REF!</v>
      </c>
      <c r="AN516" s="2" t="e">
        <f>VLOOKUP(H516,#REF!,8,FALSE)</f>
        <v>#REF!</v>
      </c>
      <c r="AO516" s="189" t="e">
        <f>VLOOKUP(H516,#REF!,2,FALSE)</f>
        <v>#REF!</v>
      </c>
      <c r="AP516" s="189" t="e">
        <f>VLOOKUP(H516,#REF!,2,FALSE)</f>
        <v>#REF!</v>
      </c>
      <c r="AQ516" s="189"/>
      <c r="AR516" s="2" t="e">
        <f>VLOOKUP(CLEAN(H516),#REF!,2,FALSE)</f>
        <v>#REF!</v>
      </c>
      <c r="AT516" s="2" t="e">
        <f>VLOOKUP(H516,#REF!,13,FALSE)</f>
        <v>#REF!</v>
      </c>
      <c r="AU516" s="2" t="e">
        <f>VLOOKUP(H516,#REF!,13,FALSE)</f>
        <v>#REF!</v>
      </c>
      <c r="AV516" s="2" t="e">
        <f>VLOOKUP(H516,#REF!,13,FALSE)</f>
        <v>#REF!</v>
      </c>
      <c r="AW516" s="2" t="e">
        <f>VLOOKUP(H516,#REF!,13,FALSE)</f>
        <v>#REF!</v>
      </c>
      <c r="AX516" s="2" t="e">
        <f>VLOOKUP(H516,#REF!,9,FALSE)</f>
        <v>#REF!</v>
      </c>
      <c r="AZ516" s="2" t="e">
        <f>VLOOKUP(H516,#REF!,2,FALSE)</f>
        <v>#REF!</v>
      </c>
      <c r="BF516" s="189" t="e">
        <f>VLOOKUP(CLEAN(H516),#REF!,2,FALSE)</f>
        <v>#REF!</v>
      </c>
      <c r="BG516" s="189" t="e">
        <f>T516-BF516</f>
        <v>#REF!</v>
      </c>
      <c r="BO516" s="2" t="e">
        <f>VLOOKUP(H516,#REF!,13,FALSE)</f>
        <v>#REF!</v>
      </c>
      <c r="BP516" s="2" t="e">
        <f>VLOOKUP(H516,#REF!,2,FALSE)</f>
        <v>#REF!</v>
      </c>
      <c r="BQ516" s="2" t="e">
        <f>VLOOKUP(H516,#REF!,13,FALSE)</f>
        <v>#REF!</v>
      </c>
      <c r="BR516" s="2" t="e">
        <f>VLOOKUP(H516,#REF!,3,FALSE)</f>
        <v>#REF!</v>
      </c>
    </row>
    <row r="517" spans="1:70" s="2" customFormat="1" ht="15" customHeight="1" outlineLevel="2">
      <c r="A517" s="5">
        <v>31</v>
      </c>
      <c r="B517" s="5" t="s">
        <v>11</v>
      </c>
      <c r="C517" s="5" t="s">
        <v>240</v>
      </c>
      <c r="D517" s="5" t="s">
        <v>30</v>
      </c>
      <c r="E517" s="5" t="s">
        <v>31</v>
      </c>
      <c r="F517" s="5" t="s">
        <v>457</v>
      </c>
      <c r="G517" s="5" t="s">
        <v>144</v>
      </c>
      <c r="H517" s="12">
        <v>20140221</v>
      </c>
      <c r="I517" s="42" t="str">
        <f t="shared" si="294"/>
        <v>20140221-EJECUCION</v>
      </c>
      <c r="J517" s="12" t="s">
        <v>727</v>
      </c>
      <c r="K517" s="307" t="str">
        <f t="shared" si="295"/>
        <v>20140221</v>
      </c>
      <c r="L517" s="15" t="s">
        <v>354</v>
      </c>
      <c r="M517" s="23">
        <v>465211000</v>
      </c>
      <c r="N517" s="34">
        <v>0</v>
      </c>
      <c r="O517" s="34">
        <f>46521100-29574885</f>
        <v>16946215</v>
      </c>
      <c r="P517" s="310">
        <v>0</v>
      </c>
      <c r="Q517" s="34">
        <v>0</v>
      </c>
      <c r="R517" s="308">
        <v>0</v>
      </c>
      <c r="S517" s="34">
        <f t="shared" si="296"/>
        <v>0</v>
      </c>
      <c r="T517" s="34">
        <v>0</v>
      </c>
      <c r="U517" s="34">
        <v>0</v>
      </c>
      <c r="V517" s="34">
        <f>P517+Q517+R517+T517+U517</f>
        <v>0</v>
      </c>
      <c r="W517" s="34">
        <f>O517-V517</f>
        <v>16946215</v>
      </c>
      <c r="X517" s="34">
        <f>M517-(N517+O517)</f>
        <v>448264785</v>
      </c>
      <c r="Y517" s="48" t="s">
        <v>246</v>
      </c>
      <c r="Z517" s="48" t="s">
        <v>270</v>
      </c>
      <c r="AA517" s="2" t="e">
        <v>#N/A</v>
      </c>
      <c r="AB517" s="2" t="e">
        <f>VLOOKUP(H517,#REF!,2,FALSE)</f>
        <v>#REF!</v>
      </c>
      <c r="AC517" s="2" t="e">
        <f>VLOOKUP(I517,#REF!,2,FALSE)</f>
        <v>#REF!</v>
      </c>
      <c r="AD517" s="2" t="e">
        <f>VLOOKUP(H517,#REF!,13,FALSE)</f>
        <v>#REF!</v>
      </c>
      <c r="AE517" s="2" t="e">
        <f>VLOOKUP(I517,#REF!,7,FALSE)</f>
        <v>#REF!</v>
      </c>
      <c r="AG517" s="2" t="e">
        <f>VLOOKUP(H517,#REF!,13,FALSE)</f>
        <v>#REF!</v>
      </c>
      <c r="AH517" s="2" t="e">
        <f>VLOOKUP(I517,#REF!,2,FALSE)</f>
        <v>#REF!</v>
      </c>
      <c r="AJ517" s="185" t="e">
        <f>VLOOKUP(H517,#REF!,3,FALSE)</f>
        <v>#REF!</v>
      </c>
      <c r="AK517" s="185"/>
      <c r="AL517" s="185" t="e">
        <f>VLOOKUP(H517,#REF!,13,FALSE)</f>
        <v>#REF!</v>
      </c>
      <c r="AM517" s="185" t="e">
        <f>VLOOKUP(CLEAN(H517),#REF!,7,FALSE)</f>
        <v>#REF!</v>
      </c>
      <c r="AN517" s="2" t="e">
        <f>VLOOKUP(H517,#REF!,8,FALSE)</f>
        <v>#REF!</v>
      </c>
      <c r="AO517" s="189" t="e">
        <f>VLOOKUP(H517,#REF!,2,FALSE)</f>
        <v>#REF!</v>
      </c>
      <c r="AP517" s="189" t="e">
        <f>VLOOKUP(H517,#REF!,2,FALSE)</f>
        <v>#REF!</v>
      </c>
      <c r="AQ517" s="189"/>
      <c r="AR517" s="2" t="e">
        <f>VLOOKUP(CLEAN(H517),#REF!,2,FALSE)</f>
        <v>#REF!</v>
      </c>
      <c r="AT517" s="2" t="e">
        <f>VLOOKUP(H517,#REF!,13,FALSE)</f>
        <v>#REF!</v>
      </c>
      <c r="AU517" s="2" t="e">
        <f>VLOOKUP(H517,#REF!,13,FALSE)</f>
        <v>#REF!</v>
      </c>
      <c r="AV517" s="2" t="e">
        <f>VLOOKUP(H517,#REF!,13,FALSE)</f>
        <v>#REF!</v>
      </c>
      <c r="AW517" s="2" t="e">
        <f>VLOOKUP(H517,#REF!,13,FALSE)</f>
        <v>#REF!</v>
      </c>
      <c r="AX517" s="2" t="e">
        <f>VLOOKUP(H517,#REF!,9,FALSE)</f>
        <v>#REF!</v>
      </c>
      <c r="AZ517" s="2" t="e">
        <f>VLOOKUP(H517,#REF!,2,FALSE)</f>
        <v>#REF!</v>
      </c>
      <c r="BF517" s="189" t="e">
        <f>VLOOKUP(CLEAN(H517),#REF!,2,FALSE)</f>
        <v>#REF!</v>
      </c>
      <c r="BG517" s="189" t="e">
        <f>T517-BF517</f>
        <v>#REF!</v>
      </c>
      <c r="BO517" s="2" t="e">
        <f>VLOOKUP(H517,#REF!,13,FALSE)</f>
        <v>#REF!</v>
      </c>
      <c r="BP517" s="2" t="e">
        <f>VLOOKUP(H517,#REF!,2,FALSE)</f>
        <v>#REF!</v>
      </c>
      <c r="BQ517" s="2" t="e">
        <f>VLOOKUP(H517,#REF!,13,FALSE)</f>
        <v>#REF!</v>
      </c>
      <c r="BR517" s="2" t="e">
        <f>VLOOKUP(H517,#REF!,3,FALSE)</f>
        <v>#REF!</v>
      </c>
    </row>
    <row r="518" spans="1:70" s="2" customFormat="1" ht="15" customHeight="1" outlineLevel="2">
      <c r="A518" s="5">
        <v>31</v>
      </c>
      <c r="B518" s="5" t="s">
        <v>11</v>
      </c>
      <c r="C518" s="5" t="s">
        <v>275</v>
      </c>
      <c r="D518" s="5" t="s">
        <v>30</v>
      </c>
      <c r="E518" s="5" t="s">
        <v>31</v>
      </c>
      <c r="F518" s="5" t="s">
        <v>457</v>
      </c>
      <c r="G518" s="5" t="s">
        <v>9</v>
      </c>
      <c r="H518" s="12">
        <v>40001645</v>
      </c>
      <c r="I518" s="42" t="str">
        <f t="shared" si="294"/>
        <v>40001645-DISEÑO</v>
      </c>
      <c r="J518" s="12"/>
      <c r="K518" s="307" t="str">
        <f t="shared" si="295"/>
        <v>40001645</v>
      </c>
      <c r="L518" s="15" t="s">
        <v>504</v>
      </c>
      <c r="M518" s="23">
        <v>62000000</v>
      </c>
      <c r="N518" s="34">
        <v>0</v>
      </c>
      <c r="O518" s="34">
        <v>6200000</v>
      </c>
      <c r="P518" s="310">
        <v>0</v>
      </c>
      <c r="Q518" s="34">
        <v>0</v>
      </c>
      <c r="R518" s="308">
        <v>0</v>
      </c>
      <c r="S518" s="34">
        <f t="shared" si="296"/>
        <v>0</v>
      </c>
      <c r="T518" s="34">
        <v>0</v>
      </c>
      <c r="U518" s="34">
        <v>0</v>
      </c>
      <c r="V518" s="34">
        <f>P518+Q518+R518+T518+U518</f>
        <v>0</v>
      </c>
      <c r="W518" s="34">
        <f>O518-V518</f>
        <v>6200000</v>
      </c>
      <c r="X518" s="34">
        <f>M518-(N518+O518)</f>
        <v>55800000</v>
      </c>
      <c r="Y518" s="48" t="s">
        <v>246</v>
      </c>
      <c r="Z518" s="48" t="s">
        <v>357</v>
      </c>
      <c r="AA518" s="2" t="e">
        <v>#N/A</v>
      </c>
      <c r="AB518" s="2" t="e">
        <f>VLOOKUP(H518,#REF!,2,FALSE)</f>
        <v>#REF!</v>
      </c>
      <c r="AC518" s="2" t="e">
        <f>VLOOKUP(I518,#REF!,2,FALSE)</f>
        <v>#REF!</v>
      </c>
      <c r="AD518" s="2" t="e">
        <f>VLOOKUP(H518,#REF!,13,FALSE)</f>
        <v>#REF!</v>
      </c>
      <c r="AE518" s="2" t="e">
        <f>VLOOKUP(I518,#REF!,7,FALSE)</f>
        <v>#REF!</v>
      </c>
      <c r="AG518" s="2" t="e">
        <f>VLOOKUP(H518,#REF!,13,FALSE)</f>
        <v>#REF!</v>
      </c>
      <c r="AH518" s="2" t="e">
        <f>VLOOKUP(I518,#REF!,2,FALSE)</f>
        <v>#REF!</v>
      </c>
      <c r="AJ518" s="185" t="e">
        <f>VLOOKUP(H518,#REF!,3,FALSE)</f>
        <v>#REF!</v>
      </c>
      <c r="AK518" s="185"/>
      <c r="AL518" s="185" t="e">
        <f>VLOOKUP(H518,#REF!,13,FALSE)</f>
        <v>#REF!</v>
      </c>
      <c r="AM518" s="185" t="e">
        <f>VLOOKUP(CLEAN(H518),#REF!,7,FALSE)</f>
        <v>#REF!</v>
      </c>
      <c r="AN518" s="2" t="e">
        <f>VLOOKUP(H518,#REF!,8,FALSE)</f>
        <v>#REF!</v>
      </c>
      <c r="AO518" s="189" t="e">
        <f>VLOOKUP(H518,#REF!,2,FALSE)</f>
        <v>#REF!</v>
      </c>
      <c r="AP518" s="189" t="e">
        <f>VLOOKUP(H518,#REF!,2,FALSE)</f>
        <v>#REF!</v>
      </c>
      <c r="AQ518" s="189"/>
      <c r="AR518" s="2" t="e">
        <f>VLOOKUP(CLEAN(H518),#REF!,2,FALSE)</f>
        <v>#REF!</v>
      </c>
      <c r="AT518" s="2" t="e">
        <f>VLOOKUP(H518,#REF!,13,FALSE)</f>
        <v>#REF!</v>
      </c>
      <c r="AU518" s="2" t="e">
        <f>VLOOKUP(H518,#REF!,13,FALSE)</f>
        <v>#REF!</v>
      </c>
      <c r="AV518" s="2" t="e">
        <f>VLOOKUP(H518,#REF!,13,FALSE)</f>
        <v>#REF!</v>
      </c>
      <c r="AW518" s="2" t="e">
        <f>VLOOKUP(H518,#REF!,13,FALSE)</f>
        <v>#REF!</v>
      </c>
      <c r="AX518" s="2" t="e">
        <f>VLOOKUP(H518,#REF!,9,FALSE)</f>
        <v>#REF!</v>
      </c>
      <c r="AZ518" s="2" t="e">
        <f>VLOOKUP(H518,#REF!,2,FALSE)</f>
        <v>#REF!</v>
      </c>
      <c r="BF518" s="189" t="e">
        <f>VLOOKUP(CLEAN(H518),#REF!,2,FALSE)</f>
        <v>#REF!</v>
      </c>
      <c r="BG518" s="189" t="e">
        <f>T518-BF518</f>
        <v>#REF!</v>
      </c>
      <c r="BO518" s="2" t="e">
        <f>VLOOKUP(H518,#REF!,13,FALSE)</f>
        <v>#REF!</v>
      </c>
      <c r="BP518" s="2" t="e">
        <f>VLOOKUP(H518,#REF!,2,FALSE)</f>
        <v>#REF!</v>
      </c>
      <c r="BQ518" s="2" t="e">
        <f>VLOOKUP(H518,#REF!,13,FALSE)</f>
        <v>#REF!</v>
      </c>
      <c r="BR518" s="2" t="e">
        <f>VLOOKUP(H518,#REF!,3,FALSE)</f>
        <v>#REF!</v>
      </c>
    </row>
    <row r="519" spans="1:70" s="2" customFormat="1" ht="15" customHeight="1" outlineLevel="2">
      <c r="A519" s="5">
        <v>31</v>
      </c>
      <c r="B519" s="5" t="s">
        <v>11</v>
      </c>
      <c r="C519" s="5" t="s">
        <v>248</v>
      </c>
      <c r="D519" s="5" t="s">
        <v>30</v>
      </c>
      <c r="E519" s="5" t="s">
        <v>31</v>
      </c>
      <c r="F519" s="5" t="s">
        <v>14</v>
      </c>
      <c r="G519" s="5" t="s">
        <v>144</v>
      </c>
      <c r="H519" s="12">
        <v>30486273</v>
      </c>
      <c r="I519" s="42" t="str">
        <f t="shared" si="294"/>
        <v>30486273-EJECUCION</v>
      </c>
      <c r="J519" s="12"/>
      <c r="K519" s="307" t="str">
        <f t="shared" si="295"/>
        <v>30486273</v>
      </c>
      <c r="L519" s="15" t="s">
        <v>334</v>
      </c>
      <c r="M519" s="23">
        <v>240000000</v>
      </c>
      <c r="N519" s="34">
        <v>0</v>
      </c>
      <c r="O519" s="34">
        <v>12000000</v>
      </c>
      <c r="P519" s="310">
        <v>0</v>
      </c>
      <c r="Q519" s="34">
        <v>0</v>
      </c>
      <c r="R519" s="308">
        <v>0</v>
      </c>
      <c r="S519" s="34">
        <f t="shared" si="296"/>
        <v>0</v>
      </c>
      <c r="T519" s="34">
        <v>0</v>
      </c>
      <c r="U519" s="34">
        <v>0</v>
      </c>
      <c r="V519" s="34">
        <f>P519+Q519+R519+T519+U519</f>
        <v>0</v>
      </c>
      <c r="W519" s="34">
        <f>O519-V519</f>
        <v>12000000</v>
      </c>
      <c r="X519" s="34">
        <f>M519-(N519+O519)</f>
        <v>228000000</v>
      </c>
      <c r="Y519" s="48" t="s">
        <v>246</v>
      </c>
      <c r="Z519" s="48" t="s">
        <v>357</v>
      </c>
      <c r="AA519" s="2" t="e">
        <v>#N/A</v>
      </c>
      <c r="AB519" s="2" t="e">
        <f>VLOOKUP(H519,#REF!,2,FALSE)</f>
        <v>#REF!</v>
      </c>
      <c r="AC519" s="2" t="e">
        <f>VLOOKUP(I519,#REF!,2,FALSE)</f>
        <v>#REF!</v>
      </c>
      <c r="AD519" s="2" t="e">
        <f>VLOOKUP(H519,#REF!,13,FALSE)</f>
        <v>#REF!</v>
      </c>
      <c r="AE519" s="2" t="e">
        <f>VLOOKUP(I519,#REF!,7,FALSE)</f>
        <v>#REF!</v>
      </c>
      <c r="AG519" s="2" t="e">
        <f>VLOOKUP(H519,#REF!,13,FALSE)</f>
        <v>#REF!</v>
      </c>
      <c r="AH519" s="2" t="e">
        <f>VLOOKUP(I519,#REF!,2,FALSE)</f>
        <v>#REF!</v>
      </c>
      <c r="AJ519" s="185" t="e">
        <f>VLOOKUP(H519,#REF!,3,FALSE)</f>
        <v>#REF!</v>
      </c>
      <c r="AK519" s="185"/>
      <c r="AL519" s="185" t="e">
        <f>VLOOKUP(H519,#REF!,13,FALSE)</f>
        <v>#REF!</v>
      </c>
      <c r="AM519" s="185" t="e">
        <f>VLOOKUP(CLEAN(H519),#REF!,7,FALSE)</f>
        <v>#REF!</v>
      </c>
      <c r="AN519" s="2" t="e">
        <f>VLOOKUP(H519,#REF!,8,FALSE)</f>
        <v>#REF!</v>
      </c>
      <c r="AO519" s="189" t="e">
        <f>VLOOKUP(H519,#REF!,2,FALSE)</f>
        <v>#REF!</v>
      </c>
      <c r="AP519" s="189" t="e">
        <f>VLOOKUP(H519,#REF!,2,FALSE)</f>
        <v>#REF!</v>
      </c>
      <c r="AQ519" s="189"/>
      <c r="AR519" s="2" t="e">
        <f>VLOOKUP(CLEAN(H519),#REF!,2,FALSE)</f>
        <v>#REF!</v>
      </c>
      <c r="AT519" s="2" t="e">
        <f>VLOOKUP(H519,#REF!,13,FALSE)</f>
        <v>#REF!</v>
      </c>
      <c r="AU519" s="2" t="e">
        <f>VLOOKUP(H519,#REF!,13,FALSE)</f>
        <v>#REF!</v>
      </c>
      <c r="AV519" s="2" t="e">
        <f>VLOOKUP(H519,#REF!,13,FALSE)</f>
        <v>#REF!</v>
      </c>
      <c r="AW519" s="2" t="e">
        <f>VLOOKUP(H519,#REF!,13,FALSE)</f>
        <v>#REF!</v>
      </c>
      <c r="AX519" s="2" t="e">
        <f>VLOOKUP(H519,#REF!,9,FALSE)</f>
        <v>#REF!</v>
      </c>
      <c r="AZ519" s="2" t="e">
        <f>VLOOKUP(H519,#REF!,2,FALSE)</f>
        <v>#REF!</v>
      </c>
      <c r="BF519" s="189" t="e">
        <f>VLOOKUP(CLEAN(H519),#REF!,2,FALSE)</f>
        <v>#REF!</v>
      </c>
      <c r="BG519" s="189" t="e">
        <f>T519-BF519</f>
        <v>#REF!</v>
      </c>
      <c r="BO519" s="2" t="e">
        <f>VLOOKUP(H519,#REF!,13,FALSE)</f>
        <v>#REF!</v>
      </c>
      <c r="BP519" s="2" t="e">
        <f>VLOOKUP(H519,#REF!,2,FALSE)</f>
        <v>#REF!</v>
      </c>
      <c r="BQ519" s="2" t="e">
        <f>VLOOKUP(H519,#REF!,13,FALSE)</f>
        <v>#REF!</v>
      </c>
      <c r="BR519" s="2" t="e">
        <f>VLOOKUP(H519,#REF!,3,FALSE)</f>
        <v>#REF!</v>
      </c>
    </row>
    <row r="520" spans="1:70" ht="15" customHeight="1" outlineLevel="2">
      <c r="A520" s="7"/>
      <c r="B520" s="7"/>
      <c r="C520" s="7"/>
      <c r="D520" s="7"/>
      <c r="E520" s="7"/>
      <c r="F520" s="7"/>
      <c r="G520" s="7"/>
      <c r="H520" s="11"/>
      <c r="I520" s="11"/>
      <c r="J520" s="11"/>
      <c r="K520" s="11"/>
      <c r="L520" s="17" t="s">
        <v>693</v>
      </c>
      <c r="M520" s="27">
        <f>SUBTOTAL(9,M515:M519)</f>
        <v>7837187000</v>
      </c>
      <c r="N520" s="27">
        <f t="shared" ref="N520:O520" si="297">SUBTOTAL(9,N515:N519)</f>
        <v>0</v>
      </c>
      <c r="O520" s="27">
        <f t="shared" si="297"/>
        <v>55146215</v>
      </c>
      <c r="P520" s="24">
        <f t="shared" ref="P520:X520" si="298">SUBTOTAL(9,P515:P519)</f>
        <v>0</v>
      </c>
      <c r="Q520" s="24">
        <f t="shared" si="298"/>
        <v>0</v>
      </c>
      <c r="R520" s="24">
        <f t="shared" si="298"/>
        <v>0</v>
      </c>
      <c r="S520" s="27">
        <f t="shared" si="298"/>
        <v>0</v>
      </c>
      <c r="T520" s="27">
        <f t="shared" si="298"/>
        <v>0</v>
      </c>
      <c r="U520" s="27">
        <f t="shared" si="298"/>
        <v>0</v>
      </c>
      <c r="V520" s="27">
        <f t="shared" si="298"/>
        <v>0</v>
      </c>
      <c r="W520" s="27">
        <f t="shared" si="298"/>
        <v>55146215</v>
      </c>
      <c r="X520" s="27">
        <f t="shared" si="298"/>
        <v>7782040785</v>
      </c>
      <c r="Y520" s="47"/>
      <c r="Z520" s="47"/>
      <c r="AM520" s="185" t="e">
        <f>VLOOKUP(CLEAN(H520),#REF!,7,FALSE)</f>
        <v>#REF!</v>
      </c>
      <c r="AO520"/>
      <c r="AP520"/>
      <c r="AQ520"/>
      <c r="AR520" s="2" t="e">
        <f>VLOOKUP(CLEAN(H520),#REF!,2,FALSE)</f>
        <v>#REF!</v>
      </c>
      <c r="AZ520" s="2" t="e">
        <f>VLOOKUP(H520,#REF!,2,FALSE)</f>
        <v>#REF!</v>
      </c>
      <c r="BO520" s="2" t="e">
        <f>VLOOKUP(H520,#REF!,13,FALSE)</f>
        <v>#REF!</v>
      </c>
      <c r="BQ520" s="2" t="e">
        <f>VLOOKUP(H520,#REF!,13,FALSE)</f>
        <v>#REF!</v>
      </c>
    </row>
    <row r="521" spans="1:70" ht="15" customHeight="1" outlineLevel="2">
      <c r="A521" s="7"/>
      <c r="B521" s="7"/>
      <c r="C521" s="7"/>
      <c r="D521" s="7"/>
      <c r="E521" s="7"/>
      <c r="F521" s="7"/>
      <c r="G521" s="7"/>
      <c r="H521" s="11"/>
      <c r="I521" s="11"/>
      <c r="J521" s="11"/>
      <c r="K521" s="11"/>
      <c r="L521" s="292"/>
      <c r="M521" s="22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47"/>
      <c r="Z521" s="47"/>
      <c r="AM521" s="185" t="e">
        <f>VLOOKUP(CLEAN(H521),#REF!,7,FALSE)</f>
        <v>#REF!</v>
      </c>
      <c r="AO521"/>
      <c r="AP521"/>
      <c r="AQ521"/>
      <c r="AR521" s="2" t="e">
        <f>VLOOKUP(CLEAN(H521),#REF!,2,FALSE)</f>
        <v>#REF!</v>
      </c>
      <c r="AZ521" s="2" t="e">
        <f>VLOOKUP(H521,#REF!,2,FALSE)</f>
        <v>#REF!</v>
      </c>
      <c r="BO521" s="2" t="e">
        <f>VLOOKUP(H521,#REF!,13,FALSE)</f>
        <v>#REF!</v>
      </c>
      <c r="BP521" s="293"/>
      <c r="BQ521" s="2" t="e">
        <f>VLOOKUP(H521,#REF!,13,FALSE)</f>
        <v>#REF!</v>
      </c>
    </row>
    <row r="522" spans="1:70" ht="18.75" customHeight="1" outlineLevel="1">
      <c r="A522" s="7"/>
      <c r="B522" s="7"/>
      <c r="C522" s="7"/>
      <c r="D522" s="7"/>
      <c r="E522" s="8"/>
      <c r="F522" s="7"/>
      <c r="G522" s="7"/>
      <c r="H522" s="11"/>
      <c r="I522" s="11"/>
      <c r="J522" s="11"/>
      <c r="K522" s="11"/>
      <c r="L522" s="45" t="s">
        <v>163</v>
      </c>
      <c r="M522" s="46">
        <f t="shared" ref="M522:X522" si="299">M520+M512+M507</f>
        <v>16156939622</v>
      </c>
      <c r="N522" s="46">
        <f t="shared" si="299"/>
        <v>4077499258</v>
      </c>
      <c r="O522" s="46">
        <f t="shared" si="299"/>
        <v>2078011464</v>
      </c>
      <c r="P522" s="46">
        <f t="shared" si="299"/>
        <v>0</v>
      </c>
      <c r="Q522" s="46">
        <f t="shared" si="299"/>
        <v>134606518</v>
      </c>
      <c r="R522" s="46">
        <f t="shared" si="299"/>
        <v>244089045</v>
      </c>
      <c r="S522" s="46">
        <f t="shared" si="299"/>
        <v>378695563</v>
      </c>
      <c r="T522" s="46">
        <f t="shared" si="299"/>
        <v>0</v>
      </c>
      <c r="U522" s="46">
        <f t="shared" si="299"/>
        <v>328480891</v>
      </c>
      <c r="V522" s="46">
        <f t="shared" si="299"/>
        <v>707176454</v>
      </c>
      <c r="W522" s="46">
        <f t="shared" si="299"/>
        <v>1370835010</v>
      </c>
      <c r="X522" s="46">
        <f t="shared" si="299"/>
        <v>10001428900</v>
      </c>
      <c r="Y522" s="47"/>
      <c r="Z522" s="47"/>
      <c r="AM522" s="185" t="e">
        <f>VLOOKUP(CLEAN(H522),#REF!,7,FALSE)</f>
        <v>#REF!</v>
      </c>
      <c r="AO522"/>
      <c r="AP522"/>
      <c r="AQ522"/>
      <c r="AR522" s="2" t="e">
        <f>VLOOKUP(CLEAN(H522),#REF!,2,FALSE)</f>
        <v>#REF!</v>
      </c>
      <c r="AZ522" s="2" t="e">
        <f>VLOOKUP(H522,#REF!,2,FALSE)</f>
        <v>#REF!</v>
      </c>
      <c r="BO522" s="2" t="e">
        <f>VLOOKUP(H522,#REF!,13,FALSE)</f>
        <v>#REF!</v>
      </c>
      <c r="BQ522" s="2" t="e">
        <f>VLOOKUP(H522,#REF!,13,FALSE)</f>
        <v>#REF!</v>
      </c>
    </row>
    <row r="523" spans="1:70" s="3" customFormat="1" ht="15" customHeight="1" outlineLevel="1">
      <c r="A523" s="7"/>
      <c r="B523" s="7"/>
      <c r="C523" s="7"/>
      <c r="D523" s="7"/>
      <c r="E523" s="8"/>
      <c r="F523" s="7"/>
      <c r="G523" s="7"/>
      <c r="H523" s="11"/>
      <c r="I523" s="11"/>
      <c r="J523" s="11"/>
      <c r="K523" s="11"/>
      <c r="L523" s="294"/>
      <c r="M523" s="26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47"/>
      <c r="Z523" s="47"/>
      <c r="AJ523" s="186"/>
      <c r="AK523" s="186"/>
      <c r="AL523" s="186"/>
      <c r="AM523" s="185" t="e">
        <f>VLOOKUP(CLEAN(H523),#REF!,7,FALSE)</f>
        <v>#REF!</v>
      </c>
      <c r="AR523" s="2" t="e">
        <f>VLOOKUP(CLEAN(H523),#REF!,2,FALSE)</f>
        <v>#REF!</v>
      </c>
      <c r="AZ523" s="2" t="e">
        <f>VLOOKUP(H523,#REF!,2,FALSE)</f>
        <v>#REF!</v>
      </c>
      <c r="BF523" s="193"/>
      <c r="BO523" s="2" t="e">
        <f>VLOOKUP(H523,#REF!,13,FALSE)</f>
        <v>#REF!</v>
      </c>
      <c r="BP523" s="7"/>
      <c r="BQ523" s="2" t="e">
        <f>VLOOKUP(H523,#REF!,13,FALSE)</f>
        <v>#REF!</v>
      </c>
    </row>
    <row r="524" spans="1:70" ht="26.25" customHeight="1" outlineLevel="1">
      <c r="A524" s="7"/>
      <c r="B524" s="7"/>
      <c r="C524" s="7"/>
      <c r="D524" s="7"/>
      <c r="E524" s="8"/>
      <c r="F524" s="7"/>
      <c r="G524" s="7"/>
      <c r="H524" s="11"/>
      <c r="I524" s="11"/>
      <c r="J524" s="11"/>
      <c r="K524" s="11"/>
      <c r="L524" s="57" t="s">
        <v>198</v>
      </c>
      <c r="M524" s="26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47"/>
      <c r="Z524" s="47"/>
      <c r="AM524" s="185" t="e">
        <f>VLOOKUP(CLEAN(H524),#REF!,7,FALSE)</f>
        <v>#REF!</v>
      </c>
      <c r="AO524"/>
      <c r="AP524"/>
      <c r="AQ524"/>
      <c r="AR524" s="2" t="e">
        <f>VLOOKUP(CLEAN(H524),#REF!,2,FALSE)</f>
        <v>#REF!</v>
      </c>
      <c r="AZ524" s="2" t="e">
        <f>VLOOKUP(H524,#REF!,2,FALSE)</f>
        <v>#REF!</v>
      </c>
      <c r="BO524" s="2" t="e">
        <f>VLOOKUP(H524,#REF!,13,FALSE)</f>
        <v>#REF!</v>
      </c>
      <c r="BQ524" s="2" t="e">
        <f>VLOOKUP(H524,#REF!,13,FALSE)</f>
        <v>#REF!</v>
      </c>
    </row>
    <row r="525" spans="1:70" ht="15" customHeight="1" outlineLevel="1">
      <c r="A525" s="7"/>
      <c r="B525" s="7"/>
      <c r="C525" s="7"/>
      <c r="D525" s="7"/>
      <c r="E525" s="8"/>
      <c r="F525" s="7"/>
      <c r="G525" s="7"/>
      <c r="H525" s="11"/>
      <c r="I525" s="11"/>
      <c r="J525" s="11"/>
      <c r="K525" s="11"/>
      <c r="L525" s="18" t="s">
        <v>695</v>
      </c>
      <c r="M525" s="26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47"/>
      <c r="Z525" s="47"/>
      <c r="AM525" s="185" t="e">
        <f>VLOOKUP(CLEAN(H525),#REF!,7,FALSE)</f>
        <v>#REF!</v>
      </c>
      <c r="AO525"/>
      <c r="AP525"/>
      <c r="AQ525"/>
      <c r="AR525" s="2" t="e">
        <f>VLOOKUP(CLEAN(H525),#REF!,2,FALSE)</f>
        <v>#REF!</v>
      </c>
      <c r="AZ525" s="2" t="e">
        <f>VLOOKUP(H525,#REF!,2,FALSE)</f>
        <v>#REF!</v>
      </c>
      <c r="BO525" s="2" t="e">
        <f>VLOOKUP(H525,#REF!,13,FALSE)</f>
        <v>#REF!</v>
      </c>
      <c r="BQ525" s="2" t="e">
        <f>VLOOKUP(H525,#REF!,13,FALSE)</f>
        <v>#REF!</v>
      </c>
    </row>
    <row r="526" spans="1:70" s="3" customFormat="1" ht="15" customHeight="1" outlineLevel="1">
      <c r="A526" s="9">
        <v>31</v>
      </c>
      <c r="B526" s="9" t="s">
        <v>5</v>
      </c>
      <c r="C526" s="9" t="s">
        <v>240</v>
      </c>
      <c r="D526" s="9" t="s">
        <v>30</v>
      </c>
      <c r="E526" s="9" t="s">
        <v>33</v>
      </c>
      <c r="F526" s="5" t="s">
        <v>457</v>
      </c>
      <c r="G526" s="9" t="s">
        <v>9</v>
      </c>
      <c r="H526" s="13">
        <v>30112093</v>
      </c>
      <c r="I526" s="42" t="str">
        <f t="shared" ref="I526:I529" si="300">CONCATENATE(H526,"-",G526)</f>
        <v>30112093-DISEÑO</v>
      </c>
      <c r="J526" s="12" t="s">
        <v>728</v>
      </c>
      <c r="K526" s="307" t="str">
        <f t="shared" ref="K526:K529" si="301">CLEAN(H526)</f>
        <v>30112093</v>
      </c>
      <c r="L526" s="19" t="s">
        <v>34</v>
      </c>
      <c r="M526" s="28">
        <v>145469000</v>
      </c>
      <c r="N526" s="34">
        <v>95426000</v>
      </c>
      <c r="O526" s="36">
        <v>50043000</v>
      </c>
      <c r="P526" s="310">
        <v>0</v>
      </c>
      <c r="Q526" s="34">
        <v>0</v>
      </c>
      <c r="R526" s="308">
        <v>0</v>
      </c>
      <c r="S526" s="34">
        <f t="shared" ref="S526:S529" si="302">P526+Q526+R526</f>
        <v>0</v>
      </c>
      <c r="T526" s="34">
        <v>0</v>
      </c>
      <c r="U526" s="34">
        <v>0</v>
      </c>
      <c r="V526" s="34">
        <f>P526+Q526+R526+T526+U526</f>
        <v>0</v>
      </c>
      <c r="W526" s="34">
        <f>O526-V526</f>
        <v>50043000</v>
      </c>
      <c r="X526" s="34">
        <f>M526-(N526+O526)</f>
        <v>0</v>
      </c>
      <c r="Y526" s="48" t="s">
        <v>239</v>
      </c>
      <c r="Z526" s="48" t="s">
        <v>8</v>
      </c>
      <c r="AA526" s="2" t="s">
        <v>845</v>
      </c>
      <c r="AB526" s="2" t="e">
        <f>VLOOKUP(H526,#REF!,2,FALSE)</f>
        <v>#REF!</v>
      </c>
      <c r="AC526" s="2" t="e">
        <f>VLOOKUP(I526,#REF!,2,FALSE)</f>
        <v>#REF!</v>
      </c>
      <c r="AD526" s="2" t="e">
        <f>VLOOKUP(H526,#REF!,13,FALSE)</f>
        <v>#REF!</v>
      </c>
      <c r="AE526" s="2" t="e">
        <f>VLOOKUP(I526,#REF!,7,FALSE)</f>
        <v>#REF!</v>
      </c>
      <c r="AG526" s="2" t="e">
        <f>VLOOKUP(H526,#REF!,13,FALSE)</f>
        <v>#REF!</v>
      </c>
      <c r="AH526" s="2" t="e">
        <f>VLOOKUP(I526,#REF!,2,FALSE)</f>
        <v>#REF!</v>
      </c>
      <c r="AJ526" s="185" t="e">
        <f>VLOOKUP(H526,#REF!,3,FALSE)</f>
        <v>#REF!</v>
      </c>
      <c r="AK526" s="186"/>
      <c r="AL526" s="185" t="e">
        <f>VLOOKUP(H526,#REF!,13,FALSE)</f>
        <v>#REF!</v>
      </c>
      <c r="AM526" s="185" t="e">
        <f>VLOOKUP(CLEAN(H526),#REF!,7,FALSE)</f>
        <v>#REF!</v>
      </c>
      <c r="AN526" s="2" t="e">
        <f>VLOOKUP(H526,#REF!,8,FALSE)</f>
        <v>#REF!</v>
      </c>
      <c r="AO526" s="189" t="e">
        <f>VLOOKUP(H526,#REF!,2,FALSE)</f>
        <v>#REF!</v>
      </c>
      <c r="AP526" s="189" t="e">
        <f>VLOOKUP(H526,#REF!,2,FALSE)</f>
        <v>#REF!</v>
      </c>
      <c r="AQ526" s="189"/>
      <c r="AR526" s="2" t="e">
        <f>VLOOKUP(CLEAN(H526),#REF!,2,FALSE)</f>
        <v>#REF!</v>
      </c>
      <c r="AT526" s="2" t="e">
        <f>VLOOKUP(H526,#REF!,13,FALSE)</f>
        <v>#REF!</v>
      </c>
      <c r="AU526" s="2" t="e">
        <f>VLOOKUP(H526,#REF!,13,FALSE)</f>
        <v>#REF!</v>
      </c>
      <c r="AV526" s="2" t="e">
        <f>VLOOKUP(H526,#REF!,13,FALSE)</f>
        <v>#REF!</v>
      </c>
      <c r="AW526" s="2" t="e">
        <f>VLOOKUP(H526,#REF!,13,FALSE)</f>
        <v>#REF!</v>
      </c>
      <c r="AX526" s="2" t="e">
        <f>VLOOKUP(H526,#REF!,9,FALSE)</f>
        <v>#REF!</v>
      </c>
      <c r="AZ526" s="2" t="e">
        <f>VLOOKUP(H526,#REF!,2,FALSE)</f>
        <v>#REF!</v>
      </c>
      <c r="BF526" s="189" t="e">
        <f>VLOOKUP(CLEAN(H526),#REF!,2,FALSE)</f>
        <v>#REF!</v>
      </c>
      <c r="BG526" s="189" t="e">
        <f>T526-BF526</f>
        <v>#REF!</v>
      </c>
      <c r="BO526" s="2" t="e">
        <f>VLOOKUP(H526,#REF!,13,FALSE)</f>
        <v>#REF!</v>
      </c>
      <c r="BP526" s="2" t="e">
        <f>VLOOKUP(H526,#REF!,2,FALSE)</f>
        <v>#REF!</v>
      </c>
      <c r="BQ526" s="2" t="e">
        <f>VLOOKUP(H526,#REF!,13,FALSE)</f>
        <v>#REF!</v>
      </c>
      <c r="BR526" s="2" t="e">
        <f>VLOOKUP(H526,#REF!,3,FALSE)</f>
        <v>#REF!</v>
      </c>
    </row>
    <row r="527" spans="1:70" s="3" customFormat="1" ht="15" customHeight="1" outlineLevel="1">
      <c r="A527" s="9">
        <v>31</v>
      </c>
      <c r="B527" s="9" t="s">
        <v>5</v>
      </c>
      <c r="C527" s="9" t="s">
        <v>238</v>
      </c>
      <c r="D527" s="9" t="s">
        <v>30</v>
      </c>
      <c r="E527" s="9" t="s">
        <v>33</v>
      </c>
      <c r="F527" s="5" t="s">
        <v>21</v>
      </c>
      <c r="G527" s="5" t="s">
        <v>144</v>
      </c>
      <c r="H527" s="12">
        <v>30083781</v>
      </c>
      <c r="I527" s="42" t="str">
        <f t="shared" si="300"/>
        <v>30083781-EJECUCION</v>
      </c>
      <c r="J527" s="12"/>
      <c r="K527" s="307" t="str">
        <f t="shared" si="301"/>
        <v>30083781</v>
      </c>
      <c r="L527" s="19" t="s">
        <v>533</v>
      </c>
      <c r="M527" s="23">
        <v>118300000</v>
      </c>
      <c r="N527" s="34">
        <v>93439000</v>
      </c>
      <c r="O527" s="34">
        <v>0</v>
      </c>
      <c r="P527" s="310">
        <v>0</v>
      </c>
      <c r="Q527" s="34">
        <v>0</v>
      </c>
      <c r="R527" s="308">
        <v>0</v>
      </c>
      <c r="S527" s="34">
        <f t="shared" si="302"/>
        <v>0</v>
      </c>
      <c r="T527" s="34">
        <v>0</v>
      </c>
      <c r="U527" s="34">
        <v>0</v>
      </c>
      <c r="V527" s="34">
        <f>P527+Q527+R527+T527+U527</f>
        <v>0</v>
      </c>
      <c r="W527" s="34">
        <f>O527-V527</f>
        <v>0</v>
      </c>
      <c r="X527" s="34">
        <f>M527-(N527+O527)</f>
        <v>24861000</v>
      </c>
      <c r="Y527" s="48" t="s">
        <v>239</v>
      </c>
      <c r="Z527" s="48" t="s">
        <v>8</v>
      </c>
      <c r="AA527" s="2" t="e">
        <v>#N/A</v>
      </c>
      <c r="AB527" s="2" t="e">
        <f>VLOOKUP(H527,#REF!,2,FALSE)</f>
        <v>#REF!</v>
      </c>
      <c r="AC527" s="2" t="e">
        <f>VLOOKUP(I527,#REF!,2,FALSE)</f>
        <v>#REF!</v>
      </c>
      <c r="AD527" s="2" t="e">
        <f>VLOOKUP(H527,#REF!,13,FALSE)</f>
        <v>#REF!</v>
      </c>
      <c r="AE527" s="2" t="e">
        <f>VLOOKUP(I527,#REF!,7,FALSE)</f>
        <v>#REF!</v>
      </c>
      <c r="AG527" s="180" t="e">
        <f>VLOOKUP(H527,#REF!,13,FALSE)</f>
        <v>#REF!</v>
      </c>
      <c r="AH527" s="2" t="e">
        <f>VLOOKUP(I527,#REF!,2,FALSE)</f>
        <v>#REF!</v>
      </c>
      <c r="AJ527" s="185" t="e">
        <f>VLOOKUP(H527,#REF!,3,FALSE)</f>
        <v>#REF!</v>
      </c>
      <c r="AK527" s="186"/>
      <c r="AL527" s="185" t="e">
        <f>VLOOKUP(H527,#REF!,13,FALSE)</f>
        <v>#REF!</v>
      </c>
      <c r="AM527" s="185" t="e">
        <f>VLOOKUP(CLEAN(H527),#REF!,7,FALSE)</f>
        <v>#REF!</v>
      </c>
      <c r="AN527" s="2" t="e">
        <f>VLOOKUP(H527,#REF!,8,FALSE)</f>
        <v>#REF!</v>
      </c>
      <c r="AO527" s="189" t="e">
        <f>VLOOKUP(H527,#REF!,2,FALSE)</f>
        <v>#REF!</v>
      </c>
      <c r="AP527" s="189" t="e">
        <f>VLOOKUP(H527,#REF!,2,FALSE)</f>
        <v>#REF!</v>
      </c>
      <c r="AQ527" s="189"/>
      <c r="AR527" s="2" t="e">
        <f>VLOOKUP(CLEAN(H527),#REF!,2,FALSE)</f>
        <v>#REF!</v>
      </c>
      <c r="AT527" s="2" t="e">
        <f>VLOOKUP(H527,#REF!,13,FALSE)</f>
        <v>#REF!</v>
      </c>
      <c r="AU527" s="2" t="e">
        <f>VLOOKUP(H527,#REF!,13,FALSE)</f>
        <v>#REF!</v>
      </c>
      <c r="AV527" s="2" t="e">
        <f>VLOOKUP(H527,#REF!,13,FALSE)</f>
        <v>#REF!</v>
      </c>
      <c r="AW527" s="2" t="e">
        <f>VLOOKUP(H527,#REF!,13,FALSE)</f>
        <v>#REF!</v>
      </c>
      <c r="AX527" s="2" t="e">
        <f>VLOOKUP(H527,#REF!,9,FALSE)</f>
        <v>#REF!</v>
      </c>
      <c r="AZ527" s="189" t="e">
        <f>VLOOKUP(H527,#REF!,2,FALSE)</f>
        <v>#REF!</v>
      </c>
      <c r="BF527" s="189" t="e">
        <f>VLOOKUP(CLEAN(H527),#REF!,2,FALSE)</f>
        <v>#REF!</v>
      </c>
      <c r="BG527" s="189" t="e">
        <f>T527-BF527</f>
        <v>#REF!</v>
      </c>
      <c r="BO527" s="2" t="e">
        <f>VLOOKUP(H527,#REF!,13,FALSE)</f>
        <v>#REF!</v>
      </c>
      <c r="BP527" s="2" t="e">
        <f>VLOOKUP(H527,#REF!,2,FALSE)</f>
        <v>#REF!</v>
      </c>
      <c r="BQ527" s="2" t="e">
        <f>VLOOKUP(H527,#REF!,13,FALSE)</f>
        <v>#REF!</v>
      </c>
      <c r="BR527" s="2" t="e">
        <f>VLOOKUP(H527,#REF!,3,FALSE)</f>
        <v>#REF!</v>
      </c>
    </row>
    <row r="528" spans="1:70" s="2" customFormat="1" ht="15" customHeight="1" outlineLevel="2">
      <c r="A528" s="5">
        <v>31</v>
      </c>
      <c r="B528" s="5" t="s">
        <v>54</v>
      </c>
      <c r="C528" s="5" t="s">
        <v>251</v>
      </c>
      <c r="D528" s="5" t="s">
        <v>30</v>
      </c>
      <c r="E528" s="5" t="s">
        <v>33</v>
      </c>
      <c r="F528" s="5" t="s">
        <v>457</v>
      </c>
      <c r="G528" s="5" t="s">
        <v>144</v>
      </c>
      <c r="H528" s="12">
        <v>30103434</v>
      </c>
      <c r="I528" s="42" t="str">
        <f t="shared" si="300"/>
        <v>30103434-EJECUCION</v>
      </c>
      <c r="J528" s="12"/>
      <c r="K528" s="307" t="str">
        <f t="shared" si="301"/>
        <v>30103434</v>
      </c>
      <c r="L528" s="15" t="s">
        <v>280</v>
      </c>
      <c r="M528" s="23">
        <v>357112000</v>
      </c>
      <c r="N528" s="34">
        <v>0</v>
      </c>
      <c r="O528" s="34">
        <v>357112000</v>
      </c>
      <c r="P528" s="310">
        <v>0</v>
      </c>
      <c r="Q528" s="34">
        <v>1200000</v>
      </c>
      <c r="R528" s="308">
        <v>34672023</v>
      </c>
      <c r="S528" s="34">
        <f t="shared" si="302"/>
        <v>35872023</v>
      </c>
      <c r="T528" s="34">
        <v>41443866</v>
      </c>
      <c r="U528" s="34">
        <v>24895279</v>
      </c>
      <c r="V528" s="34">
        <f>P528+Q528+R528+T528+U528</f>
        <v>102211168</v>
      </c>
      <c r="W528" s="34">
        <f>O528-V528</f>
        <v>254900832</v>
      </c>
      <c r="X528" s="34">
        <f>M528-(N528+O528)</f>
        <v>0</v>
      </c>
      <c r="Y528" s="48" t="s">
        <v>239</v>
      </c>
      <c r="Z528" s="48" t="s">
        <v>8</v>
      </c>
      <c r="AA528" s="2" t="s">
        <v>845</v>
      </c>
      <c r="AB528" s="2" t="e">
        <f>VLOOKUP(H528,#REF!,2,FALSE)</f>
        <v>#REF!</v>
      </c>
      <c r="AC528" s="2" t="e">
        <f>VLOOKUP(I528,#REF!,2,FALSE)</f>
        <v>#REF!</v>
      </c>
      <c r="AD528" s="2" t="e">
        <f>VLOOKUP(H528,#REF!,13,FALSE)</f>
        <v>#REF!</v>
      </c>
      <c r="AE528" s="2" t="e">
        <f>VLOOKUP(I528,#REF!,7,FALSE)</f>
        <v>#REF!</v>
      </c>
      <c r="AG528" s="2" t="e">
        <f>VLOOKUP(H528,#REF!,13,FALSE)</f>
        <v>#REF!</v>
      </c>
      <c r="AH528" s="2" t="e">
        <f>VLOOKUP(I528,#REF!,2,FALSE)</f>
        <v>#REF!</v>
      </c>
      <c r="AJ528" s="185" t="e">
        <f>VLOOKUP(H528,#REF!,3,FALSE)</f>
        <v>#REF!</v>
      </c>
      <c r="AK528" s="185"/>
      <c r="AL528" s="185" t="e">
        <f>VLOOKUP(H528,#REF!,13,FALSE)</f>
        <v>#REF!</v>
      </c>
      <c r="AM528" s="185" t="e">
        <f>VLOOKUP(CLEAN(H528),#REF!,7,FALSE)</f>
        <v>#REF!</v>
      </c>
      <c r="AN528" s="2" t="e">
        <f>VLOOKUP(H528,#REF!,8,FALSE)</f>
        <v>#REF!</v>
      </c>
      <c r="AO528" s="189" t="e">
        <f>VLOOKUP(H528,#REF!,2,FALSE)</f>
        <v>#REF!</v>
      </c>
      <c r="AP528" s="189" t="e">
        <f>VLOOKUP(H528,#REF!,2,FALSE)</f>
        <v>#REF!</v>
      </c>
      <c r="AQ528" s="189" t="e">
        <f>AO528-AP528</f>
        <v>#REF!</v>
      </c>
      <c r="AR528" s="189" t="e">
        <f>VLOOKUP(CLEAN(H528),#REF!,2,FALSE)</f>
        <v>#REF!</v>
      </c>
      <c r="AS528" s="189" t="e">
        <f>T528-AR528</f>
        <v>#REF!</v>
      </c>
      <c r="AT528" s="2" t="e">
        <f>VLOOKUP(H528,#REF!,13,FALSE)</f>
        <v>#REF!</v>
      </c>
      <c r="AU528" s="2" t="e">
        <f>VLOOKUP(H528,#REF!,13,FALSE)</f>
        <v>#REF!</v>
      </c>
      <c r="AV528" s="2" t="e">
        <f>VLOOKUP(H528,#REF!,13,FALSE)</f>
        <v>#REF!</v>
      </c>
      <c r="AW528" s="2" t="e">
        <f>VLOOKUP(H528,#REF!,13,FALSE)</f>
        <v>#REF!</v>
      </c>
      <c r="AX528" s="2" t="e">
        <f>VLOOKUP(H528,#REF!,9,FALSE)</f>
        <v>#REF!</v>
      </c>
      <c r="AZ528" s="189" t="e">
        <f>VLOOKUP(H528,#REF!,2,FALSE)</f>
        <v>#REF!</v>
      </c>
      <c r="BF528" s="189" t="e">
        <f>VLOOKUP(CLEAN(H528),#REF!,2,FALSE)</f>
        <v>#REF!</v>
      </c>
      <c r="BG528" s="189" t="e">
        <f>T528-BF528</f>
        <v>#REF!</v>
      </c>
      <c r="BO528" s="2" t="e">
        <f>VLOOKUP(H528,#REF!,13,FALSE)</f>
        <v>#REF!</v>
      </c>
      <c r="BP528" s="2" t="e">
        <f>VLOOKUP(H528,#REF!,2,FALSE)</f>
        <v>#REF!</v>
      </c>
      <c r="BQ528" s="2" t="e">
        <f>VLOOKUP(H528,#REF!,13,FALSE)</f>
        <v>#REF!</v>
      </c>
      <c r="BR528" s="2" t="e">
        <f>VLOOKUP(H528,#REF!,3,FALSE)</f>
        <v>#REF!</v>
      </c>
    </row>
    <row r="529" spans="1:70" s="2" customFormat="1" ht="15" customHeight="1" outlineLevel="2">
      <c r="A529" s="5">
        <v>31</v>
      </c>
      <c r="B529" s="5" t="s">
        <v>5</v>
      </c>
      <c r="C529" s="5" t="s">
        <v>238</v>
      </c>
      <c r="D529" s="5" t="s">
        <v>30</v>
      </c>
      <c r="E529" s="5" t="s">
        <v>33</v>
      </c>
      <c r="F529" s="5" t="s">
        <v>6</v>
      </c>
      <c r="G529" s="5" t="s">
        <v>144</v>
      </c>
      <c r="H529" s="12">
        <v>30085972</v>
      </c>
      <c r="I529" s="311" t="str">
        <f t="shared" si="300"/>
        <v>30085972-EJECUCION</v>
      </c>
      <c r="J529" s="190"/>
      <c r="K529" s="309" t="str">
        <f t="shared" si="301"/>
        <v>30085972</v>
      </c>
      <c r="L529" s="15" t="s">
        <v>852</v>
      </c>
      <c r="M529" s="23">
        <v>1805576892</v>
      </c>
      <c r="N529" s="34">
        <v>133526108</v>
      </c>
      <c r="O529" s="34">
        <v>732229717</v>
      </c>
      <c r="P529" s="310">
        <v>71485772</v>
      </c>
      <c r="Q529" s="34">
        <v>94443451</v>
      </c>
      <c r="R529" s="308">
        <v>155982199</v>
      </c>
      <c r="S529" s="34">
        <f t="shared" si="302"/>
        <v>321911422</v>
      </c>
      <c r="T529" s="34">
        <f>55679833+1546154</f>
        <v>57225987</v>
      </c>
      <c r="U529" s="34">
        <v>181819580</v>
      </c>
      <c r="V529" s="34">
        <f>P529+Q529+R529+T529+U529</f>
        <v>560956989</v>
      </c>
      <c r="W529" s="34">
        <f>O529-V529</f>
        <v>171272728</v>
      </c>
      <c r="X529" s="34">
        <f>M529-(N529+O529)</f>
        <v>939821067</v>
      </c>
      <c r="Y529" s="48" t="s">
        <v>239</v>
      </c>
      <c r="Z529" s="48" t="s">
        <v>8</v>
      </c>
      <c r="AA529" s="2" t="s">
        <v>845</v>
      </c>
      <c r="AB529" s="2" t="e">
        <f>VLOOKUP(H529,#REF!,2,FALSE)</f>
        <v>#REF!</v>
      </c>
      <c r="AC529" s="2" t="e">
        <f>VLOOKUP(I529,#REF!,2,FALSE)</f>
        <v>#REF!</v>
      </c>
      <c r="AD529" s="2" t="e">
        <f>VLOOKUP(H529,#REF!,13,FALSE)</f>
        <v>#REF!</v>
      </c>
      <c r="AE529" s="2" t="e">
        <f>VLOOKUP(I529,#REF!,7,FALSE)</f>
        <v>#REF!</v>
      </c>
      <c r="AG529" s="2" t="e">
        <f>VLOOKUP(H529,#REF!,13,FALSE)</f>
        <v>#REF!</v>
      </c>
      <c r="AH529" s="2" t="e">
        <f>VLOOKUP(I529,#REF!,2,FALSE)</f>
        <v>#REF!</v>
      </c>
      <c r="AJ529" s="185" t="e">
        <f>VLOOKUP(H529,#REF!,3,FALSE)</f>
        <v>#REF!</v>
      </c>
      <c r="AK529" s="185"/>
      <c r="AL529" s="185" t="e">
        <f>VLOOKUP(H529,#REF!,13,FALSE)</f>
        <v>#REF!</v>
      </c>
      <c r="AM529" s="185" t="e">
        <f>VLOOKUP(CLEAN(H529),#REF!,7,FALSE)</f>
        <v>#REF!</v>
      </c>
      <c r="AN529" s="2" t="e">
        <f>VLOOKUP(H529,#REF!,8,FALSE)</f>
        <v>#REF!</v>
      </c>
      <c r="AO529" s="189" t="e">
        <f>VLOOKUP(H529,#REF!,2,FALSE)</f>
        <v>#REF!</v>
      </c>
      <c r="AP529" s="189" t="e">
        <f>VLOOKUP(H529,#REF!,2,FALSE)</f>
        <v>#REF!</v>
      </c>
      <c r="AQ529" s="189"/>
      <c r="AR529" s="2" t="e">
        <f>VLOOKUP(CLEAN(H529),#REF!,2,FALSE)</f>
        <v>#REF!</v>
      </c>
      <c r="AT529" s="2" t="e">
        <f>VLOOKUP(H529,#REF!,13,FALSE)</f>
        <v>#REF!</v>
      </c>
      <c r="AU529" s="2" t="e">
        <f>VLOOKUP(H529,#REF!,13,FALSE)</f>
        <v>#REF!</v>
      </c>
      <c r="AV529" s="2" t="e">
        <f>VLOOKUP(H529,#REF!,13,FALSE)</f>
        <v>#REF!</v>
      </c>
      <c r="AW529" s="2" t="e">
        <f>VLOOKUP(H529,#REF!,13,FALSE)</f>
        <v>#REF!</v>
      </c>
      <c r="AX529" s="2" t="e">
        <f>VLOOKUP(H529,#REF!,9,FALSE)</f>
        <v>#REF!</v>
      </c>
      <c r="AZ529" s="189" t="e">
        <f>VLOOKUP(H529,#REF!,2,FALSE)</f>
        <v>#REF!</v>
      </c>
      <c r="BF529" s="189" t="e">
        <f>VLOOKUP(CLEAN(H529),#REF!,2,FALSE)</f>
        <v>#REF!</v>
      </c>
      <c r="BG529" s="189" t="e">
        <f>T529-BF529</f>
        <v>#REF!</v>
      </c>
      <c r="BO529" s="2" t="e">
        <f>VLOOKUP(H529,#REF!,13,FALSE)</f>
        <v>#REF!</v>
      </c>
      <c r="BP529" s="2" t="e">
        <f>VLOOKUP(H529,#REF!,2,FALSE)</f>
        <v>#REF!</v>
      </c>
      <c r="BQ529" s="2" t="e">
        <f>VLOOKUP(H529,#REF!,13,FALSE)</f>
        <v>#REF!</v>
      </c>
      <c r="BR529" s="2" t="e">
        <f>VLOOKUP(H529,#REF!,3,FALSE)</f>
        <v>#REF!</v>
      </c>
    </row>
    <row r="530" spans="1:70" s="2" customFormat="1" ht="15" customHeight="1" outlineLevel="1">
      <c r="A530" s="7"/>
      <c r="B530" s="7"/>
      <c r="C530" s="7"/>
      <c r="D530" s="7"/>
      <c r="E530" s="8"/>
      <c r="F530" s="7"/>
      <c r="G530" s="7"/>
      <c r="H530" s="11"/>
      <c r="I530" s="14"/>
      <c r="J530" s="14"/>
      <c r="K530" s="14"/>
      <c r="L530" s="17" t="s">
        <v>691</v>
      </c>
      <c r="M530" s="27">
        <f t="shared" ref="M530:X530" si="303">SUBTOTAL(9,M526:M529)</f>
        <v>2426457892</v>
      </c>
      <c r="N530" s="27">
        <f t="shared" si="303"/>
        <v>322391108</v>
      </c>
      <c r="O530" s="27">
        <f t="shared" si="303"/>
        <v>1139384717</v>
      </c>
      <c r="P530" s="24">
        <f t="shared" si="303"/>
        <v>71485772</v>
      </c>
      <c r="Q530" s="24">
        <f t="shared" si="303"/>
        <v>95643451</v>
      </c>
      <c r="R530" s="24">
        <f t="shared" si="303"/>
        <v>190654222</v>
      </c>
      <c r="S530" s="27">
        <f t="shared" si="303"/>
        <v>357783445</v>
      </c>
      <c r="T530" s="27">
        <f t="shared" si="303"/>
        <v>98669853</v>
      </c>
      <c r="U530" s="27">
        <f t="shared" si="303"/>
        <v>206714859</v>
      </c>
      <c r="V530" s="27">
        <f t="shared" si="303"/>
        <v>663168157</v>
      </c>
      <c r="W530" s="27">
        <f t="shared" si="303"/>
        <v>476216560</v>
      </c>
      <c r="X530" s="27">
        <f t="shared" si="303"/>
        <v>964682067</v>
      </c>
      <c r="Y530" s="51"/>
      <c r="Z530" s="51"/>
      <c r="AJ530" s="185"/>
      <c r="AK530" s="185"/>
      <c r="AL530" s="185"/>
      <c r="AM530" s="185" t="e">
        <f>VLOOKUP(CLEAN(H530),#REF!,7,FALSE)</f>
        <v>#REF!</v>
      </c>
      <c r="AR530" s="2" t="e">
        <f>VLOOKUP(CLEAN(H530),#REF!,2,FALSE)</f>
        <v>#REF!</v>
      </c>
      <c r="AZ530" s="2" t="e">
        <f>VLOOKUP(H530,#REF!,2,FALSE)</f>
        <v>#REF!</v>
      </c>
      <c r="BF530" s="189"/>
      <c r="BO530" s="2" t="e">
        <f>VLOOKUP(H530,#REF!,13,FALSE)</f>
        <v>#REF!</v>
      </c>
      <c r="BQ530" s="2" t="e">
        <f>VLOOKUP(H530,#REF!,13,FALSE)</f>
        <v>#REF!</v>
      </c>
    </row>
    <row r="531" spans="1:70" s="2" customFormat="1" ht="15" customHeight="1" outlineLevel="1">
      <c r="A531" s="7"/>
      <c r="B531" s="7"/>
      <c r="C531" s="7"/>
      <c r="D531" s="7"/>
      <c r="E531" s="8"/>
      <c r="F531" s="7"/>
      <c r="G531" s="7"/>
      <c r="H531" s="11"/>
      <c r="I531" s="14"/>
      <c r="J531" s="14"/>
      <c r="K531" s="14"/>
      <c r="L531" s="294"/>
      <c r="M531" s="26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49"/>
      <c r="Z531" s="49"/>
      <c r="AJ531" s="185"/>
      <c r="AK531" s="185"/>
      <c r="AL531" s="185"/>
      <c r="AM531" s="185" t="e">
        <f>VLOOKUP(CLEAN(H531),#REF!,7,FALSE)</f>
        <v>#REF!</v>
      </c>
      <c r="AR531" s="2" t="e">
        <f>VLOOKUP(CLEAN(H531),#REF!,2,FALSE)</f>
        <v>#REF!</v>
      </c>
      <c r="AZ531" s="2" t="e">
        <f>VLOOKUP(H531,#REF!,2,FALSE)</f>
        <v>#REF!</v>
      </c>
      <c r="BF531" s="189"/>
      <c r="BO531" s="2" t="e">
        <f>VLOOKUP(H531,#REF!,13,FALSE)</f>
        <v>#REF!</v>
      </c>
      <c r="BP531" s="293"/>
      <c r="BQ531" s="2" t="e">
        <f>VLOOKUP(H531,#REF!,13,FALSE)</f>
        <v>#REF!</v>
      </c>
    </row>
    <row r="532" spans="1:70" s="2" customFormat="1" ht="15" customHeight="1" outlineLevel="1">
      <c r="A532" s="7"/>
      <c r="B532" s="7"/>
      <c r="C532" s="7"/>
      <c r="D532" s="7"/>
      <c r="E532" s="8"/>
      <c r="F532" s="7"/>
      <c r="G532" s="7"/>
      <c r="H532" s="11"/>
      <c r="I532" s="14"/>
      <c r="J532" s="14"/>
      <c r="K532" s="14"/>
      <c r="L532" s="18" t="s">
        <v>697</v>
      </c>
      <c r="M532" s="29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51"/>
      <c r="Z532" s="51"/>
      <c r="AJ532" s="185"/>
      <c r="AK532" s="185"/>
      <c r="AL532" s="185"/>
      <c r="AM532" s="185"/>
      <c r="AR532" s="2" t="e">
        <f>VLOOKUP(CLEAN(H532),#REF!,2,FALSE)</f>
        <v>#REF!</v>
      </c>
      <c r="AZ532" s="2" t="e">
        <f>VLOOKUP(H532,#REF!,2,FALSE)</f>
        <v>#REF!</v>
      </c>
      <c r="BF532" s="189"/>
      <c r="BO532" s="2" t="e">
        <f>VLOOKUP(H532,#REF!,13,FALSE)</f>
        <v>#REF!</v>
      </c>
      <c r="BQ532" s="2" t="e">
        <f>VLOOKUP(H532,#REF!,13,FALSE)</f>
        <v>#REF!</v>
      </c>
    </row>
    <row r="533" spans="1:70" s="3" customFormat="1" ht="15" customHeight="1" outlineLevel="1">
      <c r="A533" s="9">
        <v>31</v>
      </c>
      <c r="B533" s="9" t="s">
        <v>5</v>
      </c>
      <c r="C533" s="9" t="s">
        <v>253</v>
      </c>
      <c r="D533" s="9" t="s">
        <v>30</v>
      </c>
      <c r="E533" s="9" t="s">
        <v>33</v>
      </c>
      <c r="F533" s="5" t="s">
        <v>457</v>
      </c>
      <c r="G533" s="5" t="s">
        <v>144</v>
      </c>
      <c r="H533" s="12">
        <v>30210322</v>
      </c>
      <c r="I533" s="42" t="str">
        <f t="shared" ref="I533:I535" si="304">CONCATENATE(H533,"-",G533)</f>
        <v>30210322-EJECUCION</v>
      </c>
      <c r="J533" s="12"/>
      <c r="K533" s="307" t="str">
        <f t="shared" ref="K533:K535" si="305">CLEAN(H533)</f>
        <v>30210322</v>
      </c>
      <c r="L533" s="19" t="s">
        <v>532</v>
      </c>
      <c r="M533" s="23">
        <v>79679134</v>
      </c>
      <c r="N533" s="34">
        <v>79679134</v>
      </c>
      <c r="O533" s="34">
        <v>0</v>
      </c>
      <c r="P533" s="310">
        <v>0</v>
      </c>
      <c r="Q533" s="34">
        <v>0</v>
      </c>
      <c r="R533" s="308">
        <v>0</v>
      </c>
      <c r="S533" s="34">
        <f t="shared" ref="S533:S535" si="306">P533+Q533+R533</f>
        <v>0</v>
      </c>
      <c r="T533" s="34">
        <v>0</v>
      </c>
      <c r="U533" s="34">
        <v>0</v>
      </c>
      <c r="V533" s="34">
        <f>P533+Q533+R533+T533+U533</f>
        <v>0</v>
      </c>
      <c r="W533" s="34">
        <f>O533-V533</f>
        <v>0</v>
      </c>
      <c r="X533" s="34">
        <f>M533-(N533+O533)</f>
        <v>0</v>
      </c>
      <c r="Y533" s="48" t="s">
        <v>460</v>
      </c>
      <c r="Z533" s="48" t="s">
        <v>8</v>
      </c>
      <c r="AA533" s="2" t="e">
        <v>#N/A</v>
      </c>
      <c r="AB533" s="2" t="e">
        <f>VLOOKUP(H533,#REF!,2,FALSE)</f>
        <v>#REF!</v>
      </c>
      <c r="AC533" s="2" t="e">
        <f>VLOOKUP(I533,#REF!,2,FALSE)</f>
        <v>#REF!</v>
      </c>
      <c r="AD533" s="2" t="e">
        <f>VLOOKUP(H533,#REF!,13,FALSE)</f>
        <v>#REF!</v>
      </c>
      <c r="AE533" s="177" t="e">
        <f>VLOOKUP(I533,#REF!,7,FALSE)</f>
        <v>#REF!</v>
      </c>
      <c r="AG533" s="2" t="e">
        <f>VLOOKUP(H533,#REF!,13,FALSE)</f>
        <v>#REF!</v>
      </c>
      <c r="AH533" s="2" t="e">
        <f>VLOOKUP(I533,#REF!,2,FALSE)</f>
        <v>#REF!</v>
      </c>
      <c r="AJ533" s="185" t="e">
        <f>VLOOKUP(H533,#REF!,3,FALSE)</f>
        <v>#REF!</v>
      </c>
      <c r="AK533" s="186"/>
      <c r="AL533" s="185" t="e">
        <f>VLOOKUP(H533,#REF!,13,FALSE)</f>
        <v>#REF!</v>
      </c>
      <c r="AM533" s="185" t="e">
        <f>VLOOKUP(CLEAN(H533),#REF!,7,FALSE)</f>
        <v>#REF!</v>
      </c>
      <c r="AN533" s="2" t="e">
        <f>VLOOKUP(H533,#REF!,8,FALSE)</f>
        <v>#REF!</v>
      </c>
      <c r="AO533" s="189" t="e">
        <f>VLOOKUP(H533,#REF!,2,FALSE)</f>
        <v>#REF!</v>
      </c>
      <c r="AP533" s="189" t="e">
        <f>VLOOKUP(H533,#REF!,2,FALSE)</f>
        <v>#REF!</v>
      </c>
      <c r="AQ533" s="189"/>
      <c r="AR533" s="2" t="e">
        <f>VLOOKUP(CLEAN(H533),#REF!,2,FALSE)</f>
        <v>#REF!</v>
      </c>
      <c r="AT533" s="2" t="e">
        <f>VLOOKUP(H533,#REF!,13,FALSE)</f>
        <v>#REF!</v>
      </c>
      <c r="AU533" s="2" t="e">
        <f>VLOOKUP(H533,#REF!,13,FALSE)</f>
        <v>#REF!</v>
      </c>
      <c r="AV533" s="2" t="e">
        <f>VLOOKUP(H533,#REF!,13,FALSE)</f>
        <v>#REF!</v>
      </c>
      <c r="AW533" s="2" t="e">
        <f>VLOOKUP(H533,#REF!,13,FALSE)</f>
        <v>#REF!</v>
      </c>
      <c r="AX533" s="2" t="e">
        <f>VLOOKUP(H533,#REF!,9,FALSE)</f>
        <v>#REF!</v>
      </c>
      <c r="AZ533" s="2" t="e">
        <f>VLOOKUP(H533,#REF!,2,FALSE)</f>
        <v>#REF!</v>
      </c>
      <c r="BF533" s="189" t="e">
        <f>VLOOKUP(CLEAN(H533),#REF!,2,FALSE)</f>
        <v>#REF!</v>
      </c>
      <c r="BG533" s="189" t="e">
        <f>T533-BF533</f>
        <v>#REF!</v>
      </c>
      <c r="BO533" s="2" t="e">
        <f>VLOOKUP(H533,#REF!,13,FALSE)</f>
        <v>#REF!</v>
      </c>
      <c r="BP533" s="2" t="e">
        <f>VLOOKUP(H533,#REF!,2,FALSE)</f>
        <v>#REF!</v>
      </c>
      <c r="BQ533" s="2" t="e">
        <f>VLOOKUP(H533,#REF!,13,FALSE)</f>
        <v>#REF!</v>
      </c>
      <c r="BR533" s="2" t="e">
        <f>VLOOKUP(H533,#REF!,3,FALSE)</f>
        <v>#REF!</v>
      </c>
    </row>
    <row r="534" spans="1:70" s="3" customFormat="1" ht="15" customHeight="1" outlineLevel="1">
      <c r="A534" s="9">
        <v>31</v>
      </c>
      <c r="B534" s="9" t="s">
        <v>5</v>
      </c>
      <c r="C534" s="5" t="s">
        <v>248</v>
      </c>
      <c r="D534" s="9" t="s">
        <v>30</v>
      </c>
      <c r="E534" s="9" t="s">
        <v>33</v>
      </c>
      <c r="F534" s="5" t="s">
        <v>89</v>
      </c>
      <c r="G534" s="5" t="s">
        <v>144</v>
      </c>
      <c r="H534" s="12">
        <v>30115252</v>
      </c>
      <c r="I534" s="42" t="str">
        <f t="shared" si="304"/>
        <v>30115252-EJECUCION</v>
      </c>
      <c r="J534" s="12"/>
      <c r="K534" s="307" t="str">
        <f t="shared" si="305"/>
        <v>30115252</v>
      </c>
      <c r="L534" s="19" t="s">
        <v>748</v>
      </c>
      <c r="M534" s="23">
        <v>456125994</v>
      </c>
      <c r="N534" s="34">
        <v>454775994</v>
      </c>
      <c r="O534" s="34">
        <v>1350000</v>
      </c>
      <c r="P534" s="310">
        <v>1350000</v>
      </c>
      <c r="Q534" s="34">
        <v>0</v>
      </c>
      <c r="R534" s="308">
        <v>0</v>
      </c>
      <c r="S534" s="34">
        <f t="shared" si="306"/>
        <v>1350000</v>
      </c>
      <c r="T534" s="34">
        <v>0</v>
      </c>
      <c r="U534" s="34">
        <v>0</v>
      </c>
      <c r="V534" s="34">
        <f>P534+Q534+R534+T534+U534</f>
        <v>1350000</v>
      </c>
      <c r="W534" s="34">
        <f>O534-V534</f>
        <v>0</v>
      </c>
      <c r="X534" s="34">
        <f>M534-(N534+O534)</f>
        <v>0</v>
      </c>
      <c r="Y534" s="48" t="s">
        <v>460</v>
      </c>
      <c r="Z534" s="48" t="s">
        <v>8</v>
      </c>
      <c r="AA534" s="2" t="s">
        <v>844</v>
      </c>
      <c r="AB534" s="2" t="e">
        <f>VLOOKUP(H534,#REF!,2,FALSE)</f>
        <v>#REF!</v>
      </c>
      <c r="AC534" s="2" t="e">
        <f>VLOOKUP(I534,#REF!,2,FALSE)</f>
        <v>#REF!</v>
      </c>
      <c r="AD534" s="2" t="e">
        <f>VLOOKUP(H534,#REF!,13,FALSE)</f>
        <v>#REF!</v>
      </c>
      <c r="AE534" s="2" t="e">
        <f>VLOOKUP(I534,#REF!,7,FALSE)</f>
        <v>#REF!</v>
      </c>
      <c r="AG534" s="2" t="e">
        <f>VLOOKUP(H534,#REF!,13,FALSE)</f>
        <v>#REF!</v>
      </c>
      <c r="AH534" s="2" t="e">
        <f>VLOOKUP(I534,#REF!,2,FALSE)</f>
        <v>#REF!</v>
      </c>
      <c r="AJ534" s="185" t="e">
        <f>VLOOKUP(H534,#REF!,3,FALSE)</f>
        <v>#REF!</v>
      </c>
      <c r="AK534" s="186"/>
      <c r="AL534" s="185" t="e">
        <f>VLOOKUP(H534,#REF!,13,FALSE)</f>
        <v>#REF!</v>
      </c>
      <c r="AM534" s="185" t="e">
        <f>VLOOKUP(CLEAN(H534),#REF!,7,FALSE)</f>
        <v>#REF!</v>
      </c>
      <c r="AN534" s="2" t="e">
        <f>VLOOKUP(H534,#REF!,8,FALSE)</f>
        <v>#REF!</v>
      </c>
      <c r="AO534" s="189" t="e">
        <f>VLOOKUP(H534,#REF!,2,FALSE)</f>
        <v>#REF!</v>
      </c>
      <c r="AP534" s="189" t="e">
        <f>VLOOKUP(H534,#REF!,2,FALSE)</f>
        <v>#REF!</v>
      </c>
      <c r="AQ534" s="189"/>
      <c r="AR534" s="2" t="e">
        <f>VLOOKUP(CLEAN(H534),#REF!,2,FALSE)</f>
        <v>#REF!</v>
      </c>
      <c r="AT534" s="2" t="e">
        <f>VLOOKUP(H534,#REF!,13,FALSE)</f>
        <v>#REF!</v>
      </c>
      <c r="AU534" s="2" t="e">
        <f>VLOOKUP(H534,#REF!,13,FALSE)</f>
        <v>#REF!</v>
      </c>
      <c r="AV534" s="2" t="e">
        <f>VLOOKUP(H534,#REF!,13,FALSE)</f>
        <v>#REF!</v>
      </c>
      <c r="AW534" s="2" t="e">
        <f>VLOOKUP(H534,#REF!,13,FALSE)</f>
        <v>#REF!</v>
      </c>
      <c r="AX534" s="2" t="e">
        <f>VLOOKUP(H534,#REF!,9,FALSE)</f>
        <v>#REF!</v>
      </c>
      <c r="AZ534" s="189" t="e">
        <f>VLOOKUP(H534,#REF!,2,FALSE)</f>
        <v>#REF!</v>
      </c>
      <c r="BF534" s="189" t="e">
        <f>VLOOKUP(CLEAN(H534),#REF!,2,FALSE)</f>
        <v>#REF!</v>
      </c>
      <c r="BG534" s="189" t="e">
        <f>T534-BF534</f>
        <v>#REF!</v>
      </c>
      <c r="BO534" s="2" t="e">
        <f>VLOOKUP(H534,#REF!,13,FALSE)</f>
        <v>#REF!</v>
      </c>
      <c r="BP534" s="2" t="e">
        <f>VLOOKUP(H534,#REF!,2,FALSE)</f>
        <v>#REF!</v>
      </c>
      <c r="BQ534" s="2" t="e">
        <f>VLOOKUP(H534,#REF!,13,FALSE)</f>
        <v>#REF!</v>
      </c>
      <c r="BR534" s="2" t="e">
        <f>VLOOKUP(H534,#REF!,3,FALSE)</f>
        <v>#REF!</v>
      </c>
    </row>
    <row r="535" spans="1:70" s="2" customFormat="1" ht="15" customHeight="1" outlineLevel="2">
      <c r="A535" s="5">
        <v>29</v>
      </c>
      <c r="B535" s="5" t="s">
        <v>54</v>
      </c>
      <c r="C535" s="5" t="s">
        <v>238</v>
      </c>
      <c r="D535" s="5" t="s">
        <v>30</v>
      </c>
      <c r="E535" s="5" t="s">
        <v>33</v>
      </c>
      <c r="F535" s="5" t="s">
        <v>457</v>
      </c>
      <c r="G535" s="5" t="s">
        <v>144</v>
      </c>
      <c r="H535" s="12">
        <v>30486029</v>
      </c>
      <c r="I535" s="42" t="str">
        <f t="shared" si="304"/>
        <v>30486029-EJECUCION</v>
      </c>
      <c r="J535" s="12"/>
      <c r="K535" s="307" t="str">
        <f t="shared" si="305"/>
        <v>30486029</v>
      </c>
      <c r="L535" s="15" t="s">
        <v>422</v>
      </c>
      <c r="M535" s="23">
        <v>66164000</v>
      </c>
      <c r="N535" s="34">
        <v>0</v>
      </c>
      <c r="O535" s="23">
        <f>66631000-467000</f>
        <v>66164000</v>
      </c>
      <c r="P535" s="310">
        <v>0</v>
      </c>
      <c r="Q535" s="34">
        <v>0</v>
      </c>
      <c r="R535" s="308">
        <v>66164000</v>
      </c>
      <c r="S535" s="34">
        <f t="shared" si="306"/>
        <v>66164000</v>
      </c>
      <c r="T535" s="34">
        <v>0</v>
      </c>
      <c r="U535" s="34">
        <v>0</v>
      </c>
      <c r="V535" s="34">
        <f>P535+Q535+R535+T535+U535</f>
        <v>66164000</v>
      </c>
      <c r="W535" s="34">
        <f>O535-V535</f>
        <v>0</v>
      </c>
      <c r="X535" s="34">
        <f>M535-(N535+O535)</f>
        <v>0</v>
      </c>
      <c r="Y535" s="48" t="s">
        <v>460</v>
      </c>
      <c r="Z535" s="48" t="s">
        <v>10</v>
      </c>
      <c r="AA535" s="2" t="e">
        <v>#N/A</v>
      </c>
      <c r="AB535" s="2" t="e">
        <f>VLOOKUP(H535,#REF!,2,FALSE)</f>
        <v>#REF!</v>
      </c>
      <c r="AC535" s="2" t="e">
        <f>VLOOKUP(I535,#REF!,2,FALSE)</f>
        <v>#REF!</v>
      </c>
      <c r="AD535" s="2" t="e">
        <f>VLOOKUP(H535,#REF!,13,FALSE)</f>
        <v>#REF!</v>
      </c>
      <c r="AE535" s="2" t="e">
        <f>VLOOKUP(I535,#REF!,7,FALSE)</f>
        <v>#REF!</v>
      </c>
      <c r="AG535" s="2" t="e">
        <f>VLOOKUP(H535,#REF!,13,FALSE)</f>
        <v>#REF!</v>
      </c>
      <c r="AH535" s="2" t="e">
        <f>VLOOKUP(I535,#REF!,2,FALSE)</f>
        <v>#REF!</v>
      </c>
      <c r="AJ535" s="185" t="e">
        <f>VLOOKUP(H535,#REF!,3,FALSE)</f>
        <v>#REF!</v>
      </c>
      <c r="AK535" s="185"/>
      <c r="AL535" s="185" t="e">
        <f>VLOOKUP(H535,#REF!,13,FALSE)</f>
        <v>#REF!</v>
      </c>
      <c r="AM535" s="185" t="e">
        <f>VLOOKUP(CLEAN(H535),#REF!,7,FALSE)</f>
        <v>#REF!</v>
      </c>
      <c r="AN535" s="2" t="e">
        <f>VLOOKUP(H535,#REF!,8,FALSE)</f>
        <v>#REF!</v>
      </c>
      <c r="AO535" s="189" t="e">
        <f>VLOOKUP(H535,#REF!,2,FALSE)</f>
        <v>#REF!</v>
      </c>
      <c r="AP535" s="189" t="e">
        <f>VLOOKUP(H535,#REF!,2,FALSE)</f>
        <v>#REF!</v>
      </c>
      <c r="AQ535" s="189"/>
      <c r="AR535" s="2" t="e">
        <f>VLOOKUP(CLEAN(H535),#REF!,2,FALSE)</f>
        <v>#REF!</v>
      </c>
      <c r="AT535" s="2" t="e">
        <f>VLOOKUP(H535,#REF!,13,FALSE)</f>
        <v>#REF!</v>
      </c>
      <c r="AU535" s="2" t="e">
        <f>VLOOKUP(H535,#REF!,13,FALSE)</f>
        <v>#REF!</v>
      </c>
      <c r="AV535" s="2" t="e">
        <f>VLOOKUP(H535,#REF!,13,FALSE)</f>
        <v>#REF!</v>
      </c>
      <c r="AW535" s="2" t="e">
        <f>VLOOKUP(H535,#REF!,13,FALSE)</f>
        <v>#REF!</v>
      </c>
      <c r="AX535" s="2" t="e">
        <f>VLOOKUP(H535,#REF!,9,FALSE)</f>
        <v>#REF!</v>
      </c>
      <c r="AZ535" s="189" t="e">
        <f>VLOOKUP(H535,#REF!,2,FALSE)</f>
        <v>#REF!</v>
      </c>
      <c r="BF535" s="189" t="e">
        <f>VLOOKUP(CLEAN(H535),#REF!,2,FALSE)</f>
        <v>#REF!</v>
      </c>
      <c r="BG535" s="189" t="e">
        <f>T535-BF535</f>
        <v>#REF!</v>
      </c>
      <c r="BO535" s="2" t="e">
        <f>VLOOKUP(H535,#REF!,13,FALSE)</f>
        <v>#REF!</v>
      </c>
      <c r="BP535" s="2" t="e">
        <f>VLOOKUP(H535,#REF!,2,FALSE)</f>
        <v>#REF!</v>
      </c>
      <c r="BQ535" s="2" t="e">
        <f>VLOOKUP(H535,#REF!,13,FALSE)</f>
        <v>#REF!</v>
      </c>
      <c r="BR535" s="2" t="e">
        <f>VLOOKUP(H535,#REF!,3,FALSE)</f>
        <v>#REF!</v>
      </c>
    </row>
    <row r="536" spans="1:70" s="2" customFormat="1" ht="15" customHeight="1" outlineLevel="1">
      <c r="A536" s="7"/>
      <c r="B536" s="7"/>
      <c r="C536" s="7"/>
      <c r="D536" s="7"/>
      <c r="E536" s="8"/>
      <c r="F536" s="7"/>
      <c r="G536" s="7"/>
      <c r="H536" s="11"/>
      <c r="I536" s="14"/>
      <c r="J536" s="14"/>
      <c r="K536" s="14"/>
      <c r="L536" s="17" t="s">
        <v>694</v>
      </c>
      <c r="M536" s="27">
        <f>SUBTOTAL(9,M533:M535)</f>
        <v>601969128</v>
      </c>
      <c r="N536" s="27">
        <f t="shared" ref="N536:O536" si="307">SUBTOTAL(9,N533:N535)</f>
        <v>534455128</v>
      </c>
      <c r="O536" s="27">
        <f t="shared" si="307"/>
        <v>67514000</v>
      </c>
      <c r="P536" s="24">
        <f t="shared" ref="P536:X536" si="308">SUBTOTAL(9,P533:P535)</f>
        <v>1350000</v>
      </c>
      <c r="Q536" s="24">
        <f t="shared" si="308"/>
        <v>0</v>
      </c>
      <c r="R536" s="24">
        <f t="shared" si="308"/>
        <v>66164000</v>
      </c>
      <c r="S536" s="27">
        <f t="shared" si="308"/>
        <v>67514000</v>
      </c>
      <c r="T536" s="27">
        <f t="shared" si="308"/>
        <v>0</v>
      </c>
      <c r="U536" s="27">
        <f t="shared" si="308"/>
        <v>0</v>
      </c>
      <c r="V536" s="27">
        <f t="shared" si="308"/>
        <v>67514000</v>
      </c>
      <c r="W536" s="27">
        <f t="shared" si="308"/>
        <v>0</v>
      </c>
      <c r="X536" s="27">
        <f t="shared" si="308"/>
        <v>0</v>
      </c>
      <c r="Y536" s="51"/>
      <c r="Z536" s="51"/>
      <c r="AJ536" s="185"/>
      <c r="AK536" s="185"/>
      <c r="AL536" s="185"/>
      <c r="AM536" s="185"/>
      <c r="AR536" s="2" t="e">
        <f>VLOOKUP(CLEAN(H536),#REF!,2,FALSE)</f>
        <v>#REF!</v>
      </c>
      <c r="AZ536" s="2" t="e">
        <f>VLOOKUP(H536,#REF!,2,FALSE)</f>
        <v>#REF!</v>
      </c>
      <c r="BF536" s="189"/>
      <c r="BO536" s="2" t="e">
        <f>VLOOKUP(H536,#REF!,13,FALSE)</f>
        <v>#REF!</v>
      </c>
      <c r="BQ536" s="2" t="e">
        <f>VLOOKUP(H536,#REF!,13,FALSE)</f>
        <v>#REF!</v>
      </c>
    </row>
    <row r="537" spans="1:70" s="2" customFormat="1" ht="15" customHeight="1" outlineLevel="1">
      <c r="A537" s="7"/>
      <c r="B537" s="7"/>
      <c r="C537" s="7"/>
      <c r="D537" s="7"/>
      <c r="E537" s="8"/>
      <c r="F537" s="7"/>
      <c r="G537" s="7"/>
      <c r="H537" s="11"/>
      <c r="I537" s="14"/>
      <c r="J537" s="14"/>
      <c r="K537" s="14"/>
      <c r="L537" s="294"/>
      <c r="M537" s="26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49"/>
      <c r="Z537" s="49"/>
      <c r="AJ537" s="185"/>
      <c r="AK537" s="185"/>
      <c r="AL537" s="185"/>
      <c r="AM537" s="185"/>
      <c r="AR537" s="2" t="e">
        <f>VLOOKUP(CLEAN(H537),#REF!,2,FALSE)</f>
        <v>#REF!</v>
      </c>
      <c r="AZ537" s="2" t="e">
        <f>VLOOKUP(H537,#REF!,2,FALSE)</f>
        <v>#REF!</v>
      </c>
      <c r="BF537" s="189"/>
      <c r="BO537" s="2" t="e">
        <f>VLOOKUP(H537,#REF!,13,FALSE)</f>
        <v>#REF!</v>
      </c>
      <c r="BP537" s="293"/>
      <c r="BQ537" s="2" t="e">
        <f>VLOOKUP(H537,#REF!,13,FALSE)</f>
        <v>#REF!</v>
      </c>
    </row>
    <row r="538" spans="1:70" s="2" customFormat="1" ht="15" customHeight="1" outlineLevel="1">
      <c r="A538" s="7"/>
      <c r="B538" s="7"/>
      <c r="C538" s="7"/>
      <c r="D538" s="7"/>
      <c r="E538" s="8"/>
      <c r="F538" s="7"/>
      <c r="G538" s="7"/>
      <c r="H538" s="11"/>
      <c r="I538" s="14"/>
      <c r="J538" s="14"/>
      <c r="K538" s="14"/>
      <c r="L538" s="18" t="s">
        <v>698</v>
      </c>
      <c r="M538" s="29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51"/>
      <c r="Z538" s="51"/>
      <c r="AJ538" s="185"/>
      <c r="AK538" s="185"/>
      <c r="AL538" s="185"/>
      <c r="AM538" s="185"/>
      <c r="AR538" s="2" t="e">
        <f>VLOOKUP(CLEAN(H538),#REF!,2,FALSE)</f>
        <v>#REF!</v>
      </c>
      <c r="AZ538" s="2" t="e">
        <f>VLOOKUP(H538,#REF!,2,FALSE)</f>
        <v>#REF!</v>
      </c>
      <c r="BF538" s="189"/>
      <c r="BO538" s="2" t="e">
        <f>VLOOKUP(H538,#REF!,13,FALSE)</f>
        <v>#REF!</v>
      </c>
      <c r="BQ538" s="2" t="e">
        <f>VLOOKUP(H538,#REF!,13,FALSE)</f>
        <v>#REF!</v>
      </c>
    </row>
    <row r="539" spans="1:70" s="2" customFormat="1" ht="15" customHeight="1" outlineLevel="2">
      <c r="A539" s="5">
        <v>31</v>
      </c>
      <c r="B539" s="5" t="s">
        <v>54</v>
      </c>
      <c r="C539" s="5" t="s">
        <v>311</v>
      </c>
      <c r="D539" s="5" t="s">
        <v>30</v>
      </c>
      <c r="E539" s="5" t="s">
        <v>33</v>
      </c>
      <c r="F539" s="5" t="s">
        <v>89</v>
      </c>
      <c r="G539" s="5" t="s">
        <v>144</v>
      </c>
      <c r="H539" s="12">
        <v>30137881</v>
      </c>
      <c r="I539" s="42" t="str">
        <f t="shared" ref="I539:I540" si="309">CONCATENATE(H539,"-",G539)</f>
        <v>30137881-EJECUCION</v>
      </c>
      <c r="J539" s="12"/>
      <c r="K539" s="307" t="str">
        <f t="shared" ref="K539:K540" si="310">CLEAN(H539)</f>
        <v>30137881</v>
      </c>
      <c r="L539" s="15" t="s">
        <v>279</v>
      </c>
      <c r="M539" s="23">
        <v>460895000</v>
      </c>
      <c r="N539" s="34">
        <v>0</v>
      </c>
      <c r="O539" s="34">
        <f>60000000+777635</f>
        <v>60777635</v>
      </c>
      <c r="P539" s="310">
        <v>0</v>
      </c>
      <c r="Q539" s="34">
        <v>0</v>
      </c>
      <c r="R539" s="308">
        <v>0</v>
      </c>
      <c r="S539" s="34">
        <f t="shared" ref="S539:S540" si="311">P539+Q539+R539</f>
        <v>0</v>
      </c>
      <c r="T539" s="34">
        <v>0</v>
      </c>
      <c r="U539" s="34">
        <v>0</v>
      </c>
      <c r="V539" s="34">
        <f>P539+Q539+R539+T539+U539</f>
        <v>0</v>
      </c>
      <c r="W539" s="34">
        <f>O539-V539</f>
        <v>60777635</v>
      </c>
      <c r="X539" s="34">
        <f>M539-(N539+O539)</f>
        <v>400117365</v>
      </c>
      <c r="Y539" s="48" t="s">
        <v>85</v>
      </c>
      <c r="Z539" s="48" t="s">
        <v>10</v>
      </c>
      <c r="AA539" s="2" t="s">
        <v>845</v>
      </c>
      <c r="AB539" s="2" t="e">
        <f>VLOOKUP(H539,#REF!,2,FALSE)</f>
        <v>#REF!</v>
      </c>
      <c r="AC539" s="2" t="e">
        <f>VLOOKUP(I539,#REF!,2,FALSE)</f>
        <v>#REF!</v>
      </c>
      <c r="AD539" s="2" t="e">
        <f>VLOOKUP(H539,#REF!,13,FALSE)</f>
        <v>#REF!</v>
      </c>
      <c r="AE539" s="2" t="e">
        <f>VLOOKUP(I539,#REF!,7,FALSE)</f>
        <v>#REF!</v>
      </c>
      <c r="AG539" s="2" t="e">
        <f>VLOOKUP(H539,#REF!,13,FALSE)</f>
        <v>#REF!</v>
      </c>
      <c r="AH539" s="2" t="e">
        <f>VLOOKUP(I539,#REF!,2,FALSE)</f>
        <v>#REF!</v>
      </c>
      <c r="AJ539" s="185" t="e">
        <f>VLOOKUP(H539,#REF!,3,FALSE)</f>
        <v>#REF!</v>
      </c>
      <c r="AK539" s="185"/>
      <c r="AL539" s="185" t="e">
        <f>VLOOKUP(H539,#REF!,13,FALSE)</f>
        <v>#REF!</v>
      </c>
      <c r="AM539" s="185" t="e">
        <f>VLOOKUP(CLEAN(H539),#REF!,7,FALSE)</f>
        <v>#REF!</v>
      </c>
      <c r="AN539" s="2" t="e">
        <f>VLOOKUP(H539,#REF!,8,FALSE)</f>
        <v>#REF!</v>
      </c>
      <c r="AO539" s="189" t="e">
        <f>VLOOKUP(H539,#REF!,2,FALSE)</f>
        <v>#REF!</v>
      </c>
      <c r="AP539" s="189" t="e">
        <f>VLOOKUP(H539,#REF!,2,FALSE)</f>
        <v>#REF!</v>
      </c>
      <c r="AQ539" s="189"/>
      <c r="AR539" s="2" t="e">
        <f>VLOOKUP(CLEAN(H539),#REF!,2,FALSE)</f>
        <v>#REF!</v>
      </c>
      <c r="AT539" s="2" t="e">
        <f>VLOOKUP(H539,#REF!,13,FALSE)</f>
        <v>#REF!</v>
      </c>
      <c r="AU539" s="2" t="e">
        <f>VLOOKUP(H539,#REF!,13,FALSE)</f>
        <v>#REF!</v>
      </c>
      <c r="AV539" s="2" t="e">
        <f>VLOOKUP(H539,#REF!,13,FALSE)</f>
        <v>#REF!</v>
      </c>
      <c r="AW539" s="2" t="e">
        <f>VLOOKUP(H539,#REF!,13,FALSE)</f>
        <v>#REF!</v>
      </c>
      <c r="AX539" s="2" t="e">
        <f>VLOOKUP(H539,#REF!,9,FALSE)</f>
        <v>#REF!</v>
      </c>
      <c r="AZ539" s="189" t="e">
        <f>VLOOKUP(H539,#REF!,2,FALSE)</f>
        <v>#REF!</v>
      </c>
      <c r="BF539" s="189" t="e">
        <f>VLOOKUP(CLEAN(H539),#REF!,2,FALSE)</f>
        <v>#REF!</v>
      </c>
      <c r="BG539" s="189" t="e">
        <f>T539-BF539</f>
        <v>#REF!</v>
      </c>
      <c r="BO539" s="2" t="e">
        <f>VLOOKUP(H539,#REF!,13,FALSE)</f>
        <v>#REF!</v>
      </c>
      <c r="BP539" s="2" t="e">
        <f>VLOOKUP(H539,#REF!,2,FALSE)</f>
        <v>#REF!</v>
      </c>
      <c r="BQ539" s="2" t="e">
        <f>VLOOKUP(H539,#REF!,13,FALSE)</f>
        <v>#REF!</v>
      </c>
      <c r="BR539" s="2" t="e">
        <f>VLOOKUP(H539,#REF!,3,FALSE)</f>
        <v>#REF!</v>
      </c>
    </row>
    <row r="540" spans="1:70" s="2" customFormat="1" ht="15" customHeight="1" outlineLevel="2">
      <c r="A540" s="5">
        <v>33</v>
      </c>
      <c r="B540" s="5" t="s">
        <v>54</v>
      </c>
      <c r="C540" s="5" t="s">
        <v>248</v>
      </c>
      <c r="D540" s="5" t="s">
        <v>30</v>
      </c>
      <c r="E540" s="5" t="s">
        <v>33</v>
      </c>
      <c r="F540" s="5" t="s">
        <v>457</v>
      </c>
      <c r="G540" s="5" t="s">
        <v>144</v>
      </c>
      <c r="H540" s="12">
        <v>30341232</v>
      </c>
      <c r="I540" s="42" t="str">
        <f t="shared" si="309"/>
        <v>30341232-EJECUCION</v>
      </c>
      <c r="J540" s="12"/>
      <c r="K540" s="307" t="str">
        <f t="shared" si="310"/>
        <v>30341232</v>
      </c>
      <c r="L540" s="15" t="s">
        <v>829</v>
      </c>
      <c r="M540" s="23">
        <v>113883000</v>
      </c>
      <c r="N540" s="34">
        <v>0</v>
      </c>
      <c r="O540" s="34">
        <f>113883000-36834089+467000</f>
        <v>77515911</v>
      </c>
      <c r="P540" s="310">
        <v>0</v>
      </c>
      <c r="Q540" s="34">
        <v>0</v>
      </c>
      <c r="R540" s="308">
        <v>0</v>
      </c>
      <c r="S540" s="34">
        <f t="shared" si="311"/>
        <v>0</v>
      </c>
      <c r="T540" s="34">
        <v>0</v>
      </c>
      <c r="U540" s="34">
        <v>0</v>
      </c>
      <c r="V540" s="34">
        <f>P540+Q540+R540+T540+U540</f>
        <v>0</v>
      </c>
      <c r="W540" s="34">
        <f>O540-V540</f>
        <v>77515911</v>
      </c>
      <c r="X540" s="34">
        <f>M540-(N540+O540)</f>
        <v>36367089</v>
      </c>
      <c r="Y540" s="48" t="s">
        <v>85</v>
      </c>
      <c r="Z540" s="48" t="s">
        <v>8</v>
      </c>
      <c r="AA540" s="2" t="s">
        <v>844</v>
      </c>
      <c r="AB540" s="2" t="e">
        <f>VLOOKUP(H540,#REF!,2,FALSE)</f>
        <v>#REF!</v>
      </c>
      <c r="AC540" s="2" t="e">
        <f>VLOOKUP(I540,#REF!,2,FALSE)</f>
        <v>#REF!</v>
      </c>
      <c r="AD540" s="2" t="e">
        <f>VLOOKUP(H540,#REF!,13,FALSE)</f>
        <v>#REF!</v>
      </c>
      <c r="AE540" s="2" t="e">
        <f>VLOOKUP(I540,#REF!,7,FALSE)</f>
        <v>#REF!</v>
      </c>
      <c r="AG540" s="2" t="e">
        <f>VLOOKUP(H540,#REF!,13,FALSE)</f>
        <v>#REF!</v>
      </c>
      <c r="AH540" s="2" t="e">
        <f>VLOOKUP(I540,#REF!,2,FALSE)</f>
        <v>#REF!</v>
      </c>
      <c r="AJ540" s="185" t="e">
        <f>VLOOKUP(H540,#REF!,3,FALSE)</f>
        <v>#REF!</v>
      </c>
      <c r="AK540" s="185" t="s">
        <v>684</v>
      </c>
      <c r="AL540" s="185" t="e">
        <f>VLOOKUP(H540,#REF!,13,FALSE)</f>
        <v>#REF!</v>
      </c>
      <c r="AM540" s="185" t="e">
        <f>VLOOKUP(CLEAN(H540),#REF!,7,FALSE)</f>
        <v>#REF!</v>
      </c>
      <c r="AN540" s="2" t="e">
        <f>VLOOKUP(H540,#REF!,8,FALSE)</f>
        <v>#REF!</v>
      </c>
      <c r="AO540" s="189" t="e">
        <f>VLOOKUP(H540,#REF!,2,FALSE)</f>
        <v>#REF!</v>
      </c>
      <c r="AP540" s="189" t="e">
        <f>VLOOKUP(H540,#REF!,2,FALSE)</f>
        <v>#REF!</v>
      </c>
      <c r="AQ540" s="189"/>
      <c r="AR540" s="2" t="e">
        <f>VLOOKUP(CLEAN(H540),#REF!,2,FALSE)</f>
        <v>#REF!</v>
      </c>
      <c r="AT540" s="2" t="e">
        <f>VLOOKUP(H540,#REF!,13,FALSE)</f>
        <v>#REF!</v>
      </c>
      <c r="AU540" s="2" t="e">
        <f>VLOOKUP(H540,#REF!,13,FALSE)</f>
        <v>#REF!</v>
      </c>
      <c r="AV540" s="2" t="e">
        <f>VLOOKUP(H540,#REF!,13,FALSE)</f>
        <v>#REF!</v>
      </c>
      <c r="AW540" s="2" t="e">
        <f>VLOOKUP(H540,#REF!,13,FALSE)</f>
        <v>#REF!</v>
      </c>
      <c r="AX540" s="2" t="e">
        <f>VLOOKUP(H540,#REF!,9,FALSE)</f>
        <v>#REF!</v>
      </c>
      <c r="AZ540" s="189" t="e">
        <f>VLOOKUP(H540,#REF!,2,FALSE)</f>
        <v>#REF!</v>
      </c>
      <c r="BF540" s="189" t="e">
        <f>VLOOKUP(CLEAN(H540),#REF!,2,FALSE)</f>
        <v>#REF!</v>
      </c>
      <c r="BG540" s="189" t="e">
        <f>T540-BF540</f>
        <v>#REF!</v>
      </c>
      <c r="BO540" s="2" t="e">
        <f>VLOOKUP(H540,#REF!,13,FALSE)</f>
        <v>#REF!</v>
      </c>
      <c r="BP540" s="2" t="e">
        <f>VLOOKUP(H540,#REF!,2,FALSE)</f>
        <v>#REF!</v>
      </c>
      <c r="BQ540" s="2" t="e">
        <f>VLOOKUP(H540,#REF!,13,FALSE)</f>
        <v>#REF!</v>
      </c>
      <c r="BR540" s="2" t="e">
        <f>VLOOKUP(H540,#REF!,3,FALSE)</f>
        <v>#REF!</v>
      </c>
    </row>
    <row r="541" spans="1:70" s="2" customFormat="1" ht="15" customHeight="1" outlineLevel="1">
      <c r="A541" s="7"/>
      <c r="B541" s="7"/>
      <c r="C541" s="7"/>
      <c r="D541" s="7"/>
      <c r="E541" s="8"/>
      <c r="F541" s="7"/>
      <c r="G541" s="7"/>
      <c r="H541" s="11"/>
      <c r="I541" s="14"/>
      <c r="J541" s="14"/>
      <c r="K541" s="14"/>
      <c r="L541" s="17" t="s">
        <v>692</v>
      </c>
      <c r="M541" s="27">
        <f>SUBTOTAL(9,M539:M540)</f>
        <v>574778000</v>
      </c>
      <c r="N541" s="27">
        <f t="shared" ref="N541:O541" si="312">SUBTOTAL(9,N539:N540)</f>
        <v>0</v>
      </c>
      <c r="O541" s="27">
        <f t="shared" si="312"/>
        <v>138293546</v>
      </c>
      <c r="P541" s="24">
        <f t="shared" ref="P541:X541" si="313">SUBTOTAL(9,P539:P540)</f>
        <v>0</v>
      </c>
      <c r="Q541" s="24">
        <f t="shared" si="313"/>
        <v>0</v>
      </c>
      <c r="R541" s="24">
        <f t="shared" si="313"/>
        <v>0</v>
      </c>
      <c r="S541" s="27">
        <f t="shared" si="313"/>
        <v>0</v>
      </c>
      <c r="T541" s="27">
        <f t="shared" si="313"/>
        <v>0</v>
      </c>
      <c r="U541" s="27">
        <f t="shared" si="313"/>
        <v>0</v>
      </c>
      <c r="V541" s="27">
        <f t="shared" si="313"/>
        <v>0</v>
      </c>
      <c r="W541" s="27">
        <f t="shared" si="313"/>
        <v>138293546</v>
      </c>
      <c r="X541" s="27">
        <f t="shared" si="313"/>
        <v>436484454</v>
      </c>
      <c r="Y541" s="51"/>
      <c r="Z541" s="51"/>
      <c r="AJ541" s="185"/>
      <c r="AK541" s="185"/>
      <c r="AL541" s="185"/>
      <c r="AM541" s="185"/>
      <c r="AR541" s="2" t="e">
        <f>VLOOKUP(CLEAN(H541),#REF!,2,FALSE)</f>
        <v>#REF!</v>
      </c>
      <c r="AZ541" s="2" t="e">
        <f>VLOOKUP(H541,#REF!,2,FALSE)</f>
        <v>#REF!</v>
      </c>
      <c r="BF541" s="189"/>
      <c r="BO541" s="2" t="e">
        <f>VLOOKUP(H541,#REF!,13,FALSE)</f>
        <v>#REF!</v>
      </c>
      <c r="BQ541" s="2" t="e">
        <f>VLOOKUP(H541,#REF!,13,FALSE)</f>
        <v>#REF!</v>
      </c>
    </row>
    <row r="542" spans="1:70" s="2" customFormat="1" ht="15" customHeight="1" outlineLevel="1">
      <c r="A542" s="7"/>
      <c r="B542" s="7"/>
      <c r="C542" s="7"/>
      <c r="D542" s="7"/>
      <c r="E542" s="8"/>
      <c r="F542" s="7"/>
      <c r="G542" s="7"/>
      <c r="H542" s="11"/>
      <c r="I542" s="14"/>
      <c r="J542" s="14"/>
      <c r="K542" s="14"/>
      <c r="L542" s="294"/>
      <c r="M542" s="26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49"/>
      <c r="Z542" s="49"/>
      <c r="AJ542" s="185"/>
      <c r="AK542" s="185"/>
      <c r="AL542" s="185"/>
      <c r="AM542" s="185"/>
      <c r="AR542" s="2" t="e">
        <f>VLOOKUP(CLEAN(H542),#REF!,2,FALSE)</f>
        <v>#REF!</v>
      </c>
      <c r="AZ542" s="2" t="e">
        <f>VLOOKUP(H542,#REF!,2,FALSE)</f>
        <v>#REF!</v>
      </c>
      <c r="BF542" s="189"/>
      <c r="BO542" s="2" t="e">
        <f>VLOOKUP(H542,#REF!,13,FALSE)</f>
        <v>#REF!</v>
      </c>
      <c r="BP542" s="293"/>
      <c r="BQ542" s="2" t="e">
        <f>VLOOKUP(H542,#REF!,13,FALSE)</f>
        <v>#REF!</v>
      </c>
    </row>
    <row r="543" spans="1:70" ht="15" customHeight="1" outlineLevel="2">
      <c r="A543" s="7"/>
      <c r="B543" s="7"/>
      <c r="C543" s="7"/>
      <c r="D543" s="7"/>
      <c r="E543" s="7"/>
      <c r="F543" s="7"/>
      <c r="G543" s="7"/>
      <c r="H543" s="11"/>
      <c r="I543" s="11"/>
      <c r="J543" s="11"/>
      <c r="K543" s="11"/>
      <c r="L543" s="18" t="s">
        <v>701</v>
      </c>
      <c r="M543" s="22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47"/>
      <c r="Z543" s="47"/>
      <c r="AM543" s="185" t="e">
        <f>VLOOKUP(CLEAN(H543),#REF!,7,FALSE)</f>
        <v>#REF!</v>
      </c>
      <c r="AO543"/>
      <c r="AP543"/>
      <c r="AQ543"/>
      <c r="AR543" s="2" t="e">
        <f>VLOOKUP(CLEAN(H543),#REF!,2,FALSE)</f>
        <v>#REF!</v>
      </c>
      <c r="AZ543" s="2" t="e">
        <f>VLOOKUP(H543,#REF!,2,FALSE)</f>
        <v>#REF!</v>
      </c>
      <c r="BO543" s="2" t="e">
        <f>VLOOKUP(H543,#REF!,13,FALSE)</f>
        <v>#REF!</v>
      </c>
      <c r="BQ543" s="2" t="e">
        <f>VLOOKUP(H543,#REF!,13,FALSE)</f>
        <v>#REF!</v>
      </c>
    </row>
    <row r="544" spans="1:70" s="2" customFormat="1" ht="15" customHeight="1" outlineLevel="2">
      <c r="A544" s="5">
        <v>31</v>
      </c>
      <c r="B544" s="5" t="s">
        <v>11</v>
      </c>
      <c r="C544" s="5" t="s">
        <v>252</v>
      </c>
      <c r="D544" s="5" t="s">
        <v>30</v>
      </c>
      <c r="E544" s="5" t="s">
        <v>33</v>
      </c>
      <c r="F544" s="5" t="s">
        <v>75</v>
      </c>
      <c r="G544" s="5" t="s">
        <v>144</v>
      </c>
      <c r="H544" s="12">
        <v>40000032</v>
      </c>
      <c r="I544" s="42" t="str">
        <f>CONCATENATE(H544,"-",G544)</f>
        <v>40000032-EJECUCION</v>
      </c>
      <c r="J544" s="12"/>
      <c r="K544" s="307" t="str">
        <f>CLEAN(H544)</f>
        <v>40000032</v>
      </c>
      <c r="L544" s="15" t="s">
        <v>799</v>
      </c>
      <c r="M544" s="23">
        <v>88690000</v>
      </c>
      <c r="N544" s="34">
        <v>0</v>
      </c>
      <c r="O544" s="34">
        <v>88690000</v>
      </c>
      <c r="P544" s="310">
        <v>0</v>
      </c>
      <c r="Q544" s="34">
        <v>0</v>
      </c>
      <c r="R544" s="308">
        <v>0</v>
      </c>
      <c r="S544" s="34">
        <f t="shared" ref="S544:S545" si="314">P544+Q544+R544</f>
        <v>0</v>
      </c>
      <c r="T544" s="34">
        <v>0</v>
      </c>
      <c r="U544" s="34">
        <v>0</v>
      </c>
      <c r="V544" s="34">
        <f>P544+Q544+R544+T544+U544</f>
        <v>0</v>
      </c>
      <c r="W544" s="34">
        <f>O544-V544</f>
        <v>88690000</v>
      </c>
      <c r="X544" s="34">
        <f>M544-(N544+O544)</f>
        <v>0</v>
      </c>
      <c r="Y544" s="48" t="s">
        <v>418</v>
      </c>
      <c r="Z544" s="48" t="s">
        <v>8</v>
      </c>
      <c r="AA544" s="2" t="e">
        <v>#N/A</v>
      </c>
      <c r="AB544" s="2" t="e">
        <f>VLOOKUP(H544,#REF!,2,FALSE)</f>
        <v>#REF!</v>
      </c>
      <c r="AC544" s="2" t="e">
        <f>VLOOKUP(I544,#REF!,2,FALSE)</f>
        <v>#REF!</v>
      </c>
      <c r="AD544" s="2" t="e">
        <f>VLOOKUP(H544,#REF!,13,FALSE)</f>
        <v>#REF!</v>
      </c>
      <c r="AE544" s="2" t="e">
        <f>VLOOKUP(I544,#REF!,7,FALSE)</f>
        <v>#REF!</v>
      </c>
      <c r="AG544" s="2" t="e">
        <f>VLOOKUP(H544,#REF!,13,FALSE)</f>
        <v>#REF!</v>
      </c>
      <c r="AH544" s="2" t="e">
        <f>VLOOKUP(I544,#REF!,2,FALSE)</f>
        <v>#REF!</v>
      </c>
      <c r="AJ544" s="185" t="e">
        <f>VLOOKUP(H544,#REF!,3,FALSE)</f>
        <v>#REF!</v>
      </c>
      <c r="AK544" s="185"/>
      <c r="AL544" s="185" t="e">
        <f>VLOOKUP(H544,#REF!,13,FALSE)</f>
        <v>#REF!</v>
      </c>
      <c r="AM544" s="185" t="e">
        <f>VLOOKUP(CLEAN(H544),#REF!,7,FALSE)</f>
        <v>#REF!</v>
      </c>
      <c r="AN544" s="2" t="e">
        <f>VLOOKUP(H544,#REF!,8,FALSE)</f>
        <v>#REF!</v>
      </c>
      <c r="AO544" s="189" t="e">
        <f>VLOOKUP(H544,#REF!,2,FALSE)</f>
        <v>#REF!</v>
      </c>
      <c r="AP544" s="189" t="e">
        <f>VLOOKUP(H544,#REF!,2,FALSE)</f>
        <v>#REF!</v>
      </c>
      <c r="AQ544" s="189"/>
      <c r="AR544" s="2" t="e">
        <f>VLOOKUP(CLEAN(H544),#REF!,2,FALSE)</f>
        <v>#REF!</v>
      </c>
      <c r="AT544" s="2" t="e">
        <f>VLOOKUP(H544,#REF!,13,FALSE)</f>
        <v>#REF!</v>
      </c>
      <c r="AU544" s="2" t="e">
        <f>VLOOKUP(H544,#REF!,13,FALSE)</f>
        <v>#REF!</v>
      </c>
      <c r="AV544" s="2" t="e">
        <f>VLOOKUP(H544,#REF!,13,FALSE)</f>
        <v>#REF!</v>
      </c>
      <c r="AW544" s="2" t="e">
        <f>VLOOKUP(H544,#REF!,13,FALSE)</f>
        <v>#REF!</v>
      </c>
      <c r="AX544" s="2" t="e">
        <f>VLOOKUP(H544,#REF!,9,FALSE)</f>
        <v>#REF!</v>
      </c>
      <c r="AZ544" s="189" t="e">
        <f>VLOOKUP(H544,#REF!,2,FALSE)</f>
        <v>#REF!</v>
      </c>
      <c r="BF544" s="189" t="e">
        <f>VLOOKUP(CLEAN(H544),#REF!,2,FALSE)</f>
        <v>#REF!</v>
      </c>
      <c r="BG544" s="189" t="e">
        <f>T544-BF544</f>
        <v>#REF!</v>
      </c>
      <c r="BO544" s="2" t="e">
        <f>VLOOKUP(H544,#REF!,13,FALSE)</f>
        <v>#REF!</v>
      </c>
      <c r="BP544" s="2" t="e">
        <f>VLOOKUP(H544,#REF!,2,FALSE)</f>
        <v>#REF!</v>
      </c>
      <c r="BQ544" s="2" t="e">
        <f>VLOOKUP(H544,#REF!,13,FALSE)</f>
        <v>#REF!</v>
      </c>
      <c r="BR544" s="2" t="e">
        <f>VLOOKUP(H544,#REF!,3,FALSE)</f>
        <v>#REF!</v>
      </c>
    </row>
    <row r="545" spans="1:70" s="2" customFormat="1" ht="15" customHeight="1" outlineLevel="2">
      <c r="A545" s="5">
        <v>31</v>
      </c>
      <c r="B545" s="5" t="s">
        <v>11</v>
      </c>
      <c r="C545" s="5" t="s">
        <v>252</v>
      </c>
      <c r="D545" s="5" t="s">
        <v>30</v>
      </c>
      <c r="E545" s="5" t="s">
        <v>40</v>
      </c>
      <c r="F545" s="5" t="s">
        <v>75</v>
      </c>
      <c r="G545" s="5" t="s">
        <v>144</v>
      </c>
      <c r="H545" s="12">
        <v>30467589</v>
      </c>
      <c r="I545" s="42" t="str">
        <f>CONCATENATE(H545,"-",G545)</f>
        <v>30467589-EJECUCION</v>
      </c>
      <c r="J545" s="12"/>
      <c r="K545" s="307" t="str">
        <f>CLEAN(H545)</f>
        <v>30467589</v>
      </c>
      <c r="L545" s="15" t="s">
        <v>858</v>
      </c>
      <c r="M545" s="23">
        <v>128384000</v>
      </c>
      <c r="N545" s="34">
        <v>0</v>
      </c>
      <c r="O545" s="34">
        <v>128384000</v>
      </c>
      <c r="P545" s="310">
        <v>0</v>
      </c>
      <c r="Q545" s="34">
        <v>0</v>
      </c>
      <c r="R545" s="308">
        <v>0</v>
      </c>
      <c r="S545" s="34">
        <f t="shared" si="314"/>
        <v>0</v>
      </c>
      <c r="T545" s="34">
        <v>0</v>
      </c>
      <c r="U545" s="34">
        <v>0</v>
      </c>
      <c r="V545" s="34">
        <f>P545+Q545+R545+T545+U545</f>
        <v>0</v>
      </c>
      <c r="W545" s="34">
        <f>O545-V545</f>
        <v>128384000</v>
      </c>
      <c r="X545" s="34">
        <f>M545-(N545+O545)</f>
        <v>0</v>
      </c>
      <c r="Y545" s="48" t="s">
        <v>418</v>
      </c>
      <c r="Z545" s="48" t="s">
        <v>8</v>
      </c>
      <c r="AJ545" s="185"/>
      <c r="AK545" s="185"/>
      <c r="AL545" s="185"/>
      <c r="AM545" s="185"/>
      <c r="AO545" s="189"/>
      <c r="AP545" s="189"/>
      <c r="AQ545" s="189"/>
      <c r="BF545" s="189"/>
      <c r="BG545" s="189"/>
      <c r="BO545" s="2" t="e">
        <f>VLOOKUP(H545,#REF!,13,FALSE)</f>
        <v>#REF!</v>
      </c>
      <c r="BP545" s="2" t="e">
        <f>VLOOKUP(H545,#REF!,2,FALSE)</f>
        <v>#REF!</v>
      </c>
      <c r="BQ545" s="2" t="e">
        <f>VLOOKUP(H545,#REF!,13,FALSE)</f>
        <v>#REF!</v>
      </c>
      <c r="BR545" s="2" t="e">
        <f>VLOOKUP(H545,#REF!,3,FALSE)</f>
        <v>#REF!</v>
      </c>
    </row>
    <row r="546" spans="1:70" ht="15" customHeight="1" outlineLevel="2">
      <c r="A546" s="7"/>
      <c r="B546" s="7"/>
      <c r="C546" s="7"/>
      <c r="D546" s="7"/>
      <c r="E546" s="7"/>
      <c r="F546" s="7"/>
      <c r="G546" s="7"/>
      <c r="H546" s="11"/>
      <c r="I546" s="11"/>
      <c r="J546" s="11"/>
      <c r="K546" s="11"/>
      <c r="L546" s="17" t="s">
        <v>702</v>
      </c>
      <c r="M546" s="27">
        <f>SUBTOTAL(9,M544:M545)</f>
        <v>217074000</v>
      </c>
      <c r="N546" s="27">
        <f t="shared" ref="N546:O546" si="315">SUBTOTAL(9,N544:N545)</f>
        <v>0</v>
      </c>
      <c r="O546" s="27">
        <f t="shared" si="315"/>
        <v>217074000</v>
      </c>
      <c r="P546" s="24">
        <f t="shared" ref="P546:X546" si="316">SUBTOTAL(9,P544:P545)</f>
        <v>0</v>
      </c>
      <c r="Q546" s="24">
        <f t="shared" si="316"/>
        <v>0</v>
      </c>
      <c r="R546" s="24">
        <f t="shared" si="316"/>
        <v>0</v>
      </c>
      <c r="S546" s="27">
        <f t="shared" si="316"/>
        <v>0</v>
      </c>
      <c r="T546" s="27">
        <f t="shared" si="316"/>
        <v>0</v>
      </c>
      <c r="U546" s="27">
        <f t="shared" si="316"/>
        <v>0</v>
      </c>
      <c r="V546" s="27">
        <f t="shared" si="316"/>
        <v>0</v>
      </c>
      <c r="W546" s="27">
        <f t="shared" si="316"/>
        <v>217074000</v>
      </c>
      <c r="X546" s="27">
        <f t="shared" si="316"/>
        <v>0</v>
      </c>
      <c r="Y546" s="47"/>
      <c r="Z546" s="47"/>
      <c r="AM546" s="185" t="e">
        <f>VLOOKUP(CLEAN(H546),#REF!,7,FALSE)</f>
        <v>#REF!</v>
      </c>
      <c r="AO546"/>
      <c r="AP546"/>
      <c r="AQ546"/>
      <c r="AR546" s="2" t="e">
        <f>VLOOKUP(CLEAN(H546),#REF!,2,FALSE)</f>
        <v>#REF!</v>
      </c>
      <c r="AZ546" s="2" t="e">
        <f>VLOOKUP(H546,#REF!,2,FALSE)</f>
        <v>#REF!</v>
      </c>
      <c r="BO546" s="2" t="e">
        <f>VLOOKUP(H546,#REF!,13,FALSE)</f>
        <v>#REF!</v>
      </c>
      <c r="BQ546" s="2" t="e">
        <f>VLOOKUP(H546,#REF!,13,FALSE)</f>
        <v>#REF!</v>
      </c>
    </row>
    <row r="547" spans="1:70" ht="15" customHeight="1" outlineLevel="2">
      <c r="A547" s="7"/>
      <c r="B547" s="7"/>
      <c r="C547" s="7"/>
      <c r="D547" s="7"/>
      <c r="E547" s="7"/>
      <c r="F547" s="7"/>
      <c r="G547" s="7"/>
      <c r="H547" s="11"/>
      <c r="I547" s="11"/>
      <c r="J547" s="11"/>
      <c r="K547" s="11"/>
      <c r="L547" s="292"/>
      <c r="M547" s="22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47"/>
      <c r="Z547" s="47"/>
      <c r="AM547" s="185" t="e">
        <f>VLOOKUP(CLEAN(H547),#REF!,7,FALSE)</f>
        <v>#REF!</v>
      </c>
      <c r="AO547"/>
      <c r="AP547"/>
      <c r="AQ547"/>
      <c r="AR547" s="2" t="e">
        <f>VLOOKUP(CLEAN(H547),#REF!,2,FALSE)</f>
        <v>#REF!</v>
      </c>
      <c r="AZ547" s="2" t="e">
        <f>VLOOKUP(H547,#REF!,2,FALSE)</f>
        <v>#REF!</v>
      </c>
      <c r="BO547" s="2" t="e">
        <f>VLOOKUP(H547,#REF!,13,FALSE)</f>
        <v>#REF!</v>
      </c>
      <c r="BP547" s="293"/>
      <c r="BQ547" s="2" t="e">
        <f>VLOOKUP(H547,#REF!,13,FALSE)</f>
        <v>#REF!</v>
      </c>
    </row>
    <row r="548" spans="1:70" ht="15" customHeight="1" outlineLevel="2">
      <c r="A548" s="7"/>
      <c r="B548" s="7"/>
      <c r="C548" s="7"/>
      <c r="D548" s="7"/>
      <c r="E548" s="7"/>
      <c r="F548" s="7"/>
      <c r="G548" s="7"/>
      <c r="H548" s="11"/>
      <c r="I548" s="11"/>
      <c r="J548" s="11"/>
      <c r="K548" s="11"/>
      <c r="L548" s="18" t="s">
        <v>696</v>
      </c>
      <c r="M548" s="22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47"/>
      <c r="Z548" s="47"/>
      <c r="AM548" s="185" t="e">
        <f>VLOOKUP(CLEAN(H548),#REF!,7,FALSE)</f>
        <v>#REF!</v>
      </c>
      <c r="AO548"/>
      <c r="AP548"/>
      <c r="AQ548"/>
      <c r="AR548" s="2" t="e">
        <f>VLOOKUP(CLEAN(H548),#REF!,2,FALSE)</f>
        <v>#REF!</v>
      </c>
      <c r="AZ548" s="2" t="e">
        <f>VLOOKUP(H548,#REF!,2,FALSE)</f>
        <v>#REF!</v>
      </c>
      <c r="BO548" s="2" t="e">
        <f>VLOOKUP(H548,#REF!,13,FALSE)</f>
        <v>#REF!</v>
      </c>
      <c r="BQ548" s="2" t="e">
        <f>VLOOKUP(H548,#REF!,13,FALSE)</f>
        <v>#REF!</v>
      </c>
    </row>
    <row r="549" spans="1:70" s="2" customFormat="1" ht="15" customHeight="1" outlineLevel="2">
      <c r="A549" s="5">
        <v>31</v>
      </c>
      <c r="B549" s="5" t="s">
        <v>11</v>
      </c>
      <c r="C549" s="5" t="s">
        <v>248</v>
      </c>
      <c r="D549" s="5" t="s">
        <v>30</v>
      </c>
      <c r="E549" s="5" t="s">
        <v>33</v>
      </c>
      <c r="F549" s="5" t="s">
        <v>14</v>
      </c>
      <c r="G549" s="5" t="s">
        <v>144</v>
      </c>
      <c r="H549" s="12">
        <v>30471852</v>
      </c>
      <c r="I549" s="42" t="str">
        <f t="shared" ref="I549:I554" si="317">CONCATENATE(H549,"-",G549)</f>
        <v>30471852-EJECUCION</v>
      </c>
      <c r="J549" s="12"/>
      <c r="K549" s="307" t="str">
        <f t="shared" ref="K549:K554" si="318">CLEAN(H549)</f>
        <v>30471852</v>
      </c>
      <c r="L549" s="15" t="s">
        <v>347</v>
      </c>
      <c r="M549" s="23">
        <v>708613000</v>
      </c>
      <c r="N549" s="34">
        <v>0</v>
      </c>
      <c r="O549" s="34">
        <v>10000000</v>
      </c>
      <c r="P549" s="310">
        <v>0</v>
      </c>
      <c r="Q549" s="34">
        <v>0</v>
      </c>
      <c r="R549" s="308">
        <v>0</v>
      </c>
      <c r="S549" s="34">
        <f t="shared" ref="S549:S554" si="319">P549+Q549+R549</f>
        <v>0</v>
      </c>
      <c r="T549" s="34">
        <v>0</v>
      </c>
      <c r="U549" s="34">
        <v>0</v>
      </c>
      <c r="V549" s="34">
        <f>P549+Q549+R549+T549+U549</f>
        <v>0</v>
      </c>
      <c r="W549" s="34">
        <f>O549-V549</f>
        <v>10000000</v>
      </c>
      <c r="X549" s="34">
        <f>M549-(N549+O549)</f>
        <v>698613000</v>
      </c>
      <c r="Y549" s="48" t="s">
        <v>246</v>
      </c>
      <c r="Z549" s="48" t="s">
        <v>270</v>
      </c>
      <c r="AA549" s="2" t="e">
        <v>#N/A</v>
      </c>
      <c r="AB549" s="2" t="e">
        <f>VLOOKUP(H549,#REF!,2,FALSE)</f>
        <v>#REF!</v>
      </c>
      <c r="AC549" s="2" t="e">
        <f>VLOOKUP(I549,#REF!,2,FALSE)</f>
        <v>#REF!</v>
      </c>
      <c r="AD549" s="2" t="e">
        <f>VLOOKUP(H549,#REF!,13,FALSE)</f>
        <v>#REF!</v>
      </c>
      <c r="AE549" s="2" t="e">
        <f>VLOOKUP(I549,#REF!,7,FALSE)</f>
        <v>#REF!</v>
      </c>
      <c r="AG549" s="2" t="e">
        <f>VLOOKUP(H549,#REF!,13,FALSE)</f>
        <v>#REF!</v>
      </c>
      <c r="AH549" s="2" t="e">
        <f>VLOOKUP(I549,#REF!,2,FALSE)</f>
        <v>#REF!</v>
      </c>
      <c r="AJ549" s="185" t="e">
        <f>VLOOKUP(H549,#REF!,3,FALSE)</f>
        <v>#REF!</v>
      </c>
      <c r="AK549" s="185"/>
      <c r="AL549" s="185" t="e">
        <f>VLOOKUP(H549,#REF!,13,FALSE)</f>
        <v>#REF!</v>
      </c>
      <c r="AM549" s="185" t="e">
        <f>VLOOKUP(CLEAN(H549),#REF!,7,FALSE)</f>
        <v>#REF!</v>
      </c>
      <c r="AN549" s="2" t="e">
        <f>VLOOKUP(H549,#REF!,8,FALSE)</f>
        <v>#REF!</v>
      </c>
      <c r="AO549" s="189" t="e">
        <f>VLOOKUP(H549,#REF!,2,FALSE)</f>
        <v>#REF!</v>
      </c>
      <c r="AP549" s="189" t="e">
        <f>VLOOKUP(H549,#REF!,2,FALSE)</f>
        <v>#REF!</v>
      </c>
      <c r="AQ549" s="189"/>
      <c r="AR549" s="2" t="e">
        <f>VLOOKUP(CLEAN(H549),#REF!,2,FALSE)</f>
        <v>#REF!</v>
      </c>
      <c r="AT549" s="2" t="e">
        <f>VLOOKUP(H549,#REF!,13,FALSE)</f>
        <v>#REF!</v>
      </c>
      <c r="AU549" s="2" t="e">
        <f>VLOOKUP(H549,#REF!,13,FALSE)</f>
        <v>#REF!</v>
      </c>
      <c r="AV549" s="2" t="e">
        <f>VLOOKUP(H549,#REF!,13,FALSE)</f>
        <v>#REF!</v>
      </c>
      <c r="AW549" s="2" t="e">
        <f>VLOOKUP(H549,#REF!,13,FALSE)</f>
        <v>#REF!</v>
      </c>
      <c r="AX549" s="2" t="e">
        <f>VLOOKUP(H549,#REF!,9,FALSE)</f>
        <v>#REF!</v>
      </c>
      <c r="AZ549" s="2" t="e">
        <f>VLOOKUP(H549,#REF!,2,FALSE)</f>
        <v>#REF!</v>
      </c>
      <c r="BF549" s="189" t="e">
        <f>VLOOKUP(CLEAN(H549),#REF!,2,FALSE)</f>
        <v>#REF!</v>
      </c>
      <c r="BG549" s="189" t="e">
        <f>T549-BF549</f>
        <v>#REF!</v>
      </c>
      <c r="BO549" s="2" t="e">
        <f>VLOOKUP(H549,#REF!,13,FALSE)</f>
        <v>#REF!</v>
      </c>
      <c r="BP549" s="2" t="e">
        <f>VLOOKUP(H549,#REF!,2,FALSE)</f>
        <v>#REF!</v>
      </c>
      <c r="BQ549" s="2" t="e">
        <f>VLOOKUP(H549,#REF!,13,FALSE)</f>
        <v>#REF!</v>
      </c>
      <c r="BR549" s="2" t="e">
        <f>VLOOKUP(H549,#REF!,3,FALSE)</f>
        <v>#REF!</v>
      </c>
    </row>
    <row r="550" spans="1:70" s="2" customFormat="1" ht="15" customHeight="1" outlineLevel="2">
      <c r="A550" s="5">
        <v>31</v>
      </c>
      <c r="B550" s="5" t="s">
        <v>11</v>
      </c>
      <c r="C550" s="5" t="s">
        <v>238</v>
      </c>
      <c r="D550" s="5" t="s">
        <v>30</v>
      </c>
      <c r="E550" s="5" t="s">
        <v>33</v>
      </c>
      <c r="F550" s="5" t="s">
        <v>457</v>
      </c>
      <c r="G550" s="5" t="s">
        <v>144</v>
      </c>
      <c r="H550" s="12">
        <v>40001823</v>
      </c>
      <c r="I550" s="42" t="str">
        <f t="shared" si="317"/>
        <v>40001823-EJECUCION</v>
      </c>
      <c r="J550" s="12"/>
      <c r="K550" s="307" t="str">
        <f t="shared" si="318"/>
        <v>40001823</v>
      </c>
      <c r="L550" s="15" t="s">
        <v>523</v>
      </c>
      <c r="M550" s="23">
        <v>150000000</v>
      </c>
      <c r="N550" s="34">
        <v>0</v>
      </c>
      <c r="O550" s="34">
        <v>20000000</v>
      </c>
      <c r="P550" s="310">
        <v>0</v>
      </c>
      <c r="Q550" s="34">
        <v>0</v>
      </c>
      <c r="R550" s="308">
        <v>0</v>
      </c>
      <c r="S550" s="34">
        <f t="shared" si="319"/>
        <v>0</v>
      </c>
      <c r="T550" s="34">
        <v>0</v>
      </c>
      <c r="U550" s="34">
        <v>0</v>
      </c>
      <c r="V550" s="34">
        <f>P550+Q550+R550+T550+U550</f>
        <v>0</v>
      </c>
      <c r="W550" s="34">
        <f>O550-V550</f>
        <v>20000000</v>
      </c>
      <c r="X550" s="34">
        <f>M550-(N550+O550)</f>
        <v>130000000</v>
      </c>
      <c r="Y550" s="48" t="s">
        <v>246</v>
      </c>
      <c r="Z550" s="48" t="s">
        <v>357</v>
      </c>
      <c r="AA550" s="2" t="e">
        <v>#N/A</v>
      </c>
      <c r="AB550" s="2" t="e">
        <f>VLOOKUP(H550,#REF!,2,FALSE)</f>
        <v>#REF!</v>
      </c>
      <c r="AC550" s="2" t="e">
        <f>VLOOKUP(I550,#REF!,2,FALSE)</f>
        <v>#REF!</v>
      </c>
      <c r="AD550" s="2" t="e">
        <f>VLOOKUP(H550,#REF!,13,FALSE)</f>
        <v>#REF!</v>
      </c>
      <c r="AE550" s="2" t="e">
        <f>VLOOKUP(I550,#REF!,7,FALSE)</f>
        <v>#REF!</v>
      </c>
      <c r="AG550" s="2" t="e">
        <f>VLOOKUP(H550,#REF!,13,FALSE)</f>
        <v>#REF!</v>
      </c>
      <c r="AH550" s="2" t="e">
        <f>VLOOKUP(I550,#REF!,2,FALSE)</f>
        <v>#REF!</v>
      </c>
      <c r="AJ550" s="185" t="e">
        <f>VLOOKUP(H550,#REF!,3,FALSE)</f>
        <v>#REF!</v>
      </c>
      <c r="AK550" s="185"/>
      <c r="AL550" s="185" t="e">
        <f>VLOOKUP(H550,#REF!,13,FALSE)</f>
        <v>#REF!</v>
      </c>
      <c r="AM550" s="185" t="e">
        <f>VLOOKUP(CLEAN(H550),#REF!,7,FALSE)</f>
        <v>#REF!</v>
      </c>
      <c r="AN550" s="2" t="e">
        <f>VLOOKUP(H550,#REF!,8,FALSE)</f>
        <v>#REF!</v>
      </c>
      <c r="AO550" s="189" t="e">
        <f>VLOOKUP(H550,#REF!,2,FALSE)</f>
        <v>#REF!</v>
      </c>
      <c r="AP550" s="189" t="e">
        <f>VLOOKUP(H550,#REF!,2,FALSE)</f>
        <v>#REF!</v>
      </c>
      <c r="AQ550" s="189"/>
      <c r="AR550" s="2" t="e">
        <f>VLOOKUP(CLEAN(H550),#REF!,2,FALSE)</f>
        <v>#REF!</v>
      </c>
      <c r="AT550" s="2" t="e">
        <f>VLOOKUP(H550,#REF!,13,FALSE)</f>
        <v>#REF!</v>
      </c>
      <c r="AU550" s="2" t="e">
        <f>VLOOKUP(H550,#REF!,13,FALSE)</f>
        <v>#REF!</v>
      </c>
      <c r="AV550" s="2" t="e">
        <f>VLOOKUP(H550,#REF!,13,FALSE)</f>
        <v>#REF!</v>
      </c>
      <c r="AW550" s="2" t="e">
        <f>VLOOKUP(H550,#REF!,13,FALSE)</f>
        <v>#REF!</v>
      </c>
      <c r="AX550" s="2" t="e">
        <f>VLOOKUP(H550,#REF!,9,FALSE)</f>
        <v>#REF!</v>
      </c>
      <c r="AZ550" s="2" t="e">
        <f>VLOOKUP(H550,#REF!,2,FALSE)</f>
        <v>#REF!</v>
      </c>
      <c r="BF550" s="189" t="e">
        <f>VLOOKUP(CLEAN(H550),#REF!,2,FALSE)</f>
        <v>#REF!</v>
      </c>
      <c r="BG550" s="189" t="e">
        <f>T550-BF550</f>
        <v>#REF!</v>
      </c>
      <c r="BO550" s="2" t="e">
        <f>VLOOKUP(H550,#REF!,13,FALSE)</f>
        <v>#REF!</v>
      </c>
      <c r="BP550" s="2" t="e">
        <f>VLOOKUP(H550,#REF!,2,FALSE)</f>
        <v>#REF!</v>
      </c>
      <c r="BQ550" s="2" t="e">
        <f>VLOOKUP(H550,#REF!,13,FALSE)</f>
        <v>#REF!</v>
      </c>
      <c r="BR550" s="2" t="e">
        <f>VLOOKUP(H550,#REF!,3,FALSE)</f>
        <v>#REF!</v>
      </c>
    </row>
    <row r="551" spans="1:70" s="2" customFormat="1" ht="15" customHeight="1" outlineLevel="2">
      <c r="A551" s="5">
        <v>31</v>
      </c>
      <c r="B551" s="5" t="s">
        <v>11</v>
      </c>
      <c r="C551" s="5" t="s">
        <v>251</v>
      </c>
      <c r="D551" s="5" t="s">
        <v>30</v>
      </c>
      <c r="E551" s="5" t="s">
        <v>33</v>
      </c>
      <c r="F551" s="5" t="s">
        <v>457</v>
      </c>
      <c r="G551" s="5" t="s">
        <v>144</v>
      </c>
      <c r="H551" s="12">
        <v>30035122</v>
      </c>
      <c r="I551" s="42" t="str">
        <f t="shared" si="317"/>
        <v>30035122-EJECUCION</v>
      </c>
      <c r="J551" s="12"/>
      <c r="K551" s="307" t="str">
        <f t="shared" si="318"/>
        <v>30035122</v>
      </c>
      <c r="L551" s="15" t="s">
        <v>491</v>
      </c>
      <c r="M551" s="23">
        <v>217000000</v>
      </c>
      <c r="N551" s="34">
        <v>0</v>
      </c>
      <c r="O551" s="34">
        <v>20000000</v>
      </c>
      <c r="P551" s="310">
        <v>0</v>
      </c>
      <c r="Q551" s="34">
        <v>0</v>
      </c>
      <c r="R551" s="308">
        <v>0</v>
      </c>
      <c r="S551" s="34">
        <f t="shared" si="319"/>
        <v>0</v>
      </c>
      <c r="T551" s="34">
        <v>0</v>
      </c>
      <c r="U551" s="34">
        <v>0</v>
      </c>
      <c r="V551" s="34">
        <f>P551+Q551+R551+T551+U551</f>
        <v>0</v>
      </c>
      <c r="W551" s="34">
        <f>O551-V551</f>
        <v>20000000</v>
      </c>
      <c r="X551" s="34">
        <f>M551-(N551+O551)</f>
        <v>197000000</v>
      </c>
      <c r="Y551" s="48" t="s">
        <v>246</v>
      </c>
      <c r="Z551" s="48" t="s">
        <v>357</v>
      </c>
      <c r="AA551" s="2" t="e">
        <v>#N/A</v>
      </c>
      <c r="AB551" s="2" t="e">
        <f>VLOOKUP(H551,#REF!,2,FALSE)</f>
        <v>#REF!</v>
      </c>
      <c r="AC551" s="2" t="e">
        <f>VLOOKUP(I551,#REF!,2,FALSE)</f>
        <v>#REF!</v>
      </c>
      <c r="AD551" s="2" t="e">
        <f>VLOOKUP(H551,#REF!,13,FALSE)</f>
        <v>#REF!</v>
      </c>
      <c r="AE551" s="2" t="e">
        <f>VLOOKUP(I551,#REF!,7,FALSE)</f>
        <v>#REF!</v>
      </c>
      <c r="AG551" s="2" t="e">
        <f>VLOOKUP(H551,#REF!,13,FALSE)</f>
        <v>#REF!</v>
      </c>
      <c r="AH551" s="2" t="e">
        <f>VLOOKUP(I551,#REF!,2,FALSE)</f>
        <v>#REF!</v>
      </c>
      <c r="AJ551" s="185" t="e">
        <f>VLOOKUP(H551,#REF!,3,FALSE)</f>
        <v>#REF!</v>
      </c>
      <c r="AK551" s="185"/>
      <c r="AL551" s="185" t="e">
        <f>VLOOKUP(H551,#REF!,13,FALSE)</f>
        <v>#REF!</v>
      </c>
      <c r="AM551" s="185" t="e">
        <f>VLOOKUP(CLEAN(H551),#REF!,7,FALSE)</f>
        <v>#REF!</v>
      </c>
      <c r="AN551" s="2" t="e">
        <f>VLOOKUP(H551,#REF!,8,FALSE)</f>
        <v>#REF!</v>
      </c>
      <c r="AO551" s="189" t="e">
        <f>VLOOKUP(H551,#REF!,2,FALSE)</f>
        <v>#REF!</v>
      </c>
      <c r="AP551" s="189" t="e">
        <f>VLOOKUP(H551,#REF!,2,FALSE)</f>
        <v>#REF!</v>
      </c>
      <c r="AQ551" s="189"/>
      <c r="AR551" s="2" t="e">
        <f>VLOOKUP(CLEAN(H551),#REF!,2,FALSE)</f>
        <v>#REF!</v>
      </c>
      <c r="AT551" s="2" t="e">
        <f>VLOOKUP(H551,#REF!,13,FALSE)</f>
        <v>#REF!</v>
      </c>
      <c r="AU551" s="2" t="e">
        <f>VLOOKUP(H551,#REF!,13,FALSE)</f>
        <v>#REF!</v>
      </c>
      <c r="AV551" s="2" t="e">
        <f>VLOOKUP(H551,#REF!,13,FALSE)</f>
        <v>#REF!</v>
      </c>
      <c r="AW551" s="2" t="e">
        <f>VLOOKUP(H551,#REF!,13,FALSE)</f>
        <v>#REF!</v>
      </c>
      <c r="AX551" s="2" t="e">
        <f>VLOOKUP(H551,#REF!,9,FALSE)</f>
        <v>#REF!</v>
      </c>
      <c r="AZ551" s="2" t="e">
        <f>VLOOKUP(H551,#REF!,2,FALSE)</f>
        <v>#REF!</v>
      </c>
      <c r="BF551" s="189" t="e">
        <f>VLOOKUP(CLEAN(H551),#REF!,2,FALSE)</f>
        <v>#REF!</v>
      </c>
      <c r="BG551" s="189" t="e">
        <f>T551-BF551</f>
        <v>#REF!</v>
      </c>
      <c r="BO551" s="2" t="e">
        <f>VLOOKUP(H551,#REF!,13,FALSE)</f>
        <v>#REF!</v>
      </c>
      <c r="BP551" s="2" t="e">
        <f>VLOOKUP(H551,#REF!,2,FALSE)</f>
        <v>#REF!</v>
      </c>
      <c r="BQ551" s="2" t="e">
        <f>VLOOKUP(H551,#REF!,13,FALSE)</f>
        <v>#REF!</v>
      </c>
      <c r="BR551" s="2" t="e">
        <f>VLOOKUP(H551,#REF!,3,FALSE)</f>
        <v>#REF!</v>
      </c>
    </row>
    <row r="552" spans="1:70" s="2" customFormat="1" ht="15" customHeight="1" outlineLevel="2">
      <c r="A552" s="5">
        <v>29</v>
      </c>
      <c r="B552" s="5" t="s">
        <v>11</v>
      </c>
      <c r="C552" s="5" t="s">
        <v>251</v>
      </c>
      <c r="D552" s="5" t="s">
        <v>30</v>
      </c>
      <c r="E552" s="5" t="s">
        <v>33</v>
      </c>
      <c r="F552" s="5" t="s">
        <v>457</v>
      </c>
      <c r="G552" s="5" t="s">
        <v>144</v>
      </c>
      <c r="H552" s="12">
        <v>4000453</v>
      </c>
      <c r="I552" s="42"/>
      <c r="J552" s="12"/>
      <c r="K552" s="307"/>
      <c r="L552" s="15" t="s">
        <v>1003</v>
      </c>
      <c r="M552" s="23">
        <v>201110000</v>
      </c>
      <c r="N552" s="34">
        <v>0</v>
      </c>
      <c r="O552" s="34">
        <v>0</v>
      </c>
      <c r="P552" s="310">
        <v>0</v>
      </c>
      <c r="Q552" s="34">
        <v>0</v>
      </c>
      <c r="R552" s="308">
        <v>0</v>
      </c>
      <c r="S552" s="34">
        <f t="shared" si="319"/>
        <v>0</v>
      </c>
      <c r="T552" s="34">
        <v>0</v>
      </c>
      <c r="U552" s="34">
        <v>0</v>
      </c>
      <c r="V552" s="34">
        <f>P552+Q552+R552+T552+U552</f>
        <v>0</v>
      </c>
      <c r="W552" s="34">
        <f>O552-V552</f>
        <v>0</v>
      </c>
      <c r="X552" s="34">
        <f>M552-(N552+O552)</f>
        <v>201110000</v>
      </c>
      <c r="Y552" s="48" t="s">
        <v>246</v>
      </c>
      <c r="Z552" s="48" t="s">
        <v>10</v>
      </c>
      <c r="AJ552" s="185"/>
      <c r="AK552" s="185"/>
      <c r="AL552" s="185"/>
      <c r="AM552" s="185"/>
      <c r="AO552" s="189"/>
      <c r="AP552" s="189"/>
      <c r="AQ552" s="189"/>
      <c r="BF552" s="189"/>
      <c r="BG552" s="189"/>
      <c r="BP552" s="2" t="e">
        <f>VLOOKUP(H552,#REF!,2,FALSE)</f>
        <v>#REF!</v>
      </c>
      <c r="BQ552" s="2" t="e">
        <f>VLOOKUP(H552,#REF!,13,FALSE)</f>
        <v>#REF!</v>
      </c>
      <c r="BR552" s="2" t="e">
        <f>VLOOKUP(H552,#REF!,3,FALSE)</f>
        <v>#REF!</v>
      </c>
    </row>
    <row r="553" spans="1:70" s="2" customFormat="1" ht="15" customHeight="1" outlineLevel="2">
      <c r="A553" s="5">
        <v>31</v>
      </c>
      <c r="B553" s="5" t="s">
        <v>11</v>
      </c>
      <c r="C553" s="5" t="s">
        <v>240</v>
      </c>
      <c r="D553" s="5" t="s">
        <v>30</v>
      </c>
      <c r="E553" s="5" t="s">
        <v>33</v>
      </c>
      <c r="F553" s="5" t="s">
        <v>457</v>
      </c>
      <c r="G553" s="5" t="s">
        <v>9</v>
      </c>
      <c r="H553" s="12">
        <v>30485368</v>
      </c>
      <c r="I553" s="42" t="str">
        <f t="shared" si="317"/>
        <v>30485368-DISEÑO</v>
      </c>
      <c r="J553" s="12"/>
      <c r="K553" s="307" t="str">
        <f t="shared" si="318"/>
        <v>30485368</v>
      </c>
      <c r="L553" s="15" t="s">
        <v>761</v>
      </c>
      <c r="M553" s="23">
        <v>101500000</v>
      </c>
      <c r="N553" s="34">
        <v>0</v>
      </c>
      <c r="O553" s="34">
        <v>10000000</v>
      </c>
      <c r="P553" s="310">
        <v>0</v>
      </c>
      <c r="Q553" s="34">
        <v>0</v>
      </c>
      <c r="R553" s="308">
        <v>0</v>
      </c>
      <c r="S553" s="34">
        <f t="shared" si="319"/>
        <v>0</v>
      </c>
      <c r="T553" s="34">
        <v>0</v>
      </c>
      <c r="U553" s="34">
        <v>0</v>
      </c>
      <c r="V553" s="34">
        <f>P553+Q553+R553+T553+U553</f>
        <v>0</v>
      </c>
      <c r="W553" s="34">
        <f>O553-V553</f>
        <v>10000000</v>
      </c>
      <c r="X553" s="34">
        <f>M553-(N553+O553)</f>
        <v>91500000</v>
      </c>
      <c r="Y553" s="48" t="s">
        <v>246</v>
      </c>
      <c r="Z553" s="48" t="s">
        <v>357</v>
      </c>
      <c r="AA553" s="2" t="e">
        <v>#N/A</v>
      </c>
      <c r="AB553" s="2" t="e">
        <f>VLOOKUP(H553,#REF!,2,FALSE)</f>
        <v>#REF!</v>
      </c>
      <c r="AC553" s="2" t="e">
        <f>VLOOKUP(I553,#REF!,2,FALSE)</f>
        <v>#REF!</v>
      </c>
      <c r="AD553" s="2" t="e">
        <f>VLOOKUP(H553,#REF!,13,FALSE)</f>
        <v>#REF!</v>
      </c>
      <c r="AE553" s="2" t="e">
        <f>VLOOKUP(I553,#REF!,7,FALSE)</f>
        <v>#REF!</v>
      </c>
      <c r="AG553" s="2" t="e">
        <f>VLOOKUP(H553,#REF!,13,FALSE)</f>
        <v>#REF!</v>
      </c>
      <c r="AH553" s="2" t="e">
        <f>VLOOKUP(I553,#REF!,2,FALSE)</f>
        <v>#REF!</v>
      </c>
      <c r="AJ553" s="185" t="e">
        <f>VLOOKUP(H553,#REF!,3,FALSE)</f>
        <v>#REF!</v>
      </c>
      <c r="AK553" s="185"/>
      <c r="AL553" s="185" t="e">
        <f>VLOOKUP(H553,#REF!,13,FALSE)</f>
        <v>#REF!</v>
      </c>
      <c r="AM553" s="185" t="e">
        <f>VLOOKUP(CLEAN(H553),#REF!,7,FALSE)</f>
        <v>#REF!</v>
      </c>
      <c r="AN553" s="2" t="e">
        <f>VLOOKUP(H553,#REF!,8,FALSE)</f>
        <v>#REF!</v>
      </c>
      <c r="AO553" s="189" t="e">
        <f>VLOOKUP(H553,#REF!,2,FALSE)</f>
        <v>#REF!</v>
      </c>
      <c r="AP553" s="189" t="e">
        <f>VLOOKUP(H553,#REF!,2,FALSE)</f>
        <v>#REF!</v>
      </c>
      <c r="AQ553" s="189"/>
      <c r="AR553" s="2" t="e">
        <f>VLOOKUP(CLEAN(H553),#REF!,2,FALSE)</f>
        <v>#REF!</v>
      </c>
      <c r="AT553" s="2" t="e">
        <f>VLOOKUP(H553,#REF!,13,FALSE)</f>
        <v>#REF!</v>
      </c>
      <c r="AU553" s="2" t="e">
        <f>VLOOKUP(H553,#REF!,13,FALSE)</f>
        <v>#REF!</v>
      </c>
      <c r="AV553" s="2" t="e">
        <f>VLOOKUP(H553,#REF!,13,FALSE)</f>
        <v>#REF!</v>
      </c>
      <c r="AW553" s="2" t="e">
        <f>VLOOKUP(H553,#REF!,13,FALSE)</f>
        <v>#REF!</v>
      </c>
      <c r="AX553" s="2" t="e">
        <f>VLOOKUP(H553,#REF!,9,FALSE)</f>
        <v>#REF!</v>
      </c>
      <c r="AZ553" s="2" t="e">
        <f>VLOOKUP(H553,#REF!,2,FALSE)</f>
        <v>#REF!</v>
      </c>
      <c r="BF553" s="189" t="e">
        <f>VLOOKUP(CLEAN(H553),#REF!,2,FALSE)</f>
        <v>#REF!</v>
      </c>
      <c r="BG553" s="189" t="e">
        <f>T553-BF553</f>
        <v>#REF!</v>
      </c>
      <c r="BO553" s="2" t="e">
        <f>VLOOKUP(H553,#REF!,13,FALSE)</f>
        <v>#REF!</v>
      </c>
      <c r="BP553" s="2" t="e">
        <f>VLOOKUP(H553,#REF!,2,FALSE)</f>
        <v>#REF!</v>
      </c>
      <c r="BQ553" s="2" t="e">
        <f>VLOOKUP(H553,#REF!,13,FALSE)</f>
        <v>#REF!</v>
      </c>
      <c r="BR553" s="2" t="e">
        <f>VLOOKUP(H553,#REF!,3,FALSE)</f>
        <v>#REF!</v>
      </c>
    </row>
    <row r="554" spans="1:70" s="2" customFormat="1" ht="15" customHeight="1" outlineLevel="2">
      <c r="A554" s="5">
        <v>31</v>
      </c>
      <c r="B554" s="5" t="s">
        <v>11</v>
      </c>
      <c r="C554" s="5" t="s">
        <v>251</v>
      </c>
      <c r="D554" s="5" t="s">
        <v>30</v>
      </c>
      <c r="E554" s="5" t="s">
        <v>33</v>
      </c>
      <c r="F554" s="5" t="s">
        <v>457</v>
      </c>
      <c r="G554" s="5" t="s">
        <v>144</v>
      </c>
      <c r="H554" s="12">
        <v>40001654</v>
      </c>
      <c r="I554" s="42" t="str">
        <f t="shared" si="317"/>
        <v>40001654-EJECUCION</v>
      </c>
      <c r="J554" s="12"/>
      <c r="K554" s="307" t="str">
        <f t="shared" si="318"/>
        <v>40001654</v>
      </c>
      <c r="L554" s="15" t="s">
        <v>503</v>
      </c>
      <c r="M554" s="23">
        <v>75500000</v>
      </c>
      <c r="N554" s="34">
        <v>0</v>
      </c>
      <c r="O554" s="34">
        <v>7500000</v>
      </c>
      <c r="P554" s="310">
        <v>0</v>
      </c>
      <c r="Q554" s="34">
        <v>0</v>
      </c>
      <c r="R554" s="308">
        <v>0</v>
      </c>
      <c r="S554" s="34">
        <f t="shared" si="319"/>
        <v>0</v>
      </c>
      <c r="T554" s="34">
        <v>0</v>
      </c>
      <c r="U554" s="34">
        <v>0</v>
      </c>
      <c r="V554" s="34">
        <f>P554+Q554+R554+T554+U554</f>
        <v>0</v>
      </c>
      <c r="W554" s="34">
        <f>O554-V554</f>
        <v>7500000</v>
      </c>
      <c r="X554" s="34">
        <f>M554-(N554+O554)</f>
        <v>68000000</v>
      </c>
      <c r="Y554" s="48" t="s">
        <v>382</v>
      </c>
      <c r="Z554" s="48" t="s">
        <v>357</v>
      </c>
      <c r="AA554" s="2" t="e">
        <v>#N/A</v>
      </c>
      <c r="AB554" s="2" t="e">
        <f>VLOOKUP(H554,#REF!,2,FALSE)</f>
        <v>#REF!</v>
      </c>
      <c r="AC554" s="2" t="e">
        <f>VLOOKUP(I554,#REF!,2,FALSE)</f>
        <v>#REF!</v>
      </c>
      <c r="AD554" s="2" t="e">
        <f>VLOOKUP(H554,#REF!,13,FALSE)</f>
        <v>#REF!</v>
      </c>
      <c r="AE554" s="2" t="e">
        <f>VLOOKUP(I554,#REF!,7,FALSE)</f>
        <v>#REF!</v>
      </c>
      <c r="AG554" s="2" t="e">
        <f>VLOOKUP(H554,#REF!,13,FALSE)</f>
        <v>#REF!</v>
      </c>
      <c r="AH554" s="2" t="e">
        <f>VLOOKUP(I554,#REF!,2,FALSE)</f>
        <v>#REF!</v>
      </c>
      <c r="AJ554" s="185" t="e">
        <f>VLOOKUP(H554,#REF!,3,FALSE)</f>
        <v>#REF!</v>
      </c>
      <c r="AK554" s="185"/>
      <c r="AL554" s="185" t="e">
        <f>VLOOKUP(H554,#REF!,13,FALSE)</f>
        <v>#REF!</v>
      </c>
      <c r="AM554" s="185" t="e">
        <f>VLOOKUP(CLEAN(H554),#REF!,7,FALSE)</f>
        <v>#REF!</v>
      </c>
      <c r="AN554" s="2" t="e">
        <f>VLOOKUP(H554,#REF!,8,FALSE)</f>
        <v>#REF!</v>
      </c>
      <c r="AO554" s="189" t="e">
        <f>VLOOKUP(H554,#REF!,2,FALSE)</f>
        <v>#REF!</v>
      </c>
      <c r="AP554" s="189" t="e">
        <f>VLOOKUP(H554,#REF!,2,FALSE)</f>
        <v>#REF!</v>
      </c>
      <c r="AQ554" s="189"/>
      <c r="AR554" s="2" t="e">
        <f>VLOOKUP(CLEAN(H554),#REF!,2,FALSE)</f>
        <v>#REF!</v>
      </c>
      <c r="AT554" s="2" t="e">
        <f>VLOOKUP(H554,#REF!,13,FALSE)</f>
        <v>#REF!</v>
      </c>
      <c r="AU554" s="2" t="e">
        <f>VLOOKUP(H554,#REF!,13,FALSE)</f>
        <v>#REF!</v>
      </c>
      <c r="AV554" s="2" t="e">
        <f>VLOOKUP(H554,#REF!,13,FALSE)</f>
        <v>#REF!</v>
      </c>
      <c r="AW554" s="2" t="e">
        <f>VLOOKUP(H554,#REF!,13,FALSE)</f>
        <v>#REF!</v>
      </c>
      <c r="AX554" s="2" t="e">
        <f>VLOOKUP(H554,#REF!,9,FALSE)</f>
        <v>#REF!</v>
      </c>
      <c r="AZ554" s="2" t="e">
        <f>VLOOKUP(H554,#REF!,2,FALSE)</f>
        <v>#REF!</v>
      </c>
      <c r="BF554" s="189" t="e">
        <f>VLOOKUP(CLEAN(H554),#REF!,2,FALSE)</f>
        <v>#REF!</v>
      </c>
      <c r="BG554" s="189" t="e">
        <f>T554-BF554</f>
        <v>#REF!</v>
      </c>
      <c r="BO554" s="2" t="e">
        <f>VLOOKUP(H554,#REF!,13,FALSE)</f>
        <v>#REF!</v>
      </c>
      <c r="BP554" s="2" t="e">
        <f>VLOOKUP(H554,#REF!,2,FALSE)</f>
        <v>#REF!</v>
      </c>
      <c r="BQ554" s="2" t="e">
        <f>VLOOKUP(H554,#REF!,13,FALSE)</f>
        <v>#REF!</v>
      </c>
      <c r="BR554" s="2" t="e">
        <f>VLOOKUP(H554,#REF!,3,FALSE)</f>
        <v>#REF!</v>
      </c>
    </row>
    <row r="555" spans="1:70" ht="15" customHeight="1" outlineLevel="2">
      <c r="A555" s="7"/>
      <c r="B555" s="7"/>
      <c r="C555" s="7"/>
      <c r="D555" s="7"/>
      <c r="E555" s="7"/>
      <c r="F555" s="7"/>
      <c r="G555" s="7"/>
      <c r="H555" s="11"/>
      <c r="I555" s="11"/>
      <c r="J555" s="11"/>
      <c r="K555" s="11"/>
      <c r="L555" s="17" t="s">
        <v>693</v>
      </c>
      <c r="M555" s="27">
        <f>SUBTOTAL(9,M549:M554)</f>
        <v>1453723000</v>
      </c>
      <c r="N555" s="27">
        <f t="shared" ref="N555:O555" si="320">SUBTOTAL(9,N549:N554)</f>
        <v>0</v>
      </c>
      <c r="O555" s="27">
        <f t="shared" si="320"/>
        <v>67500000</v>
      </c>
      <c r="P555" s="24">
        <f>SUBTOTAL(9,P549:P554)</f>
        <v>0</v>
      </c>
      <c r="Q555" s="24">
        <f>SUBTOTAL(9,Q549:Q554)</f>
        <v>0</v>
      </c>
      <c r="R555" s="24">
        <f>SUBTOTAL(9,R549:R554)</f>
        <v>0</v>
      </c>
      <c r="S555" s="27">
        <f t="shared" ref="S555:U555" si="321">SUBTOTAL(9,S549:S554)</f>
        <v>0</v>
      </c>
      <c r="T555" s="27">
        <f t="shared" si="321"/>
        <v>0</v>
      </c>
      <c r="U555" s="27">
        <f t="shared" si="321"/>
        <v>0</v>
      </c>
      <c r="V555" s="27">
        <f>SUBTOTAL(9,V549:V554)</f>
        <v>0</v>
      </c>
      <c r="W555" s="27">
        <f>SUBTOTAL(9,W549:W554)</f>
        <v>67500000</v>
      </c>
      <c r="X555" s="27">
        <f>SUBTOTAL(9,X549:X554)</f>
        <v>1386223000</v>
      </c>
      <c r="Y555" s="47"/>
      <c r="Z555" s="47"/>
      <c r="AM555" s="185" t="e">
        <f>VLOOKUP(CLEAN(H555),#REF!,7,FALSE)</f>
        <v>#REF!</v>
      </c>
      <c r="AO555"/>
      <c r="AP555"/>
      <c r="AQ555"/>
      <c r="AR555" s="2" t="e">
        <f>VLOOKUP(CLEAN(H555),#REF!,2,FALSE)</f>
        <v>#REF!</v>
      </c>
      <c r="AZ555" s="2" t="e">
        <f>VLOOKUP(H555,#REF!,2,FALSE)</f>
        <v>#REF!</v>
      </c>
      <c r="BO555" s="2" t="e">
        <f>VLOOKUP(H555,#REF!,13,FALSE)</f>
        <v>#REF!</v>
      </c>
      <c r="BQ555" s="2" t="e">
        <f>VLOOKUP(H555,#REF!,13,FALSE)</f>
        <v>#REF!</v>
      </c>
    </row>
    <row r="556" spans="1:70" ht="15" customHeight="1" outlineLevel="2">
      <c r="A556" s="7"/>
      <c r="B556" s="7"/>
      <c r="C556" s="7"/>
      <c r="D556" s="7"/>
      <c r="E556" s="7"/>
      <c r="F556" s="7"/>
      <c r="G556" s="7"/>
      <c r="H556" s="11"/>
      <c r="I556" s="11"/>
      <c r="J556" s="11"/>
      <c r="K556" s="11"/>
      <c r="L556" s="292"/>
      <c r="M556" s="22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47"/>
      <c r="Z556" s="47"/>
      <c r="AM556" s="185" t="e">
        <f>VLOOKUP(CLEAN(H556),#REF!,7,FALSE)</f>
        <v>#REF!</v>
      </c>
      <c r="AO556"/>
      <c r="AP556"/>
      <c r="AQ556"/>
      <c r="AR556" s="2" t="e">
        <f>VLOOKUP(CLEAN(H556),#REF!,2,FALSE)</f>
        <v>#REF!</v>
      </c>
      <c r="AZ556" s="2" t="e">
        <f>VLOOKUP(H556,#REF!,2,FALSE)</f>
        <v>#REF!</v>
      </c>
      <c r="BO556" s="2" t="e">
        <f>VLOOKUP(H556,#REF!,13,FALSE)</f>
        <v>#REF!</v>
      </c>
      <c r="BP556" s="293"/>
      <c r="BQ556" s="2" t="e">
        <f>VLOOKUP(H556,#REF!,13,FALSE)</f>
        <v>#REF!</v>
      </c>
    </row>
    <row r="557" spans="1:70" ht="18.75" customHeight="1" outlineLevel="1">
      <c r="A557" s="7"/>
      <c r="B557" s="7"/>
      <c r="C557" s="7"/>
      <c r="D557" s="7"/>
      <c r="E557" s="8"/>
      <c r="F557" s="7"/>
      <c r="G557" s="7"/>
      <c r="H557" s="11"/>
      <c r="I557" s="11"/>
      <c r="J557" s="11"/>
      <c r="K557" s="11"/>
      <c r="L557" s="45" t="s">
        <v>164</v>
      </c>
      <c r="M557" s="46">
        <f>M555+M546+M530+M536+M541</f>
        <v>5274002020</v>
      </c>
      <c r="N557" s="46">
        <f t="shared" ref="N557:O557" si="322">N555+N546+N530+N536+N541</f>
        <v>856846236</v>
      </c>
      <c r="O557" s="46">
        <f t="shared" si="322"/>
        <v>1629766263</v>
      </c>
      <c r="P557" s="46">
        <f>P555+P546+P530+P536+P541</f>
        <v>72835772</v>
      </c>
      <c r="Q557" s="46">
        <f>Q555+Q546+Q530+Q536+Q541</f>
        <v>95643451</v>
      </c>
      <c r="R557" s="46">
        <f>R555+R546+R530+R536+R541</f>
        <v>256818222</v>
      </c>
      <c r="S557" s="46">
        <f t="shared" ref="S557:U557" si="323">S555+S546+S530+S536+S541</f>
        <v>425297445</v>
      </c>
      <c r="T557" s="46">
        <f t="shared" si="323"/>
        <v>98669853</v>
      </c>
      <c r="U557" s="46">
        <f t="shared" si="323"/>
        <v>206714859</v>
      </c>
      <c r="V557" s="46">
        <f>V555+V546+V530+V536+V541</f>
        <v>730682157</v>
      </c>
      <c r="W557" s="46">
        <f>W555+W546+W530+W536+W541</f>
        <v>899084106</v>
      </c>
      <c r="X557" s="46">
        <f>X555+X546+X530+X536+X541</f>
        <v>2787389521</v>
      </c>
      <c r="Y557" s="47"/>
      <c r="Z557" s="47"/>
      <c r="AM557" s="185" t="e">
        <f>VLOOKUP(CLEAN(H557),#REF!,7,FALSE)</f>
        <v>#REF!</v>
      </c>
      <c r="AO557"/>
      <c r="AP557"/>
      <c r="AQ557"/>
      <c r="AR557" s="2" t="e">
        <f>VLOOKUP(CLEAN(H557),#REF!,2,FALSE)</f>
        <v>#REF!</v>
      </c>
      <c r="AZ557" s="2" t="e">
        <f>VLOOKUP(H557,#REF!,2,FALSE)</f>
        <v>#REF!</v>
      </c>
      <c r="BO557" s="2" t="e">
        <f>VLOOKUP(H557,#REF!,13,FALSE)</f>
        <v>#REF!</v>
      </c>
      <c r="BQ557" s="2" t="e">
        <f>VLOOKUP(H557,#REF!,13,FALSE)</f>
        <v>#REF!</v>
      </c>
    </row>
    <row r="558" spans="1:70" s="3" customFormat="1" ht="15" customHeight="1" outlineLevel="1">
      <c r="A558" s="7"/>
      <c r="B558" s="7"/>
      <c r="C558" s="7"/>
      <c r="D558" s="7"/>
      <c r="E558" s="8"/>
      <c r="F558" s="7"/>
      <c r="G558" s="7"/>
      <c r="H558" s="11"/>
      <c r="I558" s="11"/>
      <c r="J558" s="11"/>
      <c r="K558" s="11"/>
      <c r="L558" s="294"/>
      <c r="M558" s="26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47"/>
      <c r="Z558" s="47"/>
      <c r="AJ558" s="186"/>
      <c r="AK558" s="186"/>
      <c r="AL558" s="186"/>
      <c r="AM558" s="185" t="e">
        <f>VLOOKUP(CLEAN(H558),#REF!,7,FALSE)</f>
        <v>#REF!</v>
      </c>
      <c r="AR558" s="2" t="e">
        <f>VLOOKUP(CLEAN(H558),#REF!,2,FALSE)</f>
        <v>#REF!</v>
      </c>
      <c r="AZ558" s="2" t="e">
        <f>VLOOKUP(H558,#REF!,2,FALSE)</f>
        <v>#REF!</v>
      </c>
      <c r="BF558" s="193"/>
      <c r="BO558" s="2" t="e">
        <f>VLOOKUP(H558,#REF!,13,FALSE)</f>
        <v>#REF!</v>
      </c>
      <c r="BP558" s="7"/>
      <c r="BQ558" s="2" t="e">
        <f>VLOOKUP(H558,#REF!,13,FALSE)</f>
        <v>#REF!</v>
      </c>
    </row>
    <row r="559" spans="1:70" ht="26.25" customHeight="1" outlineLevel="1">
      <c r="A559" s="7"/>
      <c r="B559" s="7"/>
      <c r="C559" s="7"/>
      <c r="D559" s="7"/>
      <c r="E559" s="8"/>
      <c r="F559" s="7"/>
      <c r="G559" s="7"/>
      <c r="H559" s="11"/>
      <c r="I559" s="11"/>
      <c r="J559" s="11"/>
      <c r="K559" s="11"/>
      <c r="L559" s="57" t="s">
        <v>199</v>
      </c>
      <c r="M559" s="26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49"/>
      <c r="Z559" s="49"/>
      <c r="AM559" s="185" t="e">
        <f>VLOOKUP(CLEAN(H559),#REF!,7,FALSE)</f>
        <v>#REF!</v>
      </c>
      <c r="AO559"/>
      <c r="AP559"/>
      <c r="AQ559"/>
      <c r="AR559" s="2" t="e">
        <f>VLOOKUP(CLEAN(H559),#REF!,2,FALSE)</f>
        <v>#REF!</v>
      </c>
      <c r="AZ559" s="2" t="e">
        <f>VLOOKUP(H559,#REF!,2,FALSE)</f>
        <v>#REF!</v>
      </c>
      <c r="BO559" s="2" t="e">
        <f>VLOOKUP(H559,#REF!,13,FALSE)</f>
        <v>#REF!</v>
      </c>
      <c r="BQ559" s="2" t="e">
        <f>VLOOKUP(H559,#REF!,13,FALSE)</f>
        <v>#REF!</v>
      </c>
    </row>
    <row r="560" spans="1:70" ht="15" customHeight="1" outlineLevel="1">
      <c r="A560" s="7"/>
      <c r="B560" s="7"/>
      <c r="C560" s="7"/>
      <c r="D560" s="7"/>
      <c r="E560" s="8"/>
      <c r="F560" s="7"/>
      <c r="G560" s="7"/>
      <c r="H560" s="11"/>
      <c r="I560" s="11"/>
      <c r="J560" s="11"/>
      <c r="K560" s="11"/>
      <c r="L560" s="18" t="s">
        <v>695</v>
      </c>
      <c r="M560" s="26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47"/>
      <c r="Z560" s="47"/>
      <c r="AM560" s="185" t="e">
        <f>VLOOKUP(CLEAN(H560),#REF!,7,FALSE)</f>
        <v>#REF!</v>
      </c>
      <c r="AO560"/>
      <c r="AP560"/>
      <c r="AQ560"/>
      <c r="AR560" s="2" t="e">
        <f>VLOOKUP(CLEAN(H560),#REF!,2,FALSE)</f>
        <v>#REF!</v>
      </c>
      <c r="AZ560" s="2" t="e">
        <f>VLOOKUP(H560,#REF!,2,FALSE)</f>
        <v>#REF!</v>
      </c>
      <c r="BO560" s="2" t="e">
        <f>VLOOKUP(H560,#REF!,13,FALSE)</f>
        <v>#REF!</v>
      </c>
      <c r="BQ560" s="2" t="e">
        <f>VLOOKUP(H560,#REF!,13,FALSE)</f>
        <v>#REF!</v>
      </c>
    </row>
    <row r="561" spans="1:70" s="2" customFormat="1" ht="15" customHeight="1" outlineLevel="2">
      <c r="A561" s="5">
        <v>33</v>
      </c>
      <c r="B561" s="5" t="s">
        <v>5</v>
      </c>
      <c r="C561" s="5" t="s">
        <v>248</v>
      </c>
      <c r="D561" s="5" t="s">
        <v>30</v>
      </c>
      <c r="E561" s="5" t="s">
        <v>35</v>
      </c>
      <c r="F561" s="5" t="s">
        <v>14</v>
      </c>
      <c r="G561" s="5" t="s">
        <v>144</v>
      </c>
      <c r="H561" s="12">
        <v>30091901</v>
      </c>
      <c r="I561" s="42" t="str">
        <f t="shared" ref="I561" si="324">CONCATENATE(H561,"-",G561)</f>
        <v>30091901-EJECUCION</v>
      </c>
      <c r="J561" s="12"/>
      <c r="K561" s="307" t="str">
        <f t="shared" ref="K561" si="325">CLEAN(H561)</f>
        <v>30091901</v>
      </c>
      <c r="L561" s="15" t="s">
        <v>105</v>
      </c>
      <c r="M561" s="23">
        <v>378809664</v>
      </c>
      <c r="N561" s="34">
        <v>219892030</v>
      </c>
      <c r="O561" s="34">
        <v>158917634</v>
      </c>
      <c r="P561" s="310">
        <v>0</v>
      </c>
      <c r="Q561" s="34">
        <v>0</v>
      </c>
      <c r="R561" s="308">
        <v>0</v>
      </c>
      <c r="S561" s="34">
        <f>P561+Q561+R561</f>
        <v>0</v>
      </c>
      <c r="T561" s="34">
        <v>0</v>
      </c>
      <c r="U561" s="34">
        <v>0</v>
      </c>
      <c r="V561" s="34">
        <f>P561+Q561+R561+T561+U561</f>
        <v>0</v>
      </c>
      <c r="W561" s="34">
        <f>O561-V561</f>
        <v>158917634</v>
      </c>
      <c r="X561" s="34">
        <f>M561-(N561+O561)</f>
        <v>0</v>
      </c>
      <c r="Y561" s="48" t="s">
        <v>675</v>
      </c>
      <c r="Z561" s="48" t="s">
        <v>123</v>
      </c>
      <c r="AA561" s="2" t="s">
        <v>844</v>
      </c>
      <c r="AB561" s="2" t="e">
        <f>VLOOKUP(H561,#REF!,2,FALSE)</f>
        <v>#REF!</v>
      </c>
      <c r="AC561" s="2" t="e">
        <f>VLOOKUP(I561,#REF!,2,FALSE)</f>
        <v>#REF!</v>
      </c>
      <c r="AD561" s="2" t="e">
        <f>VLOOKUP(H561,#REF!,13,FALSE)</f>
        <v>#REF!</v>
      </c>
      <c r="AE561" s="2" t="e">
        <f>VLOOKUP(I561,#REF!,7,FALSE)</f>
        <v>#REF!</v>
      </c>
      <c r="AG561" s="2" t="e">
        <f>VLOOKUP(H561,#REF!,13,FALSE)</f>
        <v>#REF!</v>
      </c>
      <c r="AH561" s="2" t="e">
        <f>VLOOKUP(I561,#REF!,2,FALSE)</f>
        <v>#REF!</v>
      </c>
      <c r="AJ561" s="185" t="e">
        <f>VLOOKUP(H561,#REF!,3,FALSE)</f>
        <v>#REF!</v>
      </c>
      <c r="AK561" s="185"/>
      <c r="AL561" s="185"/>
      <c r="AM561" s="185" t="e">
        <f>VLOOKUP(CLEAN(H561),#REF!,7,FALSE)</f>
        <v>#REF!</v>
      </c>
      <c r="AN561" s="2" t="e">
        <f>VLOOKUP(H561,#REF!,8,FALSE)</f>
        <v>#REF!</v>
      </c>
      <c r="AO561" s="189" t="e">
        <f>VLOOKUP(H561,#REF!,2,FALSE)</f>
        <v>#REF!</v>
      </c>
      <c r="AP561" s="189" t="e">
        <f>VLOOKUP(H561,#REF!,2,FALSE)</f>
        <v>#REF!</v>
      </c>
      <c r="AQ561" s="189"/>
      <c r="AR561" s="2" t="e">
        <f>VLOOKUP(CLEAN(H561),#REF!,2,FALSE)</f>
        <v>#REF!</v>
      </c>
      <c r="AT561" s="2" t="e">
        <f>VLOOKUP(H561,#REF!,13,FALSE)</f>
        <v>#REF!</v>
      </c>
      <c r="AU561" s="2" t="e">
        <f>VLOOKUP(H561,#REF!,13,FALSE)</f>
        <v>#REF!</v>
      </c>
      <c r="AV561" s="2" t="e">
        <f>VLOOKUP(H561,#REF!,13,FALSE)</f>
        <v>#REF!</v>
      </c>
      <c r="AW561" s="2" t="e">
        <f>VLOOKUP(H561,#REF!,13,FALSE)</f>
        <v>#REF!</v>
      </c>
      <c r="AX561" s="2" t="e">
        <f>VLOOKUP(H561,#REF!,9,FALSE)</f>
        <v>#REF!</v>
      </c>
      <c r="AZ561" s="189" t="e">
        <f>VLOOKUP(H561,#REF!,2,FALSE)</f>
        <v>#REF!</v>
      </c>
      <c r="BF561" s="189" t="e">
        <f>VLOOKUP(CLEAN(H561),#REF!,2,FALSE)</f>
        <v>#REF!</v>
      </c>
      <c r="BG561" s="189" t="e">
        <f>T561-BF561</f>
        <v>#REF!</v>
      </c>
      <c r="BO561" s="2" t="e">
        <f>VLOOKUP(H561,#REF!,13,FALSE)</f>
        <v>#REF!</v>
      </c>
      <c r="BP561" s="2" t="e">
        <f>VLOOKUP(H561,#REF!,2,FALSE)</f>
        <v>#REF!</v>
      </c>
      <c r="BQ561" s="2" t="e">
        <f>VLOOKUP(H561,#REF!,13,FALSE)</f>
        <v>#REF!</v>
      </c>
      <c r="BR561" s="2" t="e">
        <f>VLOOKUP(H561,#REF!,3,FALSE)</f>
        <v>#REF!</v>
      </c>
    </row>
    <row r="562" spans="1:70" ht="15" customHeight="1" outlineLevel="2">
      <c r="A562" s="7"/>
      <c r="B562" s="7"/>
      <c r="C562" s="7"/>
      <c r="D562" s="7"/>
      <c r="E562" s="7"/>
      <c r="F562" s="7"/>
      <c r="G562" s="7"/>
      <c r="H562" s="11"/>
      <c r="I562" s="11"/>
      <c r="J562" s="11"/>
      <c r="K562" s="11"/>
      <c r="L562" s="17" t="s">
        <v>691</v>
      </c>
      <c r="M562" s="27">
        <f>SUBTOTAL(9,M561)</f>
        <v>378809664</v>
      </c>
      <c r="N562" s="27">
        <f t="shared" ref="N562:O562" si="326">SUBTOTAL(9,N561)</f>
        <v>219892030</v>
      </c>
      <c r="O562" s="27">
        <f t="shared" si="326"/>
        <v>158917634</v>
      </c>
      <c r="P562" s="27">
        <f t="shared" ref="P562:X562" si="327">SUBTOTAL(9,P561)</f>
        <v>0</v>
      </c>
      <c r="Q562" s="27">
        <f t="shared" si="327"/>
        <v>0</v>
      </c>
      <c r="R562" s="27">
        <f t="shared" si="327"/>
        <v>0</v>
      </c>
      <c r="S562" s="27">
        <f t="shared" si="327"/>
        <v>0</v>
      </c>
      <c r="T562" s="27">
        <f t="shared" si="327"/>
        <v>0</v>
      </c>
      <c r="U562" s="27">
        <f t="shared" si="327"/>
        <v>0</v>
      </c>
      <c r="V562" s="27">
        <f t="shared" si="327"/>
        <v>0</v>
      </c>
      <c r="W562" s="27">
        <f t="shared" si="327"/>
        <v>158917634</v>
      </c>
      <c r="X562" s="27">
        <f t="shared" si="327"/>
        <v>0</v>
      </c>
      <c r="Y562" s="47"/>
      <c r="Z562" s="47"/>
      <c r="AM562" s="185" t="e">
        <f>VLOOKUP(CLEAN(H562),#REF!,7,FALSE)</f>
        <v>#REF!</v>
      </c>
      <c r="AO562"/>
      <c r="AP562"/>
      <c r="AQ562"/>
      <c r="AR562" s="2" t="e">
        <f>VLOOKUP(CLEAN(H562),#REF!,2,FALSE)</f>
        <v>#REF!</v>
      </c>
      <c r="AZ562" s="2" t="e">
        <f>VLOOKUP(H562,#REF!,2,FALSE)</f>
        <v>#REF!</v>
      </c>
      <c r="BO562" s="2" t="e">
        <f>VLOOKUP(H562,#REF!,13,FALSE)</f>
        <v>#REF!</v>
      </c>
      <c r="BQ562" s="2" t="e">
        <f>VLOOKUP(H562,#REF!,13,FALSE)</f>
        <v>#REF!</v>
      </c>
    </row>
    <row r="563" spans="1:70" s="2" customFormat="1" ht="15" customHeight="1" outlineLevel="2">
      <c r="A563" s="7"/>
      <c r="B563" s="7"/>
      <c r="C563" s="7"/>
      <c r="D563" s="7"/>
      <c r="E563" s="7"/>
      <c r="F563" s="7"/>
      <c r="G563" s="7"/>
      <c r="H563" s="11"/>
      <c r="I563" s="14"/>
      <c r="J563" s="14"/>
      <c r="K563" s="14"/>
      <c r="L563" s="294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47"/>
      <c r="Z563" s="47"/>
      <c r="AJ563" s="185"/>
      <c r="AK563" s="185"/>
      <c r="AL563" s="185"/>
      <c r="AM563" s="185"/>
      <c r="AR563" s="2" t="e">
        <f>VLOOKUP(CLEAN(H563),#REF!,2,FALSE)</f>
        <v>#REF!</v>
      </c>
      <c r="AZ563" s="2" t="e">
        <f>VLOOKUP(H563,#REF!,2,FALSE)</f>
        <v>#REF!</v>
      </c>
      <c r="BF563" s="189"/>
      <c r="BO563" s="2" t="e">
        <f>VLOOKUP(H563,#REF!,13,FALSE)</f>
        <v>#REF!</v>
      </c>
      <c r="BP563" s="293"/>
      <c r="BQ563" s="2" t="e">
        <f>VLOOKUP(H563,#REF!,13,FALSE)</f>
        <v>#REF!</v>
      </c>
    </row>
    <row r="564" spans="1:70" s="2" customFormat="1" ht="15" customHeight="1" outlineLevel="2">
      <c r="A564" s="7"/>
      <c r="B564" s="7"/>
      <c r="C564" s="7"/>
      <c r="D564" s="7"/>
      <c r="E564" s="7"/>
      <c r="F564" s="7"/>
      <c r="G564" s="7"/>
      <c r="H564" s="11"/>
      <c r="I564" s="14"/>
      <c r="J564" s="14"/>
      <c r="K564" s="14"/>
      <c r="L564" s="18" t="s">
        <v>697</v>
      </c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50"/>
      <c r="Z564" s="50"/>
      <c r="AJ564" s="185"/>
      <c r="AK564" s="185"/>
      <c r="AL564" s="185"/>
      <c r="AM564" s="185"/>
      <c r="AR564" s="2" t="e">
        <f>VLOOKUP(CLEAN(H564),#REF!,2,FALSE)</f>
        <v>#REF!</v>
      </c>
      <c r="AZ564" s="2" t="e">
        <f>VLOOKUP(H564,#REF!,2,FALSE)</f>
        <v>#REF!</v>
      </c>
      <c r="BF564" s="189"/>
      <c r="BO564" s="2" t="e">
        <f>VLOOKUP(H564,#REF!,13,FALSE)</f>
        <v>#REF!</v>
      </c>
      <c r="BQ564" s="2" t="e">
        <f>VLOOKUP(H564,#REF!,13,FALSE)</f>
        <v>#REF!</v>
      </c>
    </row>
    <row r="565" spans="1:70" s="2" customFormat="1" ht="15" customHeight="1" outlineLevel="2">
      <c r="A565" s="5">
        <v>31</v>
      </c>
      <c r="B565" s="5" t="s">
        <v>5</v>
      </c>
      <c r="C565" s="5" t="s">
        <v>238</v>
      </c>
      <c r="D565" s="5" t="s">
        <v>30</v>
      </c>
      <c r="E565" s="5" t="s">
        <v>35</v>
      </c>
      <c r="F565" s="5" t="s">
        <v>457</v>
      </c>
      <c r="G565" s="5" t="s">
        <v>9</v>
      </c>
      <c r="H565" s="12">
        <v>30103252</v>
      </c>
      <c r="I565" s="42" t="str">
        <f>CONCATENATE(H565,"-",G565)</f>
        <v>30103252-DISEÑO</v>
      </c>
      <c r="J565" s="12"/>
      <c r="K565" s="307" t="str">
        <f>CLEAN(H565)</f>
        <v>30103252</v>
      </c>
      <c r="L565" s="15" t="s">
        <v>56</v>
      </c>
      <c r="M565" s="23">
        <v>62160000</v>
      </c>
      <c r="N565" s="34">
        <v>34165000</v>
      </c>
      <c r="O565" s="34">
        <f>7000000+20995000</f>
        <v>27995000</v>
      </c>
      <c r="P565" s="310">
        <v>0</v>
      </c>
      <c r="Q565" s="34">
        <v>0</v>
      </c>
      <c r="R565" s="308">
        <v>27995000</v>
      </c>
      <c r="S565" s="34">
        <f>P565+Q565+R565</f>
        <v>27995000</v>
      </c>
      <c r="T565" s="34">
        <v>0</v>
      </c>
      <c r="U565" s="34">
        <v>0</v>
      </c>
      <c r="V565" s="34">
        <f>P565+Q565+R565+T565+U565</f>
        <v>27995000</v>
      </c>
      <c r="W565" s="34">
        <f>O565-V565</f>
        <v>0</v>
      </c>
      <c r="X565" s="34">
        <f>M565-(N565+O565)</f>
        <v>0</v>
      </c>
      <c r="Y565" s="48" t="s">
        <v>460</v>
      </c>
      <c r="Z565" s="48" t="s">
        <v>8</v>
      </c>
      <c r="AA565" s="2" t="e">
        <v>#N/A</v>
      </c>
      <c r="AB565" s="2" t="e">
        <f>VLOOKUP(H565,#REF!,2,FALSE)</f>
        <v>#REF!</v>
      </c>
      <c r="AC565" s="2" t="e">
        <f>VLOOKUP(I565,#REF!,2,FALSE)</f>
        <v>#REF!</v>
      </c>
      <c r="AD565" s="2" t="e">
        <f>VLOOKUP(H565,#REF!,13,FALSE)</f>
        <v>#REF!</v>
      </c>
      <c r="AE565" s="2" t="e">
        <f>VLOOKUP(I565,#REF!,7,FALSE)</f>
        <v>#REF!</v>
      </c>
      <c r="AG565" s="2" t="e">
        <f>VLOOKUP(H565,#REF!,13,FALSE)</f>
        <v>#REF!</v>
      </c>
      <c r="AH565" s="2" t="e">
        <f>VLOOKUP(I565,#REF!,2,FALSE)</f>
        <v>#REF!</v>
      </c>
      <c r="AJ565" s="185" t="e">
        <f>VLOOKUP(H565,#REF!,3,FALSE)</f>
        <v>#REF!</v>
      </c>
      <c r="AK565" s="185"/>
      <c r="AL565" s="185" t="e">
        <f>VLOOKUP(H565,#REF!,13,FALSE)</f>
        <v>#REF!</v>
      </c>
      <c r="AM565" s="185" t="e">
        <f>VLOOKUP(CLEAN(H565),#REF!,7,FALSE)</f>
        <v>#REF!</v>
      </c>
      <c r="AN565" s="2" t="e">
        <f>VLOOKUP(H565,#REF!,8,FALSE)</f>
        <v>#REF!</v>
      </c>
      <c r="AO565" s="189" t="e">
        <f>VLOOKUP(H565,#REF!,2,FALSE)</f>
        <v>#REF!</v>
      </c>
      <c r="AP565" s="189" t="e">
        <f>VLOOKUP(H565,#REF!,2,FALSE)</f>
        <v>#REF!</v>
      </c>
      <c r="AQ565" s="189"/>
      <c r="AR565" s="2" t="e">
        <f>VLOOKUP(CLEAN(H565),#REF!,2,FALSE)</f>
        <v>#REF!</v>
      </c>
      <c r="AT565" s="2" t="e">
        <f>VLOOKUP(H565,#REF!,13,FALSE)</f>
        <v>#REF!</v>
      </c>
      <c r="AU565" s="2" t="e">
        <f>VLOOKUP(H565,#REF!,13,FALSE)</f>
        <v>#REF!</v>
      </c>
      <c r="AV565" s="2" t="e">
        <f>VLOOKUP(H565,#REF!,13,FALSE)</f>
        <v>#REF!</v>
      </c>
      <c r="AW565" s="2" t="e">
        <f>VLOOKUP(H565,#REF!,13,FALSE)</f>
        <v>#REF!</v>
      </c>
      <c r="AX565" s="2" t="e">
        <f>VLOOKUP(H565,#REF!,9,FALSE)</f>
        <v>#REF!</v>
      </c>
      <c r="AZ565" s="189" t="e">
        <f>VLOOKUP(H565,#REF!,2,FALSE)</f>
        <v>#REF!</v>
      </c>
      <c r="BF565" s="189" t="e">
        <f>VLOOKUP(CLEAN(H565),#REF!,2,FALSE)</f>
        <v>#REF!</v>
      </c>
      <c r="BG565" s="189" t="e">
        <f>T565-BF565</f>
        <v>#REF!</v>
      </c>
      <c r="BO565" s="2" t="e">
        <f>VLOOKUP(H565,#REF!,13,FALSE)</f>
        <v>#REF!</v>
      </c>
      <c r="BP565" s="2" t="e">
        <f>VLOOKUP(H565,#REF!,2,FALSE)</f>
        <v>#REF!</v>
      </c>
      <c r="BQ565" s="2" t="e">
        <f>VLOOKUP(H565,#REF!,13,FALSE)</f>
        <v>#REF!</v>
      </c>
      <c r="BR565" s="2" t="e">
        <f>VLOOKUP(H565,#REF!,3,FALSE)</f>
        <v>#REF!</v>
      </c>
    </row>
    <row r="566" spans="1:70" s="2" customFormat="1" ht="15" customHeight="1" outlineLevel="2">
      <c r="A566" s="7"/>
      <c r="B566" s="7"/>
      <c r="C566" s="7"/>
      <c r="D566" s="7"/>
      <c r="E566" s="7"/>
      <c r="F566" s="7"/>
      <c r="G566" s="7"/>
      <c r="H566" s="11"/>
      <c r="I566" s="14"/>
      <c r="J566" s="14"/>
      <c r="K566" s="14"/>
      <c r="L566" s="17" t="s">
        <v>694</v>
      </c>
      <c r="M566" s="27">
        <f>SUBTOTAL(9,M565)</f>
        <v>62160000</v>
      </c>
      <c r="N566" s="27">
        <f t="shared" ref="N566:O566" si="328">SUBTOTAL(9,N565)</f>
        <v>34165000</v>
      </c>
      <c r="O566" s="27">
        <f t="shared" si="328"/>
        <v>27995000</v>
      </c>
      <c r="P566" s="24">
        <f t="shared" ref="P566:X566" si="329">SUBTOTAL(9,P565)</f>
        <v>0</v>
      </c>
      <c r="Q566" s="24">
        <f t="shared" si="329"/>
        <v>0</v>
      </c>
      <c r="R566" s="24">
        <f t="shared" si="329"/>
        <v>27995000</v>
      </c>
      <c r="S566" s="27">
        <f t="shared" si="329"/>
        <v>27995000</v>
      </c>
      <c r="T566" s="27">
        <f t="shared" si="329"/>
        <v>0</v>
      </c>
      <c r="U566" s="27">
        <f t="shared" si="329"/>
        <v>0</v>
      </c>
      <c r="V566" s="27">
        <f t="shared" si="329"/>
        <v>27995000</v>
      </c>
      <c r="W566" s="27">
        <f t="shared" si="329"/>
        <v>0</v>
      </c>
      <c r="X566" s="27">
        <f t="shared" si="329"/>
        <v>0</v>
      </c>
      <c r="Y566" s="50"/>
      <c r="Z566" s="50"/>
      <c r="AJ566" s="185"/>
      <c r="AK566" s="185"/>
      <c r="AL566" s="185"/>
      <c r="AM566" s="185"/>
      <c r="AR566" s="2" t="e">
        <f>VLOOKUP(CLEAN(H566),#REF!,2,FALSE)</f>
        <v>#REF!</v>
      </c>
      <c r="AZ566" s="2" t="e">
        <f>VLOOKUP(H566,#REF!,2,FALSE)</f>
        <v>#REF!</v>
      </c>
      <c r="BF566" s="189"/>
      <c r="BO566" s="2" t="e">
        <f>VLOOKUP(H566,#REF!,13,FALSE)</f>
        <v>#REF!</v>
      </c>
      <c r="BQ566" s="2" t="e">
        <f>VLOOKUP(H566,#REF!,13,FALSE)</f>
        <v>#REF!</v>
      </c>
    </row>
    <row r="567" spans="1:70" s="2" customFormat="1" ht="15" customHeight="1" outlineLevel="2">
      <c r="A567" s="7"/>
      <c r="B567" s="7"/>
      <c r="C567" s="7"/>
      <c r="D567" s="7"/>
      <c r="E567" s="7"/>
      <c r="F567" s="7"/>
      <c r="G567" s="7"/>
      <c r="H567" s="11"/>
      <c r="I567" s="14"/>
      <c r="J567" s="14"/>
      <c r="K567" s="14"/>
      <c r="L567" s="294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47"/>
      <c r="Z567" s="47"/>
      <c r="AJ567" s="185"/>
      <c r="AK567" s="185"/>
      <c r="AL567" s="185"/>
      <c r="AM567" s="185"/>
      <c r="AR567" s="2" t="e">
        <f>VLOOKUP(CLEAN(H567),#REF!,2,FALSE)</f>
        <v>#REF!</v>
      </c>
      <c r="AZ567" s="2" t="e">
        <f>VLOOKUP(H567,#REF!,2,FALSE)</f>
        <v>#REF!</v>
      </c>
      <c r="BF567" s="189"/>
      <c r="BO567" s="2" t="e">
        <f>VLOOKUP(H567,#REF!,13,FALSE)</f>
        <v>#REF!</v>
      </c>
      <c r="BP567" s="293"/>
      <c r="BQ567" s="2" t="e">
        <f>VLOOKUP(H567,#REF!,13,FALSE)</f>
        <v>#REF!</v>
      </c>
    </row>
    <row r="568" spans="1:70" s="2" customFormat="1" ht="15" customHeight="1" outlineLevel="2">
      <c r="A568" s="7"/>
      <c r="B568" s="7"/>
      <c r="C568" s="7"/>
      <c r="D568" s="7"/>
      <c r="E568" s="7"/>
      <c r="F568" s="7"/>
      <c r="G568" s="7"/>
      <c r="H568" s="11"/>
      <c r="I568" s="14"/>
      <c r="J568" s="14"/>
      <c r="K568" s="14"/>
      <c r="L568" s="18" t="s">
        <v>698</v>
      </c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50"/>
      <c r="Z568" s="50"/>
      <c r="AJ568" s="185"/>
      <c r="AK568" s="185"/>
      <c r="AL568" s="185"/>
      <c r="AM568" s="185"/>
      <c r="AR568" s="2" t="e">
        <f>VLOOKUP(CLEAN(H568),#REF!,2,FALSE)</f>
        <v>#REF!</v>
      </c>
      <c r="AZ568" s="2" t="e">
        <f>VLOOKUP(H568,#REF!,2,FALSE)</f>
        <v>#REF!</v>
      </c>
      <c r="BF568" s="189"/>
      <c r="BO568" s="2" t="e">
        <f>VLOOKUP(H568,#REF!,13,FALSE)</f>
        <v>#REF!</v>
      </c>
      <c r="BQ568" s="2" t="e">
        <f>VLOOKUP(H568,#REF!,13,FALSE)</f>
        <v>#REF!</v>
      </c>
    </row>
    <row r="569" spans="1:70" s="2" customFormat="1" ht="15" customHeight="1" outlineLevel="2">
      <c r="A569" s="5">
        <v>31</v>
      </c>
      <c r="B569" s="5" t="s">
        <v>54</v>
      </c>
      <c r="C569" s="5" t="s">
        <v>248</v>
      </c>
      <c r="D569" s="5" t="s">
        <v>30</v>
      </c>
      <c r="E569" s="5" t="s">
        <v>35</v>
      </c>
      <c r="F569" s="5" t="s">
        <v>14</v>
      </c>
      <c r="G569" s="5" t="s">
        <v>144</v>
      </c>
      <c r="H569" s="12">
        <v>30466433</v>
      </c>
      <c r="I569" s="42" t="str">
        <f t="shared" ref="I569:I573" si="330">CONCATENATE(H569,"-",G569)</f>
        <v>30466433-EJECUCION</v>
      </c>
      <c r="J569" s="12"/>
      <c r="K569" s="307" t="str">
        <f t="shared" ref="K569:K573" si="331">CLEAN(H569)</f>
        <v>30466433</v>
      </c>
      <c r="L569" s="15" t="s">
        <v>825</v>
      </c>
      <c r="M569" s="23">
        <v>674063000</v>
      </c>
      <c r="N569" s="34">
        <v>0</v>
      </c>
      <c r="O569" s="34">
        <f>200000000-20995000</f>
        <v>179005000</v>
      </c>
      <c r="P569" s="310">
        <v>0</v>
      </c>
      <c r="Q569" s="34">
        <v>0</v>
      </c>
      <c r="R569" s="308">
        <v>1200000</v>
      </c>
      <c r="S569" s="34">
        <f t="shared" ref="S569:S573" si="332">P569+Q569+R569</f>
        <v>1200000</v>
      </c>
      <c r="T569" s="34">
        <v>0</v>
      </c>
      <c r="U569" s="34">
        <v>0</v>
      </c>
      <c r="V569" s="34">
        <f>P569+Q569+R569+T569+U569</f>
        <v>1200000</v>
      </c>
      <c r="W569" s="34">
        <f>O569-V569</f>
        <v>177805000</v>
      </c>
      <c r="X569" s="34">
        <f>M569-(N569+O569)</f>
        <v>495058000</v>
      </c>
      <c r="Y569" s="48" t="s">
        <v>649</v>
      </c>
      <c r="Z569" s="48" t="s">
        <v>8</v>
      </c>
      <c r="AA569" s="2" t="s">
        <v>845</v>
      </c>
      <c r="AB569" s="2" t="e">
        <f>VLOOKUP(H569,#REF!,2,FALSE)</f>
        <v>#REF!</v>
      </c>
      <c r="AC569" s="2" t="e">
        <f>VLOOKUP(I569,#REF!,2,FALSE)</f>
        <v>#REF!</v>
      </c>
      <c r="AD569" s="2" t="e">
        <f>VLOOKUP(H569,#REF!,13,FALSE)</f>
        <v>#REF!</v>
      </c>
      <c r="AE569" s="2" t="e">
        <f>VLOOKUP(I569,#REF!,7,FALSE)</f>
        <v>#REF!</v>
      </c>
      <c r="AG569" s="2" t="e">
        <f>VLOOKUP(H569,#REF!,13,FALSE)</f>
        <v>#REF!</v>
      </c>
      <c r="AH569" s="2" t="e">
        <f>VLOOKUP(I569,#REF!,2,FALSE)</f>
        <v>#REF!</v>
      </c>
      <c r="AJ569" s="185" t="e">
        <f>VLOOKUP(H569,#REF!,3,FALSE)</f>
        <v>#REF!</v>
      </c>
      <c r="AK569" s="185"/>
      <c r="AL569" s="185" t="e">
        <f>VLOOKUP(H569,#REF!,13,FALSE)</f>
        <v>#REF!</v>
      </c>
      <c r="AM569" s="185" t="e">
        <f>VLOOKUP(CLEAN(H569),#REF!,7,FALSE)</f>
        <v>#REF!</v>
      </c>
      <c r="AN569" s="2" t="e">
        <f>VLOOKUP(H569,#REF!,8,FALSE)</f>
        <v>#REF!</v>
      </c>
      <c r="AO569" s="189" t="e">
        <f>VLOOKUP(H569,#REF!,2,FALSE)</f>
        <v>#REF!</v>
      </c>
      <c r="AP569" s="189" t="e">
        <f>VLOOKUP(H569,#REF!,2,FALSE)</f>
        <v>#REF!</v>
      </c>
      <c r="AQ569" s="189"/>
      <c r="AR569" s="2" t="e">
        <f>VLOOKUP(CLEAN(H569),#REF!,2,FALSE)</f>
        <v>#REF!</v>
      </c>
      <c r="AT569" s="2" t="e">
        <f>VLOOKUP(H569,#REF!,13,FALSE)</f>
        <v>#REF!</v>
      </c>
      <c r="AU569" s="2" t="e">
        <f>VLOOKUP(H569,#REF!,13,FALSE)</f>
        <v>#REF!</v>
      </c>
      <c r="AV569" s="2" t="e">
        <f>VLOOKUP(H569,#REF!,13,FALSE)</f>
        <v>#REF!</v>
      </c>
      <c r="AW569" s="2" t="e">
        <f>VLOOKUP(H569,#REF!,13,FALSE)</f>
        <v>#REF!</v>
      </c>
      <c r="AX569" s="2" t="e">
        <f>VLOOKUP(H569,#REF!,9,FALSE)</f>
        <v>#REF!</v>
      </c>
      <c r="AZ569" s="189" t="e">
        <f>VLOOKUP(H569,#REF!,2,FALSE)</f>
        <v>#REF!</v>
      </c>
      <c r="BF569" s="189" t="e">
        <f>VLOOKUP(CLEAN(H569),#REF!,2,FALSE)</f>
        <v>#REF!</v>
      </c>
      <c r="BG569" s="189" t="e">
        <f>T569-BF569</f>
        <v>#REF!</v>
      </c>
      <c r="BO569" s="2" t="e">
        <f>VLOOKUP(H569,#REF!,13,FALSE)</f>
        <v>#REF!</v>
      </c>
      <c r="BP569" s="2" t="e">
        <f>VLOOKUP(H569,#REF!,2,FALSE)</f>
        <v>#REF!</v>
      </c>
      <c r="BQ569" s="2" t="e">
        <f>VLOOKUP(H569,#REF!,13,FALSE)</f>
        <v>#REF!</v>
      </c>
      <c r="BR569" s="2" t="e">
        <f>VLOOKUP(H569,#REF!,3,FALSE)</f>
        <v>#REF!</v>
      </c>
    </row>
    <row r="570" spans="1:70" s="2" customFormat="1" ht="15" customHeight="1" outlineLevel="2">
      <c r="A570" s="5">
        <v>22</v>
      </c>
      <c r="B570" s="5" t="s">
        <v>54</v>
      </c>
      <c r="C570" s="5" t="s">
        <v>311</v>
      </c>
      <c r="D570" s="5" t="s">
        <v>30</v>
      </c>
      <c r="E570" s="5" t="s">
        <v>35</v>
      </c>
      <c r="F570" s="5" t="s">
        <v>457</v>
      </c>
      <c r="G570" s="5" t="s">
        <v>144</v>
      </c>
      <c r="H570" s="12">
        <v>30126522</v>
      </c>
      <c r="I570" s="42" t="str">
        <f t="shared" si="330"/>
        <v>30126522-EJECUCION</v>
      </c>
      <c r="J570" s="12"/>
      <c r="K570" s="307" t="str">
        <f t="shared" si="331"/>
        <v>30126522</v>
      </c>
      <c r="L570" s="15" t="s">
        <v>660</v>
      </c>
      <c r="M570" s="23">
        <v>120000000</v>
      </c>
      <c r="N570" s="34">
        <v>0</v>
      </c>
      <c r="O570" s="34">
        <v>40000000</v>
      </c>
      <c r="P570" s="310">
        <v>0</v>
      </c>
      <c r="Q570" s="34">
        <v>0</v>
      </c>
      <c r="R570" s="308">
        <v>0</v>
      </c>
      <c r="S570" s="34">
        <f t="shared" si="332"/>
        <v>0</v>
      </c>
      <c r="T570" s="34">
        <v>0</v>
      </c>
      <c r="U570" s="34">
        <v>0</v>
      </c>
      <c r="V570" s="34">
        <f>P570+Q570+R570+T570+U570</f>
        <v>0</v>
      </c>
      <c r="W570" s="34">
        <f>O570-V570</f>
        <v>40000000</v>
      </c>
      <c r="X570" s="34">
        <f>M570-(N570+O570)</f>
        <v>80000000</v>
      </c>
      <c r="Y570" s="48" t="s">
        <v>649</v>
      </c>
      <c r="Z570" s="48" t="s">
        <v>8</v>
      </c>
      <c r="AA570" s="2" t="s">
        <v>845</v>
      </c>
      <c r="AB570" s="2" t="e">
        <f>VLOOKUP(H570,#REF!,2,FALSE)</f>
        <v>#REF!</v>
      </c>
      <c r="AC570" s="2" t="e">
        <f>VLOOKUP(I570,#REF!,2,FALSE)</f>
        <v>#REF!</v>
      </c>
      <c r="AD570" s="2" t="e">
        <f>VLOOKUP(H570,#REF!,13,FALSE)</f>
        <v>#REF!</v>
      </c>
      <c r="AE570" s="2" t="e">
        <f>VLOOKUP(I570,#REF!,7,FALSE)</f>
        <v>#REF!</v>
      </c>
      <c r="AG570" s="2" t="e">
        <f>VLOOKUP(H570,#REF!,13,FALSE)</f>
        <v>#REF!</v>
      </c>
      <c r="AH570" s="2" t="e">
        <f>VLOOKUP(I570,#REF!,2,FALSE)</f>
        <v>#REF!</v>
      </c>
      <c r="AJ570" s="185" t="e">
        <f>VLOOKUP(H570,#REF!,3,FALSE)</f>
        <v>#REF!</v>
      </c>
      <c r="AK570" s="185"/>
      <c r="AL570" s="185"/>
      <c r="AM570" s="185" t="e">
        <f>VLOOKUP(CLEAN(H570),#REF!,7,FALSE)</f>
        <v>#REF!</v>
      </c>
      <c r="AN570" s="2" t="e">
        <f>VLOOKUP(H570,#REF!,8,FALSE)</f>
        <v>#REF!</v>
      </c>
      <c r="AO570" s="189" t="e">
        <f>VLOOKUP(H570,#REF!,2,FALSE)</f>
        <v>#REF!</v>
      </c>
      <c r="AP570" s="189" t="e">
        <f>VLOOKUP(H570,#REF!,2,FALSE)</f>
        <v>#REF!</v>
      </c>
      <c r="AQ570" s="189"/>
      <c r="AR570" s="2" t="e">
        <f>VLOOKUP(CLEAN(H570),#REF!,2,FALSE)</f>
        <v>#REF!</v>
      </c>
      <c r="AT570" s="2" t="e">
        <f>VLOOKUP(H570,#REF!,13,FALSE)</f>
        <v>#REF!</v>
      </c>
      <c r="AU570" s="2" t="e">
        <f>VLOOKUP(H570,#REF!,13,FALSE)</f>
        <v>#REF!</v>
      </c>
      <c r="AV570" s="2" t="e">
        <f>VLOOKUP(H570,#REF!,13,FALSE)</f>
        <v>#REF!</v>
      </c>
      <c r="AW570" s="2" t="e">
        <f>VLOOKUP(H570,#REF!,13,FALSE)</f>
        <v>#REF!</v>
      </c>
      <c r="AX570" s="2" t="e">
        <f>VLOOKUP(H570,#REF!,9,FALSE)</f>
        <v>#REF!</v>
      </c>
      <c r="AZ570" s="189" t="e">
        <f>VLOOKUP(H570,#REF!,2,FALSE)</f>
        <v>#REF!</v>
      </c>
      <c r="BF570" s="189" t="e">
        <f>VLOOKUP(CLEAN(H570),#REF!,2,FALSE)</f>
        <v>#REF!</v>
      </c>
      <c r="BG570" s="189" t="e">
        <f>T570-BF570</f>
        <v>#REF!</v>
      </c>
      <c r="BO570" s="2" t="e">
        <f>VLOOKUP(H570,#REF!,13,FALSE)</f>
        <v>#REF!</v>
      </c>
      <c r="BP570" s="2" t="e">
        <f>VLOOKUP(H570,#REF!,2,FALSE)</f>
        <v>#REF!</v>
      </c>
      <c r="BQ570" s="2" t="e">
        <f>VLOOKUP(H570,#REF!,13,FALSE)</f>
        <v>#REF!</v>
      </c>
      <c r="BR570" s="2" t="e">
        <f>VLOOKUP(H570,#REF!,3,FALSE)</f>
        <v>#REF!</v>
      </c>
    </row>
    <row r="571" spans="1:70" s="2" customFormat="1" ht="15" customHeight="1" outlineLevel="2">
      <c r="A571" s="5">
        <v>31</v>
      </c>
      <c r="B571" s="5" t="s">
        <v>5</v>
      </c>
      <c r="C571" s="5" t="s">
        <v>248</v>
      </c>
      <c r="D571" s="5" t="s">
        <v>30</v>
      </c>
      <c r="E571" s="5" t="s">
        <v>35</v>
      </c>
      <c r="F571" s="5" t="s">
        <v>15</v>
      </c>
      <c r="G571" s="5" t="s">
        <v>144</v>
      </c>
      <c r="H571" s="12">
        <v>30310674</v>
      </c>
      <c r="I571" s="42" t="str">
        <f>CONCATENATE(H571,"-",G571)</f>
        <v>30310674-EJECUCION</v>
      </c>
      <c r="J571" s="12"/>
      <c r="K571" s="307" t="str">
        <f>CLEAN(H571)</f>
        <v>30310674</v>
      </c>
      <c r="L571" s="15" t="s">
        <v>63</v>
      </c>
      <c r="M571" s="23">
        <v>746086051</v>
      </c>
      <c r="N571" s="34">
        <v>610427601</v>
      </c>
      <c r="O571" s="34">
        <v>120352270</v>
      </c>
      <c r="P571" s="310">
        <v>0</v>
      </c>
      <c r="Q571" s="34">
        <v>0</v>
      </c>
      <c r="R571" s="308">
        <v>12483444</v>
      </c>
      <c r="S571" s="34">
        <f t="shared" si="332"/>
        <v>12483444</v>
      </c>
      <c r="T571" s="34">
        <v>0</v>
      </c>
      <c r="U571" s="34">
        <v>0</v>
      </c>
      <c r="V571" s="34">
        <f>P571+Q571+R571+T571+U571</f>
        <v>12483444</v>
      </c>
      <c r="W571" s="34">
        <f>O571-V571</f>
        <v>107868826</v>
      </c>
      <c r="X571" s="34">
        <f>M571-(N571+O571)</f>
        <v>15306180</v>
      </c>
      <c r="Y571" s="48" t="s">
        <v>239</v>
      </c>
      <c r="Z571" s="48" t="s">
        <v>8</v>
      </c>
      <c r="AA571" s="2" t="s">
        <v>845</v>
      </c>
      <c r="AB571" s="2" t="e">
        <f>VLOOKUP(H571,#REF!,2,FALSE)</f>
        <v>#REF!</v>
      </c>
      <c r="AC571" s="2" t="e">
        <f>VLOOKUP(I571,#REF!,2,FALSE)</f>
        <v>#REF!</v>
      </c>
      <c r="AD571" s="2" t="e">
        <f>VLOOKUP(H571,#REF!,13,FALSE)</f>
        <v>#REF!</v>
      </c>
      <c r="AE571" s="2" t="e">
        <f>VLOOKUP(I571,#REF!,7,FALSE)</f>
        <v>#REF!</v>
      </c>
      <c r="AG571" s="2" t="e">
        <f>VLOOKUP(H571,#REF!,13,FALSE)</f>
        <v>#REF!</v>
      </c>
      <c r="AH571" s="2" t="e">
        <f>VLOOKUP(I571,#REF!,2,FALSE)</f>
        <v>#REF!</v>
      </c>
      <c r="AJ571" s="185" t="e">
        <f>VLOOKUP(H571,#REF!,3,FALSE)</f>
        <v>#REF!</v>
      </c>
      <c r="AK571" s="185"/>
      <c r="AL571" s="185" t="e">
        <f>VLOOKUP(H571,#REF!,13,FALSE)</f>
        <v>#REF!</v>
      </c>
      <c r="AM571" s="185" t="e">
        <f>VLOOKUP(CLEAN(H571),#REF!,7,FALSE)</f>
        <v>#REF!</v>
      </c>
      <c r="AN571" s="2" t="e">
        <f>VLOOKUP(H571,#REF!,8,FALSE)</f>
        <v>#REF!</v>
      </c>
      <c r="AO571" s="189" t="e">
        <f>VLOOKUP(H571,#REF!,2,FALSE)</f>
        <v>#REF!</v>
      </c>
      <c r="AP571" s="189" t="e">
        <f>VLOOKUP(H571,#REF!,2,FALSE)</f>
        <v>#REF!</v>
      </c>
      <c r="AQ571" s="189"/>
      <c r="AR571" s="2" t="e">
        <f>VLOOKUP(CLEAN(H571),#REF!,2,FALSE)</f>
        <v>#REF!</v>
      </c>
      <c r="AT571" s="2" t="e">
        <f>VLOOKUP(H571,#REF!,13,FALSE)</f>
        <v>#REF!</v>
      </c>
      <c r="AU571" s="2" t="e">
        <f>VLOOKUP(H571,#REF!,13,FALSE)</f>
        <v>#REF!</v>
      </c>
      <c r="AV571" s="2" t="e">
        <f>VLOOKUP(H571,#REF!,13,FALSE)</f>
        <v>#REF!</v>
      </c>
      <c r="AW571" s="2" t="e">
        <f>VLOOKUP(H571,#REF!,13,FALSE)</f>
        <v>#REF!</v>
      </c>
      <c r="AX571" s="2" t="e">
        <f>VLOOKUP(H571,#REF!,9,FALSE)</f>
        <v>#REF!</v>
      </c>
      <c r="AZ571" s="189" t="e">
        <f>VLOOKUP(H571,#REF!,2,FALSE)</f>
        <v>#REF!</v>
      </c>
      <c r="BF571" s="189" t="e">
        <f>VLOOKUP(CLEAN(H571),#REF!,2,FALSE)</f>
        <v>#REF!</v>
      </c>
      <c r="BG571" s="189" t="e">
        <f>T571-BF571</f>
        <v>#REF!</v>
      </c>
      <c r="BO571" s="2" t="e">
        <f>VLOOKUP(H571,#REF!,13,FALSE)</f>
        <v>#REF!</v>
      </c>
      <c r="BP571" s="2" t="e">
        <f>VLOOKUP(H571,#REF!,2,FALSE)</f>
        <v>#REF!</v>
      </c>
      <c r="BQ571" s="2" t="e">
        <f>VLOOKUP(H571,#REF!,13,FALSE)</f>
        <v>#REF!</v>
      </c>
      <c r="BR571" s="2" t="e">
        <f>VLOOKUP(H571,#REF!,3,FALSE)</f>
        <v>#REF!</v>
      </c>
    </row>
    <row r="572" spans="1:70" s="2" customFormat="1" ht="15" customHeight="1" outlineLevel="2">
      <c r="A572" s="5">
        <v>29</v>
      </c>
      <c r="B572" s="5" t="s">
        <v>11</v>
      </c>
      <c r="C572" s="5" t="s">
        <v>251</v>
      </c>
      <c r="D572" s="5" t="s">
        <v>30</v>
      </c>
      <c r="E572" s="5" t="s">
        <v>35</v>
      </c>
      <c r="F572" s="5" t="s">
        <v>457</v>
      </c>
      <c r="G572" s="5" t="s">
        <v>144</v>
      </c>
      <c r="H572" s="12">
        <v>40000008</v>
      </c>
      <c r="I572" s="311" t="str">
        <f>CONCATENATE(H572,"-",G572)</f>
        <v>40000008-EJECUCION</v>
      </c>
      <c r="J572" s="190"/>
      <c r="K572" s="309" t="str">
        <f>CLEAN(H572)</f>
        <v>40000008</v>
      </c>
      <c r="L572" s="15" t="s">
        <v>816</v>
      </c>
      <c r="M572" s="23">
        <v>107107000</v>
      </c>
      <c r="N572" s="34">
        <v>0</v>
      </c>
      <c r="O572" s="34">
        <v>107107000</v>
      </c>
      <c r="P572" s="310">
        <v>0</v>
      </c>
      <c r="Q572" s="34">
        <v>0</v>
      </c>
      <c r="R572" s="308">
        <v>0</v>
      </c>
      <c r="S572" s="34">
        <f t="shared" si="332"/>
        <v>0</v>
      </c>
      <c r="T572" s="34">
        <v>0</v>
      </c>
      <c r="U572" s="34">
        <v>0</v>
      </c>
      <c r="V572" s="34">
        <f>P572+Q572+R572+T572+U572</f>
        <v>0</v>
      </c>
      <c r="W572" s="34">
        <f>O572-V572</f>
        <v>107107000</v>
      </c>
      <c r="X572" s="34">
        <f>M572-(N572+O572)</f>
        <v>0</v>
      </c>
      <c r="Y572" s="48" t="s">
        <v>460</v>
      </c>
      <c r="Z572" s="48" t="s">
        <v>10</v>
      </c>
      <c r="AA572" s="2" t="e">
        <v>#N/A</v>
      </c>
      <c r="AB572" s="2" t="e">
        <f>VLOOKUP(H572,#REF!,2,FALSE)</f>
        <v>#REF!</v>
      </c>
      <c r="AJ572" s="185"/>
      <c r="AK572" s="185"/>
      <c r="AL572" s="185"/>
      <c r="AM572" s="185"/>
      <c r="AN572" s="2" t="e">
        <f>VLOOKUP(H572,#REF!,8,FALSE)</f>
        <v>#REF!</v>
      </c>
      <c r="AO572" s="189" t="e">
        <f>VLOOKUP(H572,#REF!,2,FALSE)</f>
        <v>#REF!</v>
      </c>
      <c r="AP572" s="189" t="e">
        <f>VLOOKUP(H572,#REF!,2,FALSE)</f>
        <v>#REF!</v>
      </c>
      <c r="AQ572" s="189"/>
      <c r="AR572" s="2" t="e">
        <f>VLOOKUP(CLEAN(H572),#REF!,2,FALSE)</f>
        <v>#REF!</v>
      </c>
      <c r="AT572" s="2" t="e">
        <f>VLOOKUP(H572,#REF!,13,FALSE)</f>
        <v>#REF!</v>
      </c>
      <c r="AU572" s="2" t="e">
        <f>VLOOKUP(H572,#REF!,13,FALSE)</f>
        <v>#REF!</v>
      </c>
      <c r="AV572" s="2" t="e">
        <f>VLOOKUP(H572,#REF!,13,FALSE)</f>
        <v>#REF!</v>
      </c>
      <c r="AW572" s="2" t="e">
        <f>VLOOKUP(H572,#REF!,13,FALSE)</f>
        <v>#REF!</v>
      </c>
      <c r="AX572" s="2" t="e">
        <f>VLOOKUP(H572,#REF!,9,FALSE)</f>
        <v>#REF!</v>
      </c>
      <c r="AZ572" s="189" t="e">
        <f>VLOOKUP(H572,#REF!,2,FALSE)</f>
        <v>#REF!</v>
      </c>
      <c r="BF572" s="189" t="e">
        <f>VLOOKUP(CLEAN(H572),#REF!,2,FALSE)</f>
        <v>#REF!</v>
      </c>
      <c r="BG572" s="189" t="e">
        <f>T572-BF572</f>
        <v>#REF!</v>
      </c>
      <c r="BO572" s="2" t="e">
        <f>VLOOKUP(H572,#REF!,13,FALSE)</f>
        <v>#REF!</v>
      </c>
      <c r="BP572" s="2" t="e">
        <f>VLOOKUP(H572,#REF!,2,FALSE)</f>
        <v>#REF!</v>
      </c>
      <c r="BQ572" s="2" t="e">
        <f>VLOOKUP(H572,#REF!,13,FALSE)</f>
        <v>#REF!</v>
      </c>
      <c r="BR572" s="2" t="e">
        <f>VLOOKUP(H572,#REF!,3,FALSE)</f>
        <v>#REF!</v>
      </c>
    </row>
    <row r="573" spans="1:70" s="2" customFormat="1" ht="15" customHeight="1" outlineLevel="2">
      <c r="A573" s="5">
        <v>31</v>
      </c>
      <c r="B573" s="5" t="s">
        <v>54</v>
      </c>
      <c r="C573" s="5" t="s">
        <v>238</v>
      </c>
      <c r="D573" s="5" t="s">
        <v>30</v>
      </c>
      <c r="E573" s="5" t="s">
        <v>35</v>
      </c>
      <c r="F573" s="5" t="s">
        <v>457</v>
      </c>
      <c r="G573" s="5" t="s">
        <v>9</v>
      </c>
      <c r="H573" s="12">
        <v>20157700</v>
      </c>
      <c r="I573" s="42" t="str">
        <f t="shared" si="330"/>
        <v>20157700-DISEÑO</v>
      </c>
      <c r="J573" s="12"/>
      <c r="K573" s="307" t="str">
        <f t="shared" si="331"/>
        <v>20157700</v>
      </c>
      <c r="L573" s="15" t="s">
        <v>281</v>
      </c>
      <c r="M573" s="23">
        <v>63638000</v>
      </c>
      <c r="N573" s="34">
        <v>0</v>
      </c>
      <c r="O573" s="34">
        <v>19000000</v>
      </c>
      <c r="P573" s="310">
        <v>0</v>
      </c>
      <c r="Q573" s="34">
        <v>0</v>
      </c>
      <c r="R573" s="308">
        <v>0</v>
      </c>
      <c r="S573" s="34">
        <f t="shared" si="332"/>
        <v>0</v>
      </c>
      <c r="T573" s="34">
        <v>2761000</v>
      </c>
      <c r="U573" s="34">
        <v>0</v>
      </c>
      <c r="V573" s="34">
        <f>P573+Q573+R573+T573+U573</f>
        <v>2761000</v>
      </c>
      <c r="W573" s="34">
        <f>O573-V573</f>
        <v>16239000</v>
      </c>
      <c r="X573" s="34">
        <f>M573-(N573+O573)</f>
        <v>44638000</v>
      </c>
      <c r="Y573" s="48" t="s">
        <v>85</v>
      </c>
      <c r="Z573" s="48" t="s">
        <v>8</v>
      </c>
      <c r="AA573" s="2" t="s">
        <v>844</v>
      </c>
      <c r="AB573" s="2" t="e">
        <f>VLOOKUP(H573,#REF!,2,FALSE)</f>
        <v>#REF!</v>
      </c>
      <c r="AC573" s="2" t="e">
        <f>VLOOKUP(I573,#REF!,2,FALSE)</f>
        <v>#REF!</v>
      </c>
      <c r="AD573" s="2" t="e">
        <f>VLOOKUP(H573,#REF!,13,FALSE)</f>
        <v>#REF!</v>
      </c>
      <c r="AE573" s="2" t="e">
        <f>VLOOKUP(I573,#REF!,7,FALSE)</f>
        <v>#REF!</v>
      </c>
      <c r="AG573" s="2" t="e">
        <f>VLOOKUP(H573,#REF!,13,FALSE)</f>
        <v>#REF!</v>
      </c>
      <c r="AH573" s="2" t="e">
        <f>VLOOKUP(I573,#REF!,2,FALSE)</f>
        <v>#REF!</v>
      </c>
      <c r="AJ573" s="185" t="e">
        <f>VLOOKUP(H573,#REF!,3,FALSE)</f>
        <v>#REF!</v>
      </c>
      <c r="AK573" s="185"/>
      <c r="AL573" s="185" t="e">
        <f>VLOOKUP(H573,#REF!,13,FALSE)</f>
        <v>#REF!</v>
      </c>
      <c r="AM573" s="185" t="e">
        <f>VLOOKUP(CLEAN(H573),#REF!,7,FALSE)</f>
        <v>#REF!</v>
      </c>
      <c r="AN573" s="2" t="e">
        <f>VLOOKUP(H573,#REF!,8,FALSE)</f>
        <v>#REF!</v>
      </c>
      <c r="AO573" s="189" t="e">
        <f>VLOOKUP(H573,#REF!,2,FALSE)</f>
        <v>#REF!</v>
      </c>
      <c r="AP573" s="189" t="e">
        <f>VLOOKUP(H573,#REF!,2,FALSE)</f>
        <v>#REF!</v>
      </c>
      <c r="AQ573" s="189" t="e">
        <f>AO573-AP573</f>
        <v>#REF!</v>
      </c>
      <c r="AR573" s="189" t="e">
        <f>VLOOKUP(CLEAN(H573),#REF!,2,FALSE)</f>
        <v>#REF!</v>
      </c>
      <c r="AS573" s="189" t="e">
        <f>T573-AR573</f>
        <v>#REF!</v>
      </c>
      <c r="AT573" s="2" t="e">
        <f>VLOOKUP(H573,#REF!,13,FALSE)</f>
        <v>#REF!</v>
      </c>
      <c r="AU573" s="2" t="e">
        <f>VLOOKUP(H573,#REF!,13,FALSE)</f>
        <v>#REF!</v>
      </c>
      <c r="AV573" s="2" t="e">
        <f>VLOOKUP(H573,#REF!,13,FALSE)</f>
        <v>#REF!</v>
      </c>
      <c r="AW573" s="2" t="e">
        <f>VLOOKUP(H573,#REF!,13,FALSE)</f>
        <v>#REF!</v>
      </c>
      <c r="AX573" s="2" t="e">
        <f>VLOOKUP(H573,#REF!,9,FALSE)</f>
        <v>#REF!</v>
      </c>
      <c r="AZ573" s="189" t="e">
        <f>VLOOKUP(H573,#REF!,2,FALSE)</f>
        <v>#REF!</v>
      </c>
      <c r="BF573" s="189" t="e">
        <f>VLOOKUP(CLEAN(H573),#REF!,2,FALSE)</f>
        <v>#REF!</v>
      </c>
      <c r="BG573" s="189" t="e">
        <f>T573-BF573</f>
        <v>#REF!</v>
      </c>
      <c r="BO573" s="2" t="e">
        <f>VLOOKUP(H573,#REF!,13,FALSE)</f>
        <v>#REF!</v>
      </c>
      <c r="BP573" s="2" t="e">
        <f>VLOOKUP(H573,#REF!,2,FALSE)</f>
        <v>#REF!</v>
      </c>
      <c r="BQ573" s="2" t="e">
        <f>VLOOKUP(H573,#REF!,13,FALSE)</f>
        <v>#REF!</v>
      </c>
      <c r="BR573" s="2" t="e">
        <f>VLOOKUP(H573,#REF!,3,FALSE)</f>
        <v>#REF!</v>
      </c>
    </row>
    <row r="574" spans="1:70" s="2" customFormat="1" ht="15" customHeight="1" outlineLevel="2">
      <c r="A574" s="7"/>
      <c r="B574" s="7"/>
      <c r="C574" s="7"/>
      <c r="D574" s="7"/>
      <c r="E574" s="7"/>
      <c r="F574" s="7"/>
      <c r="G574" s="7"/>
      <c r="H574" s="11"/>
      <c r="I574" s="14"/>
      <c r="J574" s="14"/>
      <c r="K574" s="14"/>
      <c r="L574" s="17" t="s">
        <v>692</v>
      </c>
      <c r="M574" s="312">
        <f>SUBTOTAL(9,M569:M573)</f>
        <v>1710894051</v>
      </c>
      <c r="N574" s="312">
        <f t="shared" ref="N574:O574" si="333">SUBTOTAL(9,N569:N573)</f>
        <v>610427601</v>
      </c>
      <c r="O574" s="312">
        <f t="shared" si="333"/>
        <v>465464270</v>
      </c>
      <c r="P574" s="183">
        <f t="shared" ref="P574:X574" si="334">SUBTOTAL(9,P569:P573)</f>
        <v>0</v>
      </c>
      <c r="Q574" s="183">
        <f t="shared" si="334"/>
        <v>0</v>
      </c>
      <c r="R574" s="183">
        <f t="shared" si="334"/>
        <v>13683444</v>
      </c>
      <c r="S574" s="312">
        <f t="shared" si="334"/>
        <v>13683444</v>
      </c>
      <c r="T574" s="312">
        <f t="shared" si="334"/>
        <v>2761000</v>
      </c>
      <c r="U574" s="312">
        <f t="shared" si="334"/>
        <v>0</v>
      </c>
      <c r="V574" s="312">
        <f t="shared" si="334"/>
        <v>16444444</v>
      </c>
      <c r="W574" s="312">
        <f t="shared" si="334"/>
        <v>449019826</v>
      </c>
      <c r="X574" s="312">
        <f t="shared" si="334"/>
        <v>635002180</v>
      </c>
      <c r="Y574" s="50"/>
      <c r="Z574" s="50"/>
      <c r="AJ574" s="185"/>
      <c r="AK574" s="185"/>
      <c r="AL574" s="185"/>
      <c r="AM574" s="185"/>
      <c r="AR574" s="2" t="e">
        <f>VLOOKUP(CLEAN(H574),#REF!,2,FALSE)</f>
        <v>#REF!</v>
      </c>
      <c r="AZ574" s="2" t="e">
        <f>VLOOKUP(H574,#REF!,2,FALSE)</f>
        <v>#REF!</v>
      </c>
      <c r="BF574" s="189"/>
      <c r="BO574" s="2" t="e">
        <f>VLOOKUP(H574,#REF!,13,FALSE)</f>
        <v>#REF!</v>
      </c>
      <c r="BQ574" s="2" t="e">
        <f>VLOOKUP(H574,#REF!,13,FALSE)</f>
        <v>#REF!</v>
      </c>
    </row>
    <row r="575" spans="1:70" ht="15" customHeight="1" outlineLevel="2">
      <c r="A575" s="7"/>
      <c r="B575" s="7"/>
      <c r="C575" s="7"/>
      <c r="D575" s="7"/>
      <c r="E575" s="7"/>
      <c r="F575" s="7"/>
      <c r="G575" s="7"/>
      <c r="H575" s="11"/>
      <c r="I575" s="11"/>
      <c r="J575" s="11"/>
      <c r="K575" s="11"/>
      <c r="L575" s="292"/>
      <c r="M575" s="22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47"/>
      <c r="Z575" s="47"/>
      <c r="AM575" s="185" t="e">
        <f>VLOOKUP(CLEAN(H575),#REF!,7,FALSE)</f>
        <v>#REF!</v>
      </c>
      <c r="AO575"/>
      <c r="AP575"/>
      <c r="AQ575"/>
      <c r="AR575" s="2" t="e">
        <f>VLOOKUP(CLEAN(H575),#REF!,2,FALSE)</f>
        <v>#REF!</v>
      </c>
      <c r="AZ575" s="2" t="e">
        <f>VLOOKUP(H575,#REF!,2,FALSE)</f>
        <v>#REF!</v>
      </c>
      <c r="BO575" s="2" t="e">
        <f>VLOOKUP(H575,#REF!,13,FALSE)</f>
        <v>#REF!</v>
      </c>
      <c r="BP575" s="293"/>
      <c r="BQ575" s="2" t="e">
        <f>VLOOKUP(H575,#REF!,13,FALSE)</f>
        <v>#REF!</v>
      </c>
    </row>
    <row r="576" spans="1:70" ht="15" customHeight="1" outlineLevel="2">
      <c r="A576" s="7"/>
      <c r="B576" s="7"/>
      <c r="C576" s="7"/>
      <c r="D576" s="7"/>
      <c r="E576" s="7"/>
      <c r="F576" s="7"/>
      <c r="G576" s="7"/>
      <c r="H576" s="11"/>
      <c r="I576" s="11"/>
      <c r="J576" s="11"/>
      <c r="K576" s="11"/>
      <c r="L576" s="18" t="s">
        <v>701</v>
      </c>
      <c r="M576" s="22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47"/>
      <c r="Z576" s="47"/>
      <c r="AM576" s="185" t="e">
        <f>VLOOKUP(CLEAN(H576),#REF!,7,FALSE)</f>
        <v>#REF!</v>
      </c>
      <c r="AO576"/>
      <c r="AP576"/>
      <c r="AQ576"/>
      <c r="AR576" s="2" t="e">
        <f>VLOOKUP(CLEAN(H576),#REF!,2,FALSE)</f>
        <v>#REF!</v>
      </c>
      <c r="AZ576" s="2" t="e">
        <f>VLOOKUP(H576,#REF!,2,FALSE)</f>
        <v>#REF!</v>
      </c>
      <c r="BO576" s="2" t="e">
        <f>VLOOKUP(H576,#REF!,13,FALSE)</f>
        <v>#REF!</v>
      </c>
      <c r="BQ576" s="2" t="e">
        <f>VLOOKUP(H576,#REF!,13,FALSE)</f>
        <v>#REF!</v>
      </c>
    </row>
    <row r="577" spans="1:70" s="2" customFormat="1" ht="15" customHeight="1" outlineLevel="2">
      <c r="A577" s="5">
        <v>29</v>
      </c>
      <c r="B577" s="5" t="s">
        <v>11</v>
      </c>
      <c r="C577" s="5" t="s">
        <v>241</v>
      </c>
      <c r="D577" s="5" t="s">
        <v>30</v>
      </c>
      <c r="E577" s="5" t="s">
        <v>35</v>
      </c>
      <c r="F577" s="5" t="s">
        <v>457</v>
      </c>
      <c r="G577" s="5" t="s">
        <v>144</v>
      </c>
      <c r="H577" s="12">
        <v>40000775</v>
      </c>
      <c r="I577" s="311" t="str">
        <f t="shared" ref="I577:I578" si="335">CONCATENATE(H577,"-",G577)</f>
        <v>40000775-EJECUCION</v>
      </c>
      <c r="J577" s="190"/>
      <c r="K577" s="309" t="str">
        <f t="shared" ref="K577:K578" si="336">CLEAN(H577)</f>
        <v>40000775</v>
      </c>
      <c r="L577" s="15" t="s">
        <v>821</v>
      </c>
      <c r="M577" s="23">
        <v>604102000</v>
      </c>
      <c r="N577" s="34">
        <v>0</v>
      </c>
      <c r="O577" s="34">
        <v>604102000</v>
      </c>
      <c r="P577" s="310">
        <v>0</v>
      </c>
      <c r="Q577" s="34">
        <v>0</v>
      </c>
      <c r="R577" s="308">
        <v>0</v>
      </c>
      <c r="S577" s="34">
        <f t="shared" ref="S577:S578" si="337">P577+Q577+R577</f>
        <v>0</v>
      </c>
      <c r="T577" s="34">
        <v>0</v>
      </c>
      <c r="U577" s="34">
        <v>0</v>
      </c>
      <c r="V577" s="34">
        <f>P577+Q577+R577+T577+U577</f>
        <v>0</v>
      </c>
      <c r="W577" s="34">
        <f>O577-V577</f>
        <v>604102000</v>
      </c>
      <c r="X577" s="34">
        <f>M577-(N577+O577)</f>
        <v>0</v>
      </c>
      <c r="Y577" s="48" t="s">
        <v>460</v>
      </c>
      <c r="Z577" s="48" t="s">
        <v>10</v>
      </c>
      <c r="AA577" s="2" t="e">
        <v>#N/A</v>
      </c>
      <c r="AB577" s="2" t="e">
        <f>VLOOKUP(H577,#REF!,2,FALSE)</f>
        <v>#REF!</v>
      </c>
      <c r="AJ577" s="185"/>
      <c r="AK577" s="185"/>
      <c r="AL577" s="185"/>
      <c r="AM577" s="185"/>
      <c r="AN577" s="2" t="e">
        <f>VLOOKUP(H577,#REF!,8,FALSE)</f>
        <v>#REF!</v>
      </c>
      <c r="AO577" s="189" t="e">
        <f>VLOOKUP(H577,#REF!,2,FALSE)</f>
        <v>#REF!</v>
      </c>
      <c r="AP577" s="189" t="e">
        <f>VLOOKUP(H577,#REF!,2,FALSE)</f>
        <v>#REF!</v>
      </c>
      <c r="AQ577" s="189"/>
      <c r="AR577" s="2" t="e">
        <f>VLOOKUP(CLEAN(H577),#REF!,2,FALSE)</f>
        <v>#REF!</v>
      </c>
      <c r="AT577" s="2" t="e">
        <f>VLOOKUP(H577,#REF!,13,FALSE)</f>
        <v>#REF!</v>
      </c>
      <c r="AU577" s="2" t="e">
        <f>VLOOKUP(H577,#REF!,13,FALSE)</f>
        <v>#REF!</v>
      </c>
      <c r="AV577" s="2" t="e">
        <f>VLOOKUP(H577,#REF!,13,FALSE)</f>
        <v>#REF!</v>
      </c>
      <c r="AW577" s="2" t="e">
        <f>VLOOKUP(H577,#REF!,13,FALSE)</f>
        <v>#REF!</v>
      </c>
      <c r="AX577" s="2" t="e">
        <f>VLOOKUP(H577,#REF!,9,FALSE)</f>
        <v>#REF!</v>
      </c>
      <c r="AZ577" s="2" t="e">
        <f>VLOOKUP(H577,#REF!,2,FALSE)</f>
        <v>#REF!</v>
      </c>
      <c r="BF577" s="189" t="e">
        <f>VLOOKUP(CLEAN(H577),#REF!,2,FALSE)</f>
        <v>#REF!</v>
      </c>
      <c r="BG577" s="189" t="e">
        <f>T577-BF577</f>
        <v>#REF!</v>
      </c>
      <c r="BO577" s="2" t="e">
        <f>VLOOKUP(H577,#REF!,13,FALSE)</f>
        <v>#REF!</v>
      </c>
      <c r="BP577" s="2" t="e">
        <f>VLOOKUP(H577,#REF!,2,FALSE)</f>
        <v>#REF!</v>
      </c>
      <c r="BQ577" s="2" t="e">
        <f>VLOOKUP(H577,#REF!,13,FALSE)</f>
        <v>#REF!</v>
      </c>
      <c r="BR577" s="2" t="e">
        <f>VLOOKUP(H577,#REF!,3,FALSE)</f>
        <v>#REF!</v>
      </c>
    </row>
    <row r="578" spans="1:70" s="2" customFormat="1" ht="15" customHeight="1" outlineLevel="2">
      <c r="A578" s="5">
        <v>31</v>
      </c>
      <c r="B578" s="5" t="s">
        <v>11</v>
      </c>
      <c r="C578" s="5" t="s">
        <v>248</v>
      </c>
      <c r="D578" s="5" t="s">
        <v>30</v>
      </c>
      <c r="E578" s="5" t="s">
        <v>35</v>
      </c>
      <c r="F578" s="5" t="s">
        <v>14</v>
      </c>
      <c r="G578" s="5" t="s">
        <v>144</v>
      </c>
      <c r="H578" s="12">
        <v>30466394</v>
      </c>
      <c r="I578" s="42" t="str">
        <f t="shared" si="335"/>
        <v>30466394-EJECUCION</v>
      </c>
      <c r="J578" s="190"/>
      <c r="K578" s="307" t="str">
        <f t="shared" si="336"/>
        <v>30466394</v>
      </c>
      <c r="L578" s="15" t="s">
        <v>826</v>
      </c>
      <c r="M578" s="23">
        <v>483702000</v>
      </c>
      <c r="N578" s="34">
        <v>0</v>
      </c>
      <c r="O578" s="34">
        <v>100000000</v>
      </c>
      <c r="P578" s="310">
        <v>0</v>
      </c>
      <c r="Q578" s="34">
        <v>0</v>
      </c>
      <c r="R578" s="308">
        <v>0</v>
      </c>
      <c r="S578" s="34">
        <f t="shared" si="337"/>
        <v>0</v>
      </c>
      <c r="T578" s="34">
        <v>0</v>
      </c>
      <c r="U578" s="34">
        <v>0</v>
      </c>
      <c r="V578" s="34">
        <f>P578+Q578+R578+T578+U578</f>
        <v>0</v>
      </c>
      <c r="W578" s="34">
        <f>O578-V578</f>
        <v>100000000</v>
      </c>
      <c r="X578" s="34">
        <f>M578-(N578+O578)</f>
        <v>383702000</v>
      </c>
      <c r="Y578" s="48" t="s">
        <v>418</v>
      </c>
      <c r="Z578" s="48" t="s">
        <v>8</v>
      </c>
      <c r="AA578" s="2" t="e">
        <v>#N/A</v>
      </c>
      <c r="AB578" s="2" t="e">
        <f>VLOOKUP(H578,#REF!,2,FALSE)</f>
        <v>#REF!</v>
      </c>
      <c r="AC578" s="2" t="e">
        <f>VLOOKUP(I578,#REF!,2,FALSE)</f>
        <v>#REF!</v>
      </c>
      <c r="AD578" s="2" t="e">
        <f>VLOOKUP(H578,#REF!,13,FALSE)</f>
        <v>#REF!</v>
      </c>
      <c r="AE578" s="2" t="e">
        <f>VLOOKUP(I578,#REF!,7,FALSE)</f>
        <v>#REF!</v>
      </c>
      <c r="AG578" s="2" t="e">
        <f>VLOOKUP(H578,#REF!,13,FALSE)</f>
        <v>#REF!</v>
      </c>
      <c r="AH578" s="2" t="e">
        <f>VLOOKUP(I578,#REF!,2,FALSE)</f>
        <v>#REF!</v>
      </c>
      <c r="AJ578" s="185" t="e">
        <f>VLOOKUP(H578,#REF!,3,FALSE)</f>
        <v>#REF!</v>
      </c>
      <c r="AK578" s="185"/>
      <c r="AL578" s="185" t="e">
        <f>VLOOKUP(H578,#REF!,13,FALSE)</f>
        <v>#REF!</v>
      </c>
      <c r="AM578" s="185" t="e">
        <f>VLOOKUP(CLEAN(H578),#REF!,7,FALSE)</f>
        <v>#REF!</v>
      </c>
      <c r="AN578" s="2" t="e">
        <f>VLOOKUP(H578,#REF!,8,FALSE)</f>
        <v>#REF!</v>
      </c>
      <c r="AO578" s="189" t="e">
        <f>VLOOKUP(H578,#REF!,2,FALSE)</f>
        <v>#REF!</v>
      </c>
      <c r="AP578" s="189" t="e">
        <f>VLOOKUP(H578,#REF!,2,FALSE)</f>
        <v>#REF!</v>
      </c>
      <c r="AQ578" s="189"/>
      <c r="AR578" s="2" t="e">
        <f>VLOOKUP(CLEAN(H578),#REF!,2,FALSE)</f>
        <v>#REF!</v>
      </c>
      <c r="AT578" s="2" t="e">
        <f>VLOOKUP(H578,#REF!,13,FALSE)</f>
        <v>#REF!</v>
      </c>
      <c r="AU578" s="2" t="e">
        <f>VLOOKUP(H578,#REF!,13,FALSE)</f>
        <v>#REF!</v>
      </c>
      <c r="AV578" s="2" t="e">
        <f>VLOOKUP(H578,#REF!,13,FALSE)</f>
        <v>#REF!</v>
      </c>
      <c r="AW578" s="2" t="e">
        <f>VLOOKUP(H578,#REF!,13,FALSE)</f>
        <v>#REF!</v>
      </c>
      <c r="AX578" s="2" t="e">
        <f>VLOOKUP(H578,#REF!,9,FALSE)</f>
        <v>#REF!</v>
      </c>
      <c r="AZ578" s="2" t="e">
        <f>VLOOKUP(H578,#REF!,2,FALSE)</f>
        <v>#REF!</v>
      </c>
      <c r="BF578" s="189" t="e">
        <f>VLOOKUP(CLEAN(H578),#REF!,2,FALSE)</f>
        <v>#REF!</v>
      </c>
      <c r="BG578" s="189" t="e">
        <f>T578-BF578</f>
        <v>#REF!</v>
      </c>
      <c r="BO578" s="2" t="e">
        <f>VLOOKUP(H578,#REF!,13,FALSE)</f>
        <v>#REF!</v>
      </c>
      <c r="BP578" s="2" t="e">
        <f>VLOOKUP(H578,#REF!,2,FALSE)</f>
        <v>#REF!</v>
      </c>
      <c r="BQ578" s="2" t="e">
        <f>VLOOKUP(H578,#REF!,13,FALSE)</f>
        <v>#REF!</v>
      </c>
      <c r="BR578" s="2" t="e">
        <f>VLOOKUP(H578,#REF!,3,FALSE)</f>
        <v>#REF!</v>
      </c>
    </row>
    <row r="579" spans="1:70" ht="15" customHeight="1" outlineLevel="2">
      <c r="A579" s="7"/>
      <c r="B579" s="7"/>
      <c r="C579" s="7"/>
      <c r="D579" s="7"/>
      <c r="E579" s="7"/>
      <c r="F579" s="7"/>
      <c r="G579" s="7"/>
      <c r="H579" s="11"/>
      <c r="I579" s="11"/>
      <c r="J579" s="11"/>
      <c r="K579" s="11"/>
      <c r="L579" s="17" t="s">
        <v>702</v>
      </c>
      <c r="M579" s="27">
        <f t="shared" ref="M579:X579" si="338">SUBTOTAL(9,M577:M578)</f>
        <v>1087804000</v>
      </c>
      <c r="N579" s="27">
        <f t="shared" si="338"/>
        <v>0</v>
      </c>
      <c r="O579" s="27">
        <f t="shared" si="338"/>
        <v>704102000</v>
      </c>
      <c r="P579" s="24">
        <f t="shared" si="338"/>
        <v>0</v>
      </c>
      <c r="Q579" s="24">
        <f t="shared" si="338"/>
        <v>0</v>
      </c>
      <c r="R579" s="24">
        <f t="shared" si="338"/>
        <v>0</v>
      </c>
      <c r="S579" s="27">
        <f t="shared" si="338"/>
        <v>0</v>
      </c>
      <c r="T579" s="27">
        <f t="shared" si="338"/>
        <v>0</v>
      </c>
      <c r="U579" s="27">
        <f t="shared" si="338"/>
        <v>0</v>
      </c>
      <c r="V579" s="27">
        <f t="shared" si="338"/>
        <v>0</v>
      </c>
      <c r="W579" s="27">
        <f t="shared" si="338"/>
        <v>704102000</v>
      </c>
      <c r="X579" s="27">
        <f t="shared" si="338"/>
        <v>383702000</v>
      </c>
      <c r="Y579" s="47"/>
      <c r="Z579" s="47"/>
      <c r="AM579" s="185" t="e">
        <f>VLOOKUP(CLEAN(H579),#REF!,7,FALSE)</f>
        <v>#REF!</v>
      </c>
      <c r="AO579"/>
      <c r="AP579"/>
      <c r="AQ579"/>
      <c r="AR579" s="2" t="e">
        <f>VLOOKUP(CLEAN(H579),#REF!,2,FALSE)</f>
        <v>#REF!</v>
      </c>
      <c r="AZ579" s="2" t="e">
        <f>VLOOKUP(H579,#REF!,2,FALSE)</f>
        <v>#REF!</v>
      </c>
      <c r="BO579" s="2" t="e">
        <f>VLOOKUP(H579,#REF!,13,FALSE)</f>
        <v>#REF!</v>
      </c>
      <c r="BQ579" s="2" t="e">
        <f>VLOOKUP(H579,#REF!,13,FALSE)</f>
        <v>#REF!</v>
      </c>
    </row>
    <row r="580" spans="1:70" ht="15" customHeight="1" outlineLevel="2">
      <c r="A580" s="7"/>
      <c r="B580" s="7"/>
      <c r="C580" s="7"/>
      <c r="D580" s="7"/>
      <c r="E580" s="7"/>
      <c r="F580" s="7"/>
      <c r="G580" s="7"/>
      <c r="H580" s="11"/>
      <c r="I580" s="11"/>
      <c r="J580" s="11"/>
      <c r="K580" s="11"/>
      <c r="L580" s="292"/>
      <c r="M580" s="22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47"/>
      <c r="Z580" s="47"/>
      <c r="AM580" s="185" t="e">
        <f>VLOOKUP(CLEAN(H580),#REF!,7,FALSE)</f>
        <v>#REF!</v>
      </c>
      <c r="AO580"/>
      <c r="AP580"/>
      <c r="AQ580"/>
      <c r="AR580" s="2" t="e">
        <f>VLOOKUP(CLEAN(H580),#REF!,2,FALSE)</f>
        <v>#REF!</v>
      </c>
      <c r="AZ580" s="2" t="e">
        <f>VLOOKUP(H580,#REF!,2,FALSE)</f>
        <v>#REF!</v>
      </c>
      <c r="BO580" s="2" t="e">
        <f>VLOOKUP(H580,#REF!,13,FALSE)</f>
        <v>#REF!</v>
      </c>
      <c r="BP580" s="293"/>
      <c r="BQ580" s="2" t="e">
        <f>VLOOKUP(H580,#REF!,13,FALSE)</f>
        <v>#REF!</v>
      </c>
    </row>
    <row r="581" spans="1:70" ht="15" customHeight="1" outlineLevel="2">
      <c r="A581" s="7"/>
      <c r="B581" s="7"/>
      <c r="C581" s="7"/>
      <c r="D581" s="7"/>
      <c r="E581" s="7"/>
      <c r="F581" s="7"/>
      <c r="G581" s="7"/>
      <c r="H581" s="11"/>
      <c r="I581" s="11"/>
      <c r="J581" s="11"/>
      <c r="K581" s="11"/>
      <c r="L581" s="18" t="s">
        <v>696</v>
      </c>
      <c r="M581" s="22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47"/>
      <c r="Z581" s="47"/>
      <c r="AM581" s="185" t="e">
        <f>VLOOKUP(CLEAN(H581),#REF!,7,FALSE)</f>
        <v>#REF!</v>
      </c>
      <c r="AO581"/>
      <c r="AP581"/>
      <c r="AQ581"/>
      <c r="AR581" s="2" t="e">
        <f>VLOOKUP(CLEAN(H581),#REF!,2,FALSE)</f>
        <v>#REF!</v>
      </c>
      <c r="AZ581" s="2" t="e">
        <f>VLOOKUP(H581,#REF!,2,FALSE)</f>
        <v>#REF!</v>
      </c>
      <c r="BO581" s="2" t="e">
        <f>VLOOKUP(H581,#REF!,13,FALSE)</f>
        <v>#REF!</v>
      </c>
      <c r="BQ581" s="2" t="e">
        <f>VLOOKUP(H581,#REF!,13,FALSE)</f>
        <v>#REF!</v>
      </c>
    </row>
    <row r="582" spans="1:70" s="2" customFormat="1" ht="15" customHeight="1" outlineLevel="2">
      <c r="A582" s="5">
        <v>31</v>
      </c>
      <c r="B582" s="5" t="s">
        <v>11</v>
      </c>
      <c r="C582" s="5" t="s">
        <v>238</v>
      </c>
      <c r="D582" s="5" t="s">
        <v>30</v>
      </c>
      <c r="E582" s="5" t="s">
        <v>35</v>
      </c>
      <c r="F582" s="5" t="s">
        <v>457</v>
      </c>
      <c r="G582" s="5" t="s">
        <v>9</v>
      </c>
      <c r="H582" s="12">
        <v>30126487</v>
      </c>
      <c r="I582" s="42" t="str">
        <f t="shared" ref="I582:I584" si="339">CONCATENATE(H582,"-",G582)</f>
        <v>30126487-DISEÑO</v>
      </c>
      <c r="J582" s="12"/>
      <c r="K582" s="307" t="str">
        <f t="shared" ref="K582:K584" si="340">CLEAN(H582)</f>
        <v>30126487</v>
      </c>
      <c r="L582" s="15" t="s">
        <v>337</v>
      </c>
      <c r="M582" s="23">
        <v>60467000</v>
      </c>
      <c r="N582" s="34">
        <v>0</v>
      </c>
      <c r="O582" s="34">
        <v>10000000</v>
      </c>
      <c r="P582" s="310">
        <v>0</v>
      </c>
      <c r="Q582" s="34">
        <v>0</v>
      </c>
      <c r="R582" s="308">
        <v>0</v>
      </c>
      <c r="S582" s="34">
        <f t="shared" ref="S582:S584" si="341">P582+Q582+R582</f>
        <v>0</v>
      </c>
      <c r="T582" s="34">
        <v>0</v>
      </c>
      <c r="U582" s="34">
        <v>0</v>
      </c>
      <c r="V582" s="34">
        <f>P582+Q582+R582+T582+U582</f>
        <v>0</v>
      </c>
      <c r="W582" s="34">
        <f>O582-V582</f>
        <v>10000000</v>
      </c>
      <c r="X582" s="34">
        <f>M582-(N582+O582)</f>
        <v>50467000</v>
      </c>
      <c r="Y582" s="48" t="s">
        <v>246</v>
      </c>
      <c r="Z582" s="48" t="s">
        <v>270</v>
      </c>
      <c r="AA582" s="2" t="e">
        <v>#N/A</v>
      </c>
      <c r="AB582" s="2" t="e">
        <f>VLOOKUP(H582,#REF!,2,FALSE)</f>
        <v>#REF!</v>
      </c>
      <c r="AC582" s="2" t="e">
        <f>VLOOKUP(I582,#REF!,2,FALSE)</f>
        <v>#REF!</v>
      </c>
      <c r="AD582" s="2" t="e">
        <f>VLOOKUP(H582,#REF!,13,FALSE)</f>
        <v>#REF!</v>
      </c>
      <c r="AE582" s="2" t="e">
        <f>VLOOKUP(I582,#REF!,7,FALSE)</f>
        <v>#REF!</v>
      </c>
      <c r="AG582" s="2" t="e">
        <f>VLOOKUP(H582,#REF!,13,FALSE)</f>
        <v>#REF!</v>
      </c>
      <c r="AH582" s="2" t="e">
        <f>VLOOKUP(I582,#REF!,2,FALSE)</f>
        <v>#REF!</v>
      </c>
      <c r="AJ582" s="185" t="e">
        <f>VLOOKUP(H582,#REF!,3,FALSE)</f>
        <v>#REF!</v>
      </c>
      <c r="AK582" s="185"/>
      <c r="AL582" s="185" t="e">
        <f>VLOOKUP(H582,#REF!,13,FALSE)</f>
        <v>#REF!</v>
      </c>
      <c r="AM582" s="185" t="e">
        <f>VLOOKUP(CLEAN(H582),#REF!,7,FALSE)</f>
        <v>#REF!</v>
      </c>
      <c r="AN582" s="2" t="e">
        <f>VLOOKUP(H582,#REF!,8,FALSE)</f>
        <v>#REF!</v>
      </c>
      <c r="AO582" s="189" t="e">
        <f>VLOOKUP(H582,#REF!,2,FALSE)</f>
        <v>#REF!</v>
      </c>
      <c r="AP582" s="189" t="e">
        <f>VLOOKUP(H582,#REF!,2,FALSE)</f>
        <v>#REF!</v>
      </c>
      <c r="AQ582" s="189"/>
      <c r="AR582" s="2" t="e">
        <f>VLOOKUP(CLEAN(H582),#REF!,2,FALSE)</f>
        <v>#REF!</v>
      </c>
      <c r="AT582" s="2" t="e">
        <f>VLOOKUP(H582,#REF!,13,FALSE)</f>
        <v>#REF!</v>
      </c>
      <c r="AU582" s="2" t="e">
        <f>VLOOKUP(H582,#REF!,13,FALSE)</f>
        <v>#REF!</v>
      </c>
      <c r="AV582" s="2" t="e">
        <f>VLOOKUP(H582,#REF!,13,FALSE)</f>
        <v>#REF!</v>
      </c>
      <c r="AW582" s="2" t="e">
        <f>VLOOKUP(H582,#REF!,13,FALSE)</f>
        <v>#REF!</v>
      </c>
      <c r="AX582" s="2" t="e">
        <f>VLOOKUP(H582,#REF!,9,FALSE)</f>
        <v>#REF!</v>
      </c>
      <c r="AZ582" s="2" t="e">
        <f>VLOOKUP(H582,#REF!,2,FALSE)</f>
        <v>#REF!</v>
      </c>
      <c r="BF582" s="189" t="e">
        <f>VLOOKUP(CLEAN(H582),#REF!,2,FALSE)</f>
        <v>#REF!</v>
      </c>
      <c r="BG582" s="189" t="e">
        <f>T582-BF582</f>
        <v>#REF!</v>
      </c>
      <c r="BO582" s="2" t="e">
        <f>VLOOKUP(H582,#REF!,13,FALSE)</f>
        <v>#REF!</v>
      </c>
      <c r="BP582" s="2" t="e">
        <f>VLOOKUP(H582,#REF!,2,FALSE)</f>
        <v>#REF!</v>
      </c>
      <c r="BQ582" s="2" t="e">
        <f>VLOOKUP(H582,#REF!,13,FALSE)</f>
        <v>#REF!</v>
      </c>
      <c r="BR582" s="2" t="e">
        <f>VLOOKUP(H582,#REF!,3,FALSE)</f>
        <v>#REF!</v>
      </c>
    </row>
    <row r="583" spans="1:70" s="2" customFormat="1" ht="15" customHeight="1" outlineLevel="2">
      <c r="A583" s="5">
        <v>31</v>
      </c>
      <c r="B583" s="5" t="s">
        <v>11</v>
      </c>
      <c r="C583" s="5" t="s">
        <v>242</v>
      </c>
      <c r="D583" s="5" t="s">
        <v>30</v>
      </c>
      <c r="E583" s="5" t="s">
        <v>35</v>
      </c>
      <c r="F583" s="5" t="s">
        <v>457</v>
      </c>
      <c r="G583" s="5" t="s">
        <v>144</v>
      </c>
      <c r="H583" s="12">
        <v>30126506</v>
      </c>
      <c r="I583" s="42" t="str">
        <f t="shared" si="339"/>
        <v>30126506-EJECUCION</v>
      </c>
      <c r="J583" s="12"/>
      <c r="K583" s="307" t="str">
        <f t="shared" si="340"/>
        <v>30126506</v>
      </c>
      <c r="L583" s="15" t="s">
        <v>351</v>
      </c>
      <c r="M583" s="23">
        <v>599792000</v>
      </c>
      <c r="N583" s="34">
        <v>0</v>
      </c>
      <c r="O583" s="34">
        <v>100000000</v>
      </c>
      <c r="P583" s="310">
        <v>0</v>
      </c>
      <c r="Q583" s="34">
        <v>0</v>
      </c>
      <c r="R583" s="308">
        <v>0</v>
      </c>
      <c r="S583" s="34">
        <f t="shared" si="341"/>
        <v>0</v>
      </c>
      <c r="T583" s="34">
        <v>0</v>
      </c>
      <c r="U583" s="34">
        <v>0</v>
      </c>
      <c r="V583" s="34">
        <f>P583+Q583+R583+T583+U583</f>
        <v>0</v>
      </c>
      <c r="W583" s="34">
        <f>O583-V583</f>
        <v>100000000</v>
      </c>
      <c r="X583" s="34">
        <f>M583-(N583+O583)</f>
        <v>499792000</v>
      </c>
      <c r="Y583" s="48" t="s">
        <v>246</v>
      </c>
      <c r="Z583" s="48" t="s">
        <v>270</v>
      </c>
      <c r="AA583" s="2" t="e">
        <v>#N/A</v>
      </c>
      <c r="AB583" s="2" t="e">
        <f>VLOOKUP(H583,#REF!,2,FALSE)</f>
        <v>#REF!</v>
      </c>
      <c r="AC583" s="2" t="e">
        <f>VLOOKUP(I583,#REF!,2,FALSE)</f>
        <v>#REF!</v>
      </c>
      <c r="AD583" s="2" t="e">
        <f>VLOOKUP(H583,#REF!,13,FALSE)</f>
        <v>#REF!</v>
      </c>
      <c r="AE583" s="2" t="e">
        <f>VLOOKUP(I583,#REF!,7,FALSE)</f>
        <v>#REF!</v>
      </c>
      <c r="AG583" s="2" t="e">
        <f>VLOOKUP(H583,#REF!,13,FALSE)</f>
        <v>#REF!</v>
      </c>
      <c r="AH583" s="2" t="e">
        <f>VLOOKUP(I583,#REF!,2,FALSE)</f>
        <v>#REF!</v>
      </c>
      <c r="AJ583" s="185" t="e">
        <f>VLOOKUP(H583,#REF!,3,FALSE)</f>
        <v>#REF!</v>
      </c>
      <c r="AK583" s="185"/>
      <c r="AL583" s="185" t="e">
        <f>VLOOKUP(H583,#REF!,13,FALSE)</f>
        <v>#REF!</v>
      </c>
      <c r="AM583" s="185" t="e">
        <f>VLOOKUP(CLEAN(H583),#REF!,7,FALSE)</f>
        <v>#REF!</v>
      </c>
      <c r="AN583" s="2" t="e">
        <f>VLOOKUP(H583,#REF!,8,FALSE)</f>
        <v>#REF!</v>
      </c>
      <c r="AO583" s="189" t="e">
        <f>VLOOKUP(H583,#REF!,2,FALSE)</f>
        <v>#REF!</v>
      </c>
      <c r="AP583" s="189" t="e">
        <f>VLOOKUP(H583,#REF!,2,FALSE)</f>
        <v>#REF!</v>
      </c>
      <c r="AQ583" s="189"/>
      <c r="AR583" s="2" t="e">
        <f>VLOOKUP(CLEAN(H583),#REF!,2,FALSE)</f>
        <v>#REF!</v>
      </c>
      <c r="AT583" s="2" t="e">
        <f>VLOOKUP(H583,#REF!,13,FALSE)</f>
        <v>#REF!</v>
      </c>
      <c r="AU583" s="2" t="e">
        <f>VLOOKUP(H583,#REF!,13,FALSE)</f>
        <v>#REF!</v>
      </c>
      <c r="AV583" s="2" t="e">
        <f>VLOOKUP(H583,#REF!,13,FALSE)</f>
        <v>#REF!</v>
      </c>
      <c r="AW583" s="2" t="e">
        <f>VLOOKUP(H583,#REF!,13,FALSE)</f>
        <v>#REF!</v>
      </c>
      <c r="AX583" s="2" t="e">
        <f>VLOOKUP(H583,#REF!,9,FALSE)</f>
        <v>#REF!</v>
      </c>
      <c r="AZ583" s="2" t="e">
        <f>VLOOKUP(H583,#REF!,2,FALSE)</f>
        <v>#REF!</v>
      </c>
      <c r="BF583" s="189" t="e">
        <f>VLOOKUP(CLEAN(H583),#REF!,2,FALSE)</f>
        <v>#REF!</v>
      </c>
      <c r="BG583" s="189" t="e">
        <f>T583-BF583</f>
        <v>#REF!</v>
      </c>
      <c r="BO583" s="2" t="e">
        <f>VLOOKUP(H583,#REF!,13,FALSE)</f>
        <v>#REF!</v>
      </c>
      <c r="BP583" s="2" t="e">
        <f>VLOOKUP(H583,#REF!,2,FALSE)</f>
        <v>#REF!</v>
      </c>
      <c r="BQ583" s="2" t="e">
        <f>VLOOKUP(H583,#REF!,13,FALSE)</f>
        <v>#REF!</v>
      </c>
      <c r="BR583" s="2" t="e">
        <f>VLOOKUP(H583,#REF!,3,FALSE)</f>
        <v>#REF!</v>
      </c>
    </row>
    <row r="584" spans="1:70" s="2" customFormat="1" ht="15" customHeight="1" outlineLevel="2">
      <c r="A584" s="5">
        <v>31</v>
      </c>
      <c r="B584" s="5" t="s">
        <v>11</v>
      </c>
      <c r="C584" s="5" t="s">
        <v>251</v>
      </c>
      <c r="D584" s="5" t="s">
        <v>30</v>
      </c>
      <c r="E584" s="5" t="s">
        <v>35</v>
      </c>
      <c r="F584" s="5" t="s">
        <v>457</v>
      </c>
      <c r="G584" s="5" t="s">
        <v>9</v>
      </c>
      <c r="H584" s="12">
        <v>30484393</v>
      </c>
      <c r="I584" s="42" t="str">
        <f t="shared" si="339"/>
        <v>30484393-DISEÑO</v>
      </c>
      <c r="J584" s="12"/>
      <c r="K584" s="307" t="str">
        <f t="shared" si="340"/>
        <v>30484393</v>
      </c>
      <c r="L584" s="15" t="s">
        <v>379</v>
      </c>
      <c r="M584" s="23">
        <v>52500000</v>
      </c>
      <c r="N584" s="34">
        <v>0</v>
      </c>
      <c r="O584" s="34">
        <v>5000000</v>
      </c>
      <c r="P584" s="310">
        <v>0</v>
      </c>
      <c r="Q584" s="34">
        <v>0</v>
      </c>
      <c r="R584" s="308">
        <v>0</v>
      </c>
      <c r="S584" s="34">
        <f t="shared" si="341"/>
        <v>0</v>
      </c>
      <c r="T584" s="34">
        <v>0</v>
      </c>
      <c r="U584" s="34">
        <v>0</v>
      </c>
      <c r="V584" s="34">
        <f>P584+Q584+R584+T584+U584</f>
        <v>0</v>
      </c>
      <c r="W584" s="34">
        <f>O584-V584</f>
        <v>5000000</v>
      </c>
      <c r="X584" s="34">
        <f>M584-(N584+O584)</f>
        <v>47500000</v>
      </c>
      <c r="Y584" s="48" t="s">
        <v>246</v>
      </c>
      <c r="Z584" s="48" t="s">
        <v>357</v>
      </c>
      <c r="AA584" s="2" t="e">
        <v>#N/A</v>
      </c>
      <c r="AB584" s="2" t="e">
        <f>VLOOKUP(H584,#REF!,2,FALSE)</f>
        <v>#REF!</v>
      </c>
      <c r="AC584" s="2" t="e">
        <f>VLOOKUP(I584,#REF!,2,FALSE)</f>
        <v>#REF!</v>
      </c>
      <c r="AD584" s="2" t="e">
        <f>VLOOKUP(H584,#REF!,13,FALSE)</f>
        <v>#REF!</v>
      </c>
      <c r="AE584" s="2" t="e">
        <f>VLOOKUP(I584,#REF!,7,FALSE)</f>
        <v>#REF!</v>
      </c>
      <c r="AG584" s="2" t="e">
        <f>VLOOKUP(H584,#REF!,13,FALSE)</f>
        <v>#REF!</v>
      </c>
      <c r="AH584" s="2" t="e">
        <f>VLOOKUP(I584,#REF!,2,FALSE)</f>
        <v>#REF!</v>
      </c>
      <c r="AJ584" s="185" t="e">
        <f>VLOOKUP(H584,#REF!,3,FALSE)</f>
        <v>#REF!</v>
      </c>
      <c r="AK584" s="185"/>
      <c r="AL584" s="185" t="e">
        <f>VLOOKUP(H584,#REF!,13,FALSE)</f>
        <v>#REF!</v>
      </c>
      <c r="AM584" s="185" t="e">
        <f>VLOOKUP(CLEAN(H584),#REF!,7,FALSE)</f>
        <v>#REF!</v>
      </c>
      <c r="AN584" s="2" t="e">
        <f>VLOOKUP(H584,#REF!,8,FALSE)</f>
        <v>#REF!</v>
      </c>
      <c r="AO584" s="189" t="e">
        <f>VLOOKUP(H584,#REF!,2,FALSE)</f>
        <v>#REF!</v>
      </c>
      <c r="AP584" s="189" t="e">
        <f>VLOOKUP(H584,#REF!,2,FALSE)</f>
        <v>#REF!</v>
      </c>
      <c r="AQ584" s="189"/>
      <c r="AR584" s="2" t="e">
        <f>VLOOKUP(CLEAN(H584),#REF!,2,FALSE)</f>
        <v>#REF!</v>
      </c>
      <c r="AT584" s="2" t="e">
        <f>VLOOKUP(H584,#REF!,13,FALSE)</f>
        <v>#REF!</v>
      </c>
      <c r="AU584" s="2" t="e">
        <f>VLOOKUP(H584,#REF!,13,FALSE)</f>
        <v>#REF!</v>
      </c>
      <c r="AV584" s="2" t="e">
        <f>VLOOKUP(H584,#REF!,13,FALSE)</f>
        <v>#REF!</v>
      </c>
      <c r="AW584" s="2" t="e">
        <f>VLOOKUP(H584,#REF!,13,FALSE)</f>
        <v>#REF!</v>
      </c>
      <c r="AX584" s="2" t="e">
        <f>VLOOKUP(H584,#REF!,9,FALSE)</f>
        <v>#REF!</v>
      </c>
      <c r="AZ584" s="2" t="e">
        <f>VLOOKUP(H584,#REF!,2,FALSE)</f>
        <v>#REF!</v>
      </c>
      <c r="BF584" s="189" t="e">
        <f>VLOOKUP(CLEAN(H584),#REF!,2,FALSE)</f>
        <v>#REF!</v>
      </c>
      <c r="BG584" s="189" t="e">
        <f>T584-BF584</f>
        <v>#REF!</v>
      </c>
      <c r="BO584" s="2" t="e">
        <f>VLOOKUP(H584,#REF!,13,FALSE)</f>
        <v>#REF!</v>
      </c>
      <c r="BP584" s="2" t="e">
        <f>VLOOKUP(H584,#REF!,2,FALSE)</f>
        <v>#REF!</v>
      </c>
      <c r="BQ584" s="2" t="e">
        <f>VLOOKUP(H584,#REF!,13,FALSE)</f>
        <v>#REF!</v>
      </c>
      <c r="BR584" s="2" t="e">
        <f>VLOOKUP(H584,#REF!,3,FALSE)</f>
        <v>#REF!</v>
      </c>
    </row>
    <row r="585" spans="1:70" ht="15" customHeight="1" outlineLevel="2">
      <c r="A585" s="7"/>
      <c r="B585" s="7"/>
      <c r="C585" s="7"/>
      <c r="D585" s="7"/>
      <c r="E585" s="7"/>
      <c r="F585" s="7"/>
      <c r="G585" s="7"/>
      <c r="H585" s="11"/>
      <c r="I585" s="11"/>
      <c r="J585" s="11"/>
      <c r="K585" s="11"/>
      <c r="L585" s="17" t="s">
        <v>693</v>
      </c>
      <c r="M585" s="27">
        <f t="shared" ref="M585:X585" si="342">SUBTOTAL(9,M582:M584)</f>
        <v>712759000</v>
      </c>
      <c r="N585" s="27">
        <f t="shared" si="342"/>
        <v>0</v>
      </c>
      <c r="O585" s="27">
        <f t="shared" si="342"/>
        <v>115000000</v>
      </c>
      <c r="P585" s="24">
        <f t="shared" si="342"/>
        <v>0</v>
      </c>
      <c r="Q585" s="24">
        <f t="shared" si="342"/>
        <v>0</v>
      </c>
      <c r="R585" s="24">
        <f t="shared" si="342"/>
        <v>0</v>
      </c>
      <c r="S585" s="27">
        <f t="shared" si="342"/>
        <v>0</v>
      </c>
      <c r="T585" s="27">
        <f t="shared" si="342"/>
        <v>0</v>
      </c>
      <c r="U585" s="27">
        <f t="shared" si="342"/>
        <v>0</v>
      </c>
      <c r="V585" s="27">
        <f t="shared" si="342"/>
        <v>0</v>
      </c>
      <c r="W585" s="27">
        <f t="shared" si="342"/>
        <v>115000000</v>
      </c>
      <c r="X585" s="27">
        <f t="shared" si="342"/>
        <v>597759000</v>
      </c>
      <c r="Y585" s="47"/>
      <c r="Z585" s="47"/>
      <c r="AM585" s="185" t="e">
        <f>VLOOKUP(CLEAN(H585),#REF!,7,FALSE)</f>
        <v>#REF!</v>
      </c>
      <c r="AO585"/>
      <c r="AP585"/>
      <c r="AQ585"/>
      <c r="AR585" s="2" t="e">
        <f>VLOOKUP(CLEAN(H585),#REF!,2,FALSE)</f>
        <v>#REF!</v>
      </c>
      <c r="AZ585" s="2" t="e">
        <f>VLOOKUP(H585,#REF!,2,FALSE)</f>
        <v>#REF!</v>
      </c>
      <c r="BO585" s="2" t="e">
        <f>VLOOKUP(H585,#REF!,13,FALSE)</f>
        <v>#REF!</v>
      </c>
      <c r="BQ585" s="2" t="e">
        <f>VLOOKUP(H585,#REF!,13,FALSE)</f>
        <v>#REF!</v>
      </c>
    </row>
    <row r="586" spans="1:70" ht="15" customHeight="1" outlineLevel="2">
      <c r="A586" s="7"/>
      <c r="B586" s="7"/>
      <c r="C586" s="7"/>
      <c r="D586" s="7"/>
      <c r="E586" s="7"/>
      <c r="F586" s="7"/>
      <c r="G586" s="7"/>
      <c r="H586" s="11"/>
      <c r="I586" s="11"/>
      <c r="J586" s="11"/>
      <c r="K586" s="11"/>
      <c r="L586" s="292"/>
      <c r="M586" s="22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47"/>
      <c r="Z586" s="47"/>
      <c r="AM586" s="185" t="e">
        <f>VLOOKUP(CLEAN(H586),#REF!,7,FALSE)</f>
        <v>#REF!</v>
      </c>
      <c r="AO586"/>
      <c r="AP586"/>
      <c r="AQ586"/>
      <c r="AR586" s="2" t="e">
        <f>VLOOKUP(CLEAN(H586),#REF!,2,FALSE)</f>
        <v>#REF!</v>
      </c>
      <c r="AZ586" s="2" t="e">
        <f>VLOOKUP(H586,#REF!,2,FALSE)</f>
        <v>#REF!</v>
      </c>
      <c r="BO586" s="2" t="e">
        <f>VLOOKUP(H586,#REF!,13,FALSE)</f>
        <v>#REF!</v>
      </c>
      <c r="BP586" s="293"/>
      <c r="BQ586" s="2" t="e">
        <f>VLOOKUP(H586,#REF!,13,FALSE)</f>
        <v>#REF!</v>
      </c>
    </row>
    <row r="587" spans="1:70" ht="18.75" customHeight="1" outlineLevel="1">
      <c r="A587" s="7"/>
      <c r="B587" s="7"/>
      <c r="C587" s="7"/>
      <c r="D587" s="7"/>
      <c r="E587" s="8"/>
      <c r="F587" s="7"/>
      <c r="G587" s="7"/>
      <c r="H587" s="11"/>
      <c r="I587" s="11"/>
      <c r="J587" s="11"/>
      <c r="K587" s="11"/>
      <c r="L587" s="45" t="s">
        <v>165</v>
      </c>
      <c r="M587" s="46">
        <f t="shared" ref="M587:X587" si="343">M585+M579+M562+M574+M566</f>
        <v>3952426715</v>
      </c>
      <c r="N587" s="46">
        <f t="shared" si="343"/>
        <v>864484631</v>
      </c>
      <c r="O587" s="46">
        <f t="shared" si="343"/>
        <v>1471478904</v>
      </c>
      <c r="P587" s="46">
        <f t="shared" si="343"/>
        <v>0</v>
      </c>
      <c r="Q587" s="46">
        <f t="shared" si="343"/>
        <v>0</v>
      </c>
      <c r="R587" s="46">
        <f t="shared" si="343"/>
        <v>41678444</v>
      </c>
      <c r="S587" s="46">
        <f t="shared" si="343"/>
        <v>41678444</v>
      </c>
      <c r="T587" s="46">
        <f t="shared" si="343"/>
        <v>2761000</v>
      </c>
      <c r="U587" s="46">
        <f t="shared" si="343"/>
        <v>0</v>
      </c>
      <c r="V587" s="46">
        <f t="shared" si="343"/>
        <v>44439444</v>
      </c>
      <c r="W587" s="46">
        <f t="shared" si="343"/>
        <v>1427039460</v>
      </c>
      <c r="X587" s="46">
        <f t="shared" si="343"/>
        <v>1616463180</v>
      </c>
      <c r="Y587" s="47"/>
      <c r="Z587" s="47"/>
      <c r="AM587" s="185" t="e">
        <f>VLOOKUP(CLEAN(H587),#REF!,7,FALSE)</f>
        <v>#REF!</v>
      </c>
      <c r="AO587"/>
      <c r="AP587"/>
      <c r="AQ587"/>
      <c r="AR587" s="2" t="e">
        <f>VLOOKUP(CLEAN(H587),#REF!,2,FALSE)</f>
        <v>#REF!</v>
      </c>
      <c r="AZ587" s="2" t="e">
        <f>VLOOKUP(H587,#REF!,2,FALSE)</f>
        <v>#REF!</v>
      </c>
      <c r="BO587" s="2" t="e">
        <f>VLOOKUP(H587,#REF!,13,FALSE)</f>
        <v>#REF!</v>
      </c>
      <c r="BQ587" s="2" t="e">
        <f>VLOOKUP(H587,#REF!,13,FALSE)</f>
        <v>#REF!</v>
      </c>
    </row>
    <row r="588" spans="1:70" s="3" customFormat="1" ht="15" customHeight="1" outlineLevel="1">
      <c r="A588" s="7"/>
      <c r="B588" s="7"/>
      <c r="C588" s="7"/>
      <c r="D588" s="7"/>
      <c r="E588" s="8"/>
      <c r="F588" s="7"/>
      <c r="G588" s="7"/>
      <c r="H588" s="11"/>
      <c r="I588" s="11"/>
      <c r="J588" s="11"/>
      <c r="K588" s="11"/>
      <c r="L588" s="294"/>
      <c r="M588" s="26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47"/>
      <c r="Z588" s="47"/>
      <c r="AJ588" s="186"/>
      <c r="AK588" s="186"/>
      <c r="AL588" s="186"/>
      <c r="AM588" s="185" t="e">
        <f>VLOOKUP(CLEAN(H588),#REF!,7,FALSE)</f>
        <v>#REF!</v>
      </c>
      <c r="AR588" s="2" t="e">
        <f>VLOOKUP(CLEAN(H588),#REF!,2,FALSE)</f>
        <v>#REF!</v>
      </c>
      <c r="AZ588" s="2" t="e">
        <f>VLOOKUP(H588,#REF!,2,FALSE)</f>
        <v>#REF!</v>
      </c>
      <c r="BF588" s="193"/>
      <c r="BO588" s="2" t="e">
        <f>VLOOKUP(H588,#REF!,13,FALSE)</f>
        <v>#REF!</v>
      </c>
      <c r="BP588" s="7"/>
      <c r="BQ588" s="2" t="e">
        <f>VLOOKUP(H588,#REF!,13,FALSE)</f>
        <v>#REF!</v>
      </c>
    </row>
    <row r="589" spans="1:70" ht="26.25" customHeight="1" outlineLevel="1">
      <c r="A589" s="7"/>
      <c r="B589" s="7"/>
      <c r="C589" s="7"/>
      <c r="D589" s="7"/>
      <c r="E589" s="8"/>
      <c r="F589" s="7"/>
      <c r="G589" s="7"/>
      <c r="H589" s="11"/>
      <c r="I589" s="11"/>
      <c r="J589" s="11"/>
      <c r="K589" s="11"/>
      <c r="L589" s="57" t="s">
        <v>465</v>
      </c>
      <c r="M589" s="26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47"/>
      <c r="Z589" s="47"/>
      <c r="AM589" s="185" t="e">
        <f>VLOOKUP(CLEAN(H589),#REF!,7,FALSE)</f>
        <v>#REF!</v>
      </c>
      <c r="AO589"/>
      <c r="AP589"/>
      <c r="AQ589"/>
      <c r="AR589" s="2" t="e">
        <f>VLOOKUP(CLEAN(H589),#REF!,2,FALSE)</f>
        <v>#REF!</v>
      </c>
      <c r="AZ589" s="2" t="e">
        <f>VLOOKUP(H589,#REF!,2,FALSE)</f>
        <v>#REF!</v>
      </c>
      <c r="BO589" s="2" t="e">
        <f>VLOOKUP(H589,#REF!,13,FALSE)</f>
        <v>#REF!</v>
      </c>
      <c r="BQ589" s="2" t="e">
        <f>VLOOKUP(H589,#REF!,13,FALSE)</f>
        <v>#REF!</v>
      </c>
    </row>
    <row r="590" spans="1:70" ht="15" customHeight="1" outlineLevel="1">
      <c r="A590" s="7"/>
      <c r="B590" s="7"/>
      <c r="C590" s="7"/>
      <c r="D590" s="7"/>
      <c r="E590" s="8"/>
      <c r="F590" s="7"/>
      <c r="G590" s="7"/>
      <c r="H590" s="11"/>
      <c r="I590" s="11"/>
      <c r="J590" s="11"/>
      <c r="K590" s="11"/>
      <c r="L590" s="18" t="s">
        <v>695</v>
      </c>
      <c r="M590" s="26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47"/>
      <c r="Z590" s="47"/>
      <c r="AM590" s="185" t="e">
        <f>VLOOKUP(CLEAN(H590),#REF!,7,FALSE)</f>
        <v>#REF!</v>
      </c>
      <c r="AO590"/>
      <c r="AP590"/>
      <c r="AQ590"/>
      <c r="AR590" s="2" t="e">
        <f>VLOOKUP(CLEAN(H590),#REF!,2,FALSE)</f>
        <v>#REF!</v>
      </c>
      <c r="AZ590" s="2" t="e">
        <f>VLOOKUP(H590,#REF!,2,FALSE)</f>
        <v>#REF!</v>
      </c>
      <c r="BO590" s="2" t="e">
        <f>VLOOKUP(H590,#REF!,13,FALSE)</f>
        <v>#REF!</v>
      </c>
      <c r="BQ590" s="2" t="e">
        <f>VLOOKUP(H590,#REF!,13,FALSE)</f>
        <v>#REF!</v>
      </c>
    </row>
    <row r="591" spans="1:70" s="2" customFormat="1" ht="15" customHeight="1" outlineLevel="2">
      <c r="A591" s="5">
        <v>31</v>
      </c>
      <c r="B591" s="5" t="s">
        <v>5</v>
      </c>
      <c r="C591" s="5" t="s">
        <v>253</v>
      </c>
      <c r="D591" s="5" t="s">
        <v>30</v>
      </c>
      <c r="E591" s="5" t="s">
        <v>282</v>
      </c>
      <c r="F591" s="5" t="s">
        <v>457</v>
      </c>
      <c r="G591" s="5" t="s">
        <v>9</v>
      </c>
      <c r="H591" s="12">
        <v>30095333</v>
      </c>
      <c r="I591" s="42" t="str">
        <f t="shared" ref="I591:I592" si="344">CONCATENATE(H591,"-",G591)</f>
        <v>30095333-DISEÑO</v>
      </c>
      <c r="J591" s="12"/>
      <c r="K591" s="307" t="str">
        <f t="shared" ref="K591:K592" si="345">CLEAN(H591)</f>
        <v>30095333</v>
      </c>
      <c r="L591" s="15" t="s">
        <v>283</v>
      </c>
      <c r="M591" s="23">
        <v>178850000</v>
      </c>
      <c r="N591" s="34">
        <v>94201000</v>
      </c>
      <c r="O591" s="34">
        <v>84649000</v>
      </c>
      <c r="P591" s="310">
        <v>0</v>
      </c>
      <c r="Q591" s="34">
        <v>0</v>
      </c>
      <c r="R591" s="308">
        <v>0</v>
      </c>
      <c r="S591" s="34">
        <f t="shared" ref="S591:S592" si="346">P591+Q591+R591</f>
        <v>0</v>
      </c>
      <c r="T591" s="34">
        <v>0</v>
      </c>
      <c r="U591" s="34">
        <v>0</v>
      </c>
      <c r="V591" s="34">
        <f>P591+Q591+R591+T591+U591</f>
        <v>0</v>
      </c>
      <c r="W591" s="34">
        <f>O591-V591</f>
        <v>84649000</v>
      </c>
      <c r="X591" s="34">
        <f>M591-(N591+O591)</f>
        <v>0</v>
      </c>
      <c r="Y591" s="48" t="s">
        <v>239</v>
      </c>
      <c r="Z591" s="48" t="s">
        <v>8</v>
      </c>
      <c r="AA591" s="2" t="s">
        <v>845</v>
      </c>
      <c r="AB591" s="2" t="e">
        <f>VLOOKUP(H591,#REF!,2,FALSE)</f>
        <v>#REF!</v>
      </c>
      <c r="AC591" s="2" t="e">
        <f>VLOOKUP(I591,#REF!,2,FALSE)</f>
        <v>#REF!</v>
      </c>
      <c r="AD591" s="2" t="e">
        <f>VLOOKUP(H591,#REF!,13,FALSE)</f>
        <v>#REF!</v>
      </c>
      <c r="AE591" s="2" t="e">
        <f>VLOOKUP(I591,#REF!,7,FALSE)</f>
        <v>#REF!</v>
      </c>
      <c r="AG591" s="2" t="e">
        <f>VLOOKUP(H591,#REF!,13,FALSE)</f>
        <v>#REF!</v>
      </c>
      <c r="AH591" s="2" t="e">
        <f>VLOOKUP(I591,#REF!,2,FALSE)</f>
        <v>#REF!</v>
      </c>
      <c r="AJ591" s="185" t="e">
        <f>VLOOKUP(H591,#REF!,3,FALSE)</f>
        <v>#REF!</v>
      </c>
      <c r="AK591" s="185"/>
      <c r="AL591" s="185" t="e">
        <f>VLOOKUP(H591,#REF!,13,FALSE)</f>
        <v>#REF!</v>
      </c>
      <c r="AM591" s="185" t="e">
        <f>VLOOKUP(CLEAN(H591),#REF!,7,FALSE)</f>
        <v>#REF!</v>
      </c>
      <c r="AN591" s="2" t="e">
        <f>VLOOKUP(H591,#REF!,8,FALSE)</f>
        <v>#REF!</v>
      </c>
      <c r="AO591" s="189" t="e">
        <f>VLOOKUP(H591,#REF!,2,FALSE)</f>
        <v>#REF!</v>
      </c>
      <c r="AP591" s="189" t="e">
        <f>VLOOKUP(H591,#REF!,2,FALSE)</f>
        <v>#REF!</v>
      </c>
      <c r="AQ591" s="189"/>
      <c r="AR591" s="2" t="e">
        <f>VLOOKUP(CLEAN(H591),#REF!,2,FALSE)</f>
        <v>#REF!</v>
      </c>
      <c r="AT591" s="2" t="e">
        <f>VLOOKUP(H591,#REF!,13,FALSE)</f>
        <v>#REF!</v>
      </c>
      <c r="AU591" s="2" t="e">
        <f>VLOOKUP(H591,#REF!,13,FALSE)</f>
        <v>#REF!</v>
      </c>
      <c r="AV591" s="2" t="e">
        <f>VLOOKUP(H591,#REF!,13,FALSE)</f>
        <v>#REF!</v>
      </c>
      <c r="AW591" s="2" t="e">
        <f>VLOOKUP(H591,#REF!,13,FALSE)</f>
        <v>#REF!</v>
      </c>
      <c r="AX591" s="2" t="e">
        <f>VLOOKUP(H591,#REF!,9,FALSE)</f>
        <v>#REF!</v>
      </c>
      <c r="AZ591" s="189" t="e">
        <f>VLOOKUP(H591,#REF!,2,FALSE)</f>
        <v>#REF!</v>
      </c>
      <c r="BF591" s="189" t="e">
        <f>VLOOKUP(CLEAN(H591),#REF!,2,FALSE)</f>
        <v>#REF!</v>
      </c>
      <c r="BG591" s="189" t="e">
        <f>T591-BF591</f>
        <v>#REF!</v>
      </c>
      <c r="BO591" s="2" t="e">
        <f>VLOOKUP(H591,#REF!,13,FALSE)</f>
        <v>#REF!</v>
      </c>
      <c r="BP591" s="2" t="e">
        <f>VLOOKUP(H591,#REF!,2,FALSE)</f>
        <v>#REF!</v>
      </c>
      <c r="BQ591" s="2" t="e">
        <f>VLOOKUP(H591,#REF!,13,FALSE)</f>
        <v>#REF!</v>
      </c>
      <c r="BR591" s="2" t="e">
        <f>VLOOKUP(H591,#REF!,3,FALSE)</f>
        <v>#REF!</v>
      </c>
    </row>
    <row r="592" spans="1:70" s="2" customFormat="1" ht="15" customHeight="1" outlineLevel="2">
      <c r="A592" s="5">
        <v>31</v>
      </c>
      <c r="B592" s="5" t="s">
        <v>5</v>
      </c>
      <c r="C592" s="5" t="s">
        <v>238</v>
      </c>
      <c r="D592" s="5" t="s">
        <v>30</v>
      </c>
      <c r="E592" s="5" t="s">
        <v>282</v>
      </c>
      <c r="F592" s="5" t="s">
        <v>6</v>
      </c>
      <c r="G592" s="5" t="s">
        <v>144</v>
      </c>
      <c r="H592" s="12">
        <v>30093309</v>
      </c>
      <c r="I592" s="311" t="str">
        <f t="shared" si="344"/>
        <v>30093309-EJECUCION</v>
      </c>
      <c r="J592" s="190"/>
      <c r="K592" s="309" t="str">
        <f t="shared" si="345"/>
        <v>30093309</v>
      </c>
      <c r="L592" s="15" t="s">
        <v>61</v>
      </c>
      <c r="M592" s="23">
        <v>6706907019</v>
      </c>
      <c r="N592" s="34">
        <v>6264393668</v>
      </c>
      <c r="O592" s="34">
        <v>426418895</v>
      </c>
      <c r="P592" s="310">
        <v>0</v>
      </c>
      <c r="Q592" s="34">
        <v>0</v>
      </c>
      <c r="R592" s="308">
        <v>0</v>
      </c>
      <c r="S592" s="34">
        <f t="shared" si="346"/>
        <v>0</v>
      </c>
      <c r="T592" s="34">
        <v>0</v>
      </c>
      <c r="U592" s="34">
        <v>0</v>
      </c>
      <c r="V592" s="34">
        <f>P592+Q592+R592+T592+U592</f>
        <v>0</v>
      </c>
      <c r="W592" s="34">
        <f>O592-V592</f>
        <v>426418895</v>
      </c>
      <c r="X592" s="34">
        <f>M592-(N592+O592)</f>
        <v>16094456</v>
      </c>
      <c r="Y592" s="48" t="s">
        <v>239</v>
      </c>
      <c r="Z592" s="48" t="s">
        <v>8</v>
      </c>
      <c r="AA592" s="2" t="s">
        <v>844</v>
      </c>
      <c r="AB592" s="2" t="e">
        <f>VLOOKUP(H592,#REF!,2,FALSE)</f>
        <v>#REF!</v>
      </c>
      <c r="AC592" s="2" t="e">
        <f>VLOOKUP(I592,#REF!,2,FALSE)</f>
        <v>#REF!</v>
      </c>
      <c r="AD592" s="2" t="e">
        <f>VLOOKUP(H592,#REF!,13,FALSE)</f>
        <v>#REF!</v>
      </c>
      <c r="AE592" s="2" t="e">
        <f>VLOOKUP(I592,#REF!,7,FALSE)</f>
        <v>#REF!</v>
      </c>
      <c r="AG592" s="2" t="e">
        <f>VLOOKUP(H592,#REF!,13,FALSE)</f>
        <v>#REF!</v>
      </c>
      <c r="AH592" s="2" t="e">
        <f>VLOOKUP(I592,#REF!,2,FALSE)</f>
        <v>#REF!</v>
      </c>
      <c r="AJ592" s="185" t="e">
        <f>VLOOKUP(H592,#REF!,3,FALSE)</f>
        <v>#REF!</v>
      </c>
      <c r="AK592" s="185"/>
      <c r="AL592" s="185" t="e">
        <f>VLOOKUP(H592,#REF!,13,FALSE)</f>
        <v>#REF!</v>
      </c>
      <c r="AM592" s="185" t="e">
        <f>VLOOKUP(CLEAN(H592),#REF!,7,FALSE)</f>
        <v>#REF!</v>
      </c>
      <c r="AN592" s="2" t="e">
        <f>VLOOKUP(H592,#REF!,8,FALSE)</f>
        <v>#REF!</v>
      </c>
      <c r="AO592" s="189" t="e">
        <f>VLOOKUP(H592,#REF!,2,FALSE)</f>
        <v>#REF!</v>
      </c>
      <c r="AP592" s="189" t="e">
        <f>VLOOKUP(H592,#REF!,2,FALSE)</f>
        <v>#REF!</v>
      </c>
      <c r="AQ592" s="189"/>
      <c r="AR592" s="2" t="e">
        <f>VLOOKUP(CLEAN(H592),#REF!,2,FALSE)</f>
        <v>#REF!</v>
      </c>
      <c r="AT592" s="2" t="e">
        <f>VLOOKUP(H592,#REF!,13,FALSE)</f>
        <v>#REF!</v>
      </c>
      <c r="AU592" s="2" t="e">
        <f>VLOOKUP(H592,#REF!,13,FALSE)</f>
        <v>#REF!</v>
      </c>
      <c r="AV592" s="2" t="e">
        <f>VLOOKUP(H592,#REF!,13,FALSE)</f>
        <v>#REF!</v>
      </c>
      <c r="AW592" s="2" t="e">
        <f>VLOOKUP(H592,#REF!,13,FALSE)</f>
        <v>#REF!</v>
      </c>
      <c r="AX592" s="2" t="e">
        <f>VLOOKUP(H592,#REF!,9,FALSE)</f>
        <v>#REF!</v>
      </c>
      <c r="AZ592" s="189" t="e">
        <f>VLOOKUP(H592,#REF!,2,FALSE)</f>
        <v>#REF!</v>
      </c>
      <c r="BF592" s="189" t="e">
        <f>VLOOKUP(CLEAN(H592),#REF!,2,FALSE)</f>
        <v>#REF!</v>
      </c>
      <c r="BG592" s="189" t="e">
        <f>T592-BF592</f>
        <v>#REF!</v>
      </c>
      <c r="BO592" s="2" t="e">
        <f>VLOOKUP(H592,#REF!,13,FALSE)</f>
        <v>#REF!</v>
      </c>
      <c r="BP592" s="2" t="e">
        <f>VLOOKUP(H592,#REF!,2,FALSE)</f>
        <v>#REF!</v>
      </c>
      <c r="BQ592" s="2" t="e">
        <f>VLOOKUP(H592,#REF!,13,FALSE)</f>
        <v>#REF!</v>
      </c>
      <c r="BR592" s="2" t="e">
        <f>VLOOKUP(H592,#REF!,3,FALSE)</f>
        <v>#REF!</v>
      </c>
    </row>
    <row r="593" spans="1:70" ht="15" customHeight="1" outlineLevel="2">
      <c r="A593" s="7"/>
      <c r="B593" s="7"/>
      <c r="C593" s="7"/>
      <c r="D593" s="7"/>
      <c r="E593" s="7"/>
      <c r="F593" s="7"/>
      <c r="G593" s="7"/>
      <c r="H593" s="11"/>
      <c r="I593" s="11"/>
      <c r="J593" s="11"/>
      <c r="K593" s="11"/>
      <c r="L593" s="17" t="s">
        <v>691</v>
      </c>
      <c r="M593" s="27">
        <f t="shared" ref="M593:X593" si="347">SUBTOTAL(9,M591:M592)</f>
        <v>6885757019</v>
      </c>
      <c r="N593" s="27">
        <f t="shared" si="347"/>
        <v>6358594668</v>
      </c>
      <c r="O593" s="27">
        <f t="shared" si="347"/>
        <v>511067895</v>
      </c>
      <c r="P593" s="27">
        <f t="shared" si="347"/>
        <v>0</v>
      </c>
      <c r="Q593" s="27">
        <f t="shared" si="347"/>
        <v>0</v>
      </c>
      <c r="R593" s="27">
        <f t="shared" si="347"/>
        <v>0</v>
      </c>
      <c r="S593" s="27">
        <f t="shared" si="347"/>
        <v>0</v>
      </c>
      <c r="T593" s="27">
        <f t="shared" si="347"/>
        <v>0</v>
      </c>
      <c r="U593" s="27">
        <f t="shared" si="347"/>
        <v>0</v>
      </c>
      <c r="V593" s="27">
        <f t="shared" si="347"/>
        <v>0</v>
      </c>
      <c r="W593" s="27">
        <f t="shared" si="347"/>
        <v>511067895</v>
      </c>
      <c r="X593" s="27">
        <f t="shared" si="347"/>
        <v>16094456</v>
      </c>
      <c r="Y593" s="47"/>
      <c r="Z593" s="47"/>
      <c r="AM593" s="185" t="e">
        <f>VLOOKUP(CLEAN(H593),#REF!,7,FALSE)</f>
        <v>#REF!</v>
      </c>
      <c r="AO593"/>
      <c r="AP593"/>
      <c r="AQ593"/>
      <c r="AR593" s="2" t="e">
        <f>VLOOKUP(CLEAN(H593),#REF!,2,FALSE)</f>
        <v>#REF!</v>
      </c>
      <c r="AZ593" s="2" t="e">
        <f>VLOOKUP(H593,#REF!,2,FALSE)</f>
        <v>#REF!</v>
      </c>
      <c r="BO593" s="2" t="e">
        <f>VLOOKUP(H593,#REF!,13,FALSE)</f>
        <v>#REF!</v>
      </c>
      <c r="BQ593" s="2" t="e">
        <f>VLOOKUP(H593,#REF!,13,FALSE)</f>
        <v>#REF!</v>
      </c>
    </row>
    <row r="594" spans="1:70" ht="15" customHeight="1" outlineLevel="2">
      <c r="A594" s="7"/>
      <c r="B594" s="7"/>
      <c r="C594" s="7"/>
      <c r="D594" s="7"/>
      <c r="E594" s="7"/>
      <c r="F594" s="7"/>
      <c r="G594" s="7"/>
      <c r="H594" s="11"/>
      <c r="I594" s="11"/>
      <c r="J594" s="11"/>
      <c r="K594" s="11"/>
      <c r="L594" s="292"/>
      <c r="M594" s="22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47"/>
      <c r="Z594" s="47"/>
      <c r="AM594" s="185" t="e">
        <f>VLOOKUP(CLEAN(H594),#REF!,7,FALSE)</f>
        <v>#REF!</v>
      </c>
      <c r="AO594"/>
      <c r="AP594"/>
      <c r="AQ594"/>
      <c r="AR594" s="2" t="e">
        <f>VLOOKUP(CLEAN(H594),#REF!,2,FALSE)</f>
        <v>#REF!</v>
      </c>
      <c r="AZ594" s="2" t="e">
        <f>VLOOKUP(H594,#REF!,2,FALSE)</f>
        <v>#REF!</v>
      </c>
      <c r="BO594" s="2" t="e">
        <f>VLOOKUP(H594,#REF!,13,FALSE)</f>
        <v>#REF!</v>
      </c>
      <c r="BP594" s="293"/>
      <c r="BQ594" s="2" t="e">
        <f>VLOOKUP(H594,#REF!,13,FALSE)</f>
        <v>#REF!</v>
      </c>
    </row>
    <row r="595" spans="1:70" ht="15" customHeight="1" outlineLevel="2">
      <c r="A595" s="7"/>
      <c r="B595" s="7"/>
      <c r="C595" s="7"/>
      <c r="D595" s="7"/>
      <c r="E595" s="7"/>
      <c r="F595" s="7"/>
      <c r="G595" s="7"/>
      <c r="H595" s="11"/>
      <c r="I595" s="11"/>
      <c r="J595" s="11"/>
      <c r="K595" s="11"/>
      <c r="L595" s="18" t="s">
        <v>701</v>
      </c>
      <c r="M595" s="22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47"/>
      <c r="Z595" s="47"/>
      <c r="AO595"/>
      <c r="AP595"/>
      <c r="AQ595"/>
      <c r="AR595" s="2" t="e">
        <f>VLOOKUP(CLEAN(H595),#REF!,2,FALSE)</f>
        <v>#REF!</v>
      </c>
      <c r="AZ595" s="2" t="e">
        <f>VLOOKUP(H595,#REF!,2,FALSE)</f>
        <v>#REF!</v>
      </c>
      <c r="BO595" s="2" t="e">
        <f>VLOOKUP(H595,#REF!,13,FALSE)</f>
        <v>#REF!</v>
      </c>
      <c r="BQ595" s="2" t="e">
        <f>VLOOKUP(H595,#REF!,13,FALSE)</f>
        <v>#REF!</v>
      </c>
    </row>
    <row r="596" spans="1:70" s="2" customFormat="1" ht="15" customHeight="1" outlineLevel="2">
      <c r="A596" s="5">
        <v>29</v>
      </c>
      <c r="B596" s="5" t="s">
        <v>11</v>
      </c>
      <c r="C596" s="5" t="s">
        <v>238</v>
      </c>
      <c r="D596" s="5" t="s">
        <v>30</v>
      </c>
      <c r="E596" s="5" t="s">
        <v>282</v>
      </c>
      <c r="F596" s="5" t="s">
        <v>457</v>
      </c>
      <c r="G596" s="5" t="s">
        <v>144</v>
      </c>
      <c r="H596" s="12">
        <v>30427781</v>
      </c>
      <c r="I596" s="311" t="str">
        <f t="shared" ref="I596:I597" si="348">CONCATENATE(H596,"-",G596)</f>
        <v>30427781-EJECUCION</v>
      </c>
      <c r="J596" s="190"/>
      <c r="K596" s="309" t="str">
        <f t="shared" ref="K596:K597" si="349">CLEAN(H596)</f>
        <v>30427781</v>
      </c>
      <c r="L596" s="15" t="s">
        <v>817</v>
      </c>
      <c r="M596" s="23">
        <v>199006000</v>
      </c>
      <c r="N596" s="34">
        <v>0</v>
      </c>
      <c r="O596" s="34">
        <v>199006000</v>
      </c>
      <c r="P596" s="310">
        <v>0</v>
      </c>
      <c r="Q596" s="34">
        <v>0</v>
      </c>
      <c r="R596" s="308">
        <v>0</v>
      </c>
      <c r="S596" s="34">
        <f t="shared" ref="S596:S597" si="350">P596+Q596+R596</f>
        <v>0</v>
      </c>
      <c r="T596" s="34">
        <v>0</v>
      </c>
      <c r="U596" s="34">
        <v>0</v>
      </c>
      <c r="V596" s="34">
        <f>P596+Q596+R596+T596+U596</f>
        <v>0</v>
      </c>
      <c r="W596" s="34">
        <f>O596-V596</f>
        <v>199006000</v>
      </c>
      <c r="X596" s="34">
        <f>M596-(N596+O596)</f>
        <v>0</v>
      </c>
      <c r="Y596" s="48" t="s">
        <v>460</v>
      </c>
      <c r="Z596" s="48" t="s">
        <v>10</v>
      </c>
      <c r="AA596" s="2" t="e">
        <v>#N/A</v>
      </c>
      <c r="AB596" s="2" t="e">
        <f>VLOOKUP(H596,#REF!,2,FALSE)</f>
        <v>#REF!</v>
      </c>
      <c r="AJ596" s="185"/>
      <c r="AK596" s="185"/>
      <c r="AL596" s="185"/>
      <c r="AM596" s="185"/>
      <c r="AN596" s="2" t="e">
        <f>VLOOKUP(H596,#REF!,8,FALSE)</f>
        <v>#REF!</v>
      </c>
      <c r="AO596" s="189" t="e">
        <f>VLOOKUP(H596,#REF!,2,FALSE)</f>
        <v>#REF!</v>
      </c>
      <c r="AP596" s="189" t="e">
        <f>VLOOKUP(H596,#REF!,2,FALSE)</f>
        <v>#REF!</v>
      </c>
      <c r="AQ596" s="189"/>
      <c r="AR596" s="2" t="e">
        <f>VLOOKUP(CLEAN(H596),#REF!,2,FALSE)</f>
        <v>#REF!</v>
      </c>
      <c r="AT596" s="2" t="e">
        <f>VLOOKUP(H596,#REF!,13,FALSE)</f>
        <v>#REF!</v>
      </c>
      <c r="AU596" s="2" t="e">
        <f>VLOOKUP(H596,#REF!,13,FALSE)</f>
        <v>#REF!</v>
      </c>
      <c r="AV596" s="2" t="e">
        <f>VLOOKUP(H596,#REF!,13,FALSE)</f>
        <v>#REF!</v>
      </c>
      <c r="AW596" s="2" t="e">
        <f>VLOOKUP(H596,#REF!,13,FALSE)</f>
        <v>#REF!</v>
      </c>
      <c r="AX596" s="2" t="e">
        <f>VLOOKUP(H596,#REF!,9,FALSE)</f>
        <v>#REF!</v>
      </c>
      <c r="AZ596" s="189" t="e">
        <f>VLOOKUP(H596,#REF!,2,FALSE)</f>
        <v>#REF!</v>
      </c>
      <c r="BF596" s="189" t="e">
        <f>VLOOKUP(CLEAN(H596),#REF!,2,FALSE)</f>
        <v>#REF!</v>
      </c>
      <c r="BG596" s="189" t="e">
        <f>T596-BF596</f>
        <v>#REF!</v>
      </c>
      <c r="BO596" s="2" t="e">
        <f>VLOOKUP(H596,#REF!,13,FALSE)</f>
        <v>#REF!</v>
      </c>
      <c r="BP596" s="2" t="e">
        <f>VLOOKUP(H596,#REF!,2,FALSE)</f>
        <v>#REF!</v>
      </c>
      <c r="BQ596" s="2" t="e">
        <f>VLOOKUP(H596,#REF!,13,FALSE)</f>
        <v>#REF!</v>
      </c>
      <c r="BR596" s="2" t="e">
        <f>VLOOKUP(H596,#REF!,3,FALSE)</f>
        <v>#REF!</v>
      </c>
    </row>
    <row r="597" spans="1:70" s="2" customFormat="1" ht="15" customHeight="1" outlineLevel="2">
      <c r="A597" s="5">
        <v>29</v>
      </c>
      <c r="B597" s="5" t="s">
        <v>11</v>
      </c>
      <c r="C597" s="5" t="s">
        <v>238</v>
      </c>
      <c r="D597" s="5" t="s">
        <v>30</v>
      </c>
      <c r="E597" s="5" t="s">
        <v>282</v>
      </c>
      <c r="F597" s="5" t="s">
        <v>457</v>
      </c>
      <c r="G597" s="5" t="s">
        <v>144</v>
      </c>
      <c r="H597" s="12">
        <v>30427823</v>
      </c>
      <c r="I597" s="311" t="str">
        <f t="shared" si="348"/>
        <v>30427823-EJECUCION</v>
      </c>
      <c r="J597" s="190"/>
      <c r="K597" s="309" t="str">
        <f t="shared" si="349"/>
        <v>30427823</v>
      </c>
      <c r="L597" s="15" t="s">
        <v>818</v>
      </c>
      <c r="M597" s="23">
        <v>199646000</v>
      </c>
      <c r="N597" s="34">
        <v>0</v>
      </c>
      <c r="O597" s="34">
        <v>129586000</v>
      </c>
      <c r="P597" s="310">
        <v>0</v>
      </c>
      <c r="Q597" s="34">
        <v>0</v>
      </c>
      <c r="R597" s="308">
        <v>0</v>
      </c>
      <c r="S597" s="34">
        <f t="shared" si="350"/>
        <v>0</v>
      </c>
      <c r="T597" s="34">
        <v>0</v>
      </c>
      <c r="U597" s="34">
        <v>0</v>
      </c>
      <c r="V597" s="34">
        <f>P597+Q597+R597+T597+U597</f>
        <v>0</v>
      </c>
      <c r="W597" s="34">
        <f>O597-V597</f>
        <v>129586000</v>
      </c>
      <c r="X597" s="34">
        <f>M597-(N597+O597)</f>
        <v>70060000</v>
      </c>
      <c r="Y597" s="48" t="s">
        <v>243</v>
      </c>
      <c r="Z597" s="48" t="s">
        <v>10</v>
      </c>
      <c r="AA597" s="2" t="e">
        <v>#N/A</v>
      </c>
      <c r="AB597" s="2" t="e">
        <f>VLOOKUP(H597,#REF!,2,FALSE)</f>
        <v>#REF!</v>
      </c>
      <c r="AJ597" s="185"/>
      <c r="AK597" s="185"/>
      <c r="AL597" s="185"/>
      <c r="AM597" s="185"/>
      <c r="AN597" s="2" t="e">
        <f>VLOOKUP(H597,#REF!,8,FALSE)</f>
        <v>#REF!</v>
      </c>
      <c r="AO597" s="189" t="e">
        <f>VLOOKUP(H597,#REF!,2,FALSE)</f>
        <v>#REF!</v>
      </c>
      <c r="AP597" s="189" t="e">
        <f>VLOOKUP(H597,#REF!,2,FALSE)</f>
        <v>#REF!</v>
      </c>
      <c r="AQ597" s="189"/>
      <c r="AR597" s="2" t="e">
        <f>VLOOKUP(CLEAN(H597),#REF!,2,FALSE)</f>
        <v>#REF!</v>
      </c>
      <c r="AT597" s="2" t="e">
        <f>VLOOKUP(H597,#REF!,13,FALSE)</f>
        <v>#REF!</v>
      </c>
      <c r="AU597" s="2" t="e">
        <f>VLOOKUP(H597,#REF!,13,FALSE)</f>
        <v>#REF!</v>
      </c>
      <c r="AV597" s="2" t="e">
        <f>VLOOKUP(H597,#REF!,13,FALSE)</f>
        <v>#REF!</v>
      </c>
      <c r="AW597" s="2" t="e">
        <f>VLOOKUP(H597,#REF!,13,FALSE)</f>
        <v>#REF!</v>
      </c>
      <c r="AX597" s="2" t="e">
        <f>VLOOKUP(H597,#REF!,9,FALSE)</f>
        <v>#REF!</v>
      </c>
      <c r="AZ597" s="189" t="e">
        <f>VLOOKUP(H597,#REF!,2,FALSE)</f>
        <v>#REF!</v>
      </c>
      <c r="BF597" s="189" t="e">
        <f>VLOOKUP(CLEAN(H597),#REF!,2,FALSE)</f>
        <v>#REF!</v>
      </c>
      <c r="BG597" s="189" t="e">
        <f>T597-BF597</f>
        <v>#REF!</v>
      </c>
      <c r="BO597" s="2" t="e">
        <f>VLOOKUP(H597,#REF!,13,FALSE)</f>
        <v>#REF!</v>
      </c>
      <c r="BP597" s="2" t="e">
        <f>VLOOKUP(H597,#REF!,2,FALSE)</f>
        <v>#REF!</v>
      </c>
      <c r="BQ597" s="2" t="e">
        <f>VLOOKUP(H597,#REF!,13,FALSE)</f>
        <v>#REF!</v>
      </c>
      <c r="BR597" s="2" t="e">
        <f>VLOOKUP(H597,#REF!,3,FALSE)</f>
        <v>#REF!</v>
      </c>
    </row>
    <row r="598" spans="1:70" ht="15" customHeight="1" outlineLevel="2">
      <c r="A598" s="7"/>
      <c r="B598" s="7"/>
      <c r="C598" s="7"/>
      <c r="D598" s="7"/>
      <c r="E598" s="7"/>
      <c r="F598" s="7"/>
      <c r="G598" s="7"/>
      <c r="H598" s="11"/>
      <c r="I598" s="11"/>
      <c r="J598" s="11"/>
      <c r="K598" s="11"/>
      <c r="L598" s="17" t="s">
        <v>702</v>
      </c>
      <c r="M598" s="27">
        <f>SUBTOTAL(9,M596:M597)</f>
        <v>398652000</v>
      </c>
      <c r="N598" s="27">
        <f t="shared" ref="N598:O598" si="351">SUBTOTAL(9,N596:N597)</f>
        <v>0</v>
      </c>
      <c r="O598" s="27">
        <f t="shared" si="351"/>
        <v>328592000</v>
      </c>
      <c r="P598" s="24">
        <f t="shared" ref="P598:X598" si="352">SUBTOTAL(9,P596:P597)</f>
        <v>0</v>
      </c>
      <c r="Q598" s="24">
        <f t="shared" si="352"/>
        <v>0</v>
      </c>
      <c r="R598" s="24">
        <f t="shared" si="352"/>
        <v>0</v>
      </c>
      <c r="S598" s="27">
        <f t="shared" si="352"/>
        <v>0</v>
      </c>
      <c r="T598" s="27">
        <f t="shared" si="352"/>
        <v>0</v>
      </c>
      <c r="U598" s="27">
        <f t="shared" si="352"/>
        <v>0</v>
      </c>
      <c r="V598" s="27">
        <f t="shared" si="352"/>
        <v>0</v>
      </c>
      <c r="W598" s="27">
        <f t="shared" si="352"/>
        <v>328592000</v>
      </c>
      <c r="X598" s="27">
        <f t="shared" si="352"/>
        <v>70060000</v>
      </c>
      <c r="Y598" s="47"/>
      <c r="Z598" s="47"/>
      <c r="AO598"/>
      <c r="AP598"/>
      <c r="AQ598"/>
      <c r="AR598" s="2" t="e">
        <f>VLOOKUP(CLEAN(H598),#REF!,2,FALSE)</f>
        <v>#REF!</v>
      </c>
      <c r="AZ598" s="2" t="e">
        <f>VLOOKUP(H598,#REF!,2,FALSE)</f>
        <v>#REF!</v>
      </c>
      <c r="BO598" s="2" t="e">
        <f>VLOOKUP(H598,#REF!,13,FALSE)</f>
        <v>#REF!</v>
      </c>
      <c r="BQ598" s="2" t="e">
        <f>VLOOKUP(H598,#REF!,13,FALSE)</f>
        <v>#REF!</v>
      </c>
    </row>
    <row r="599" spans="1:70" ht="15" customHeight="1" outlineLevel="2">
      <c r="A599" s="7"/>
      <c r="B599" s="7"/>
      <c r="C599" s="7"/>
      <c r="D599" s="7"/>
      <c r="E599" s="7"/>
      <c r="F599" s="7"/>
      <c r="G599" s="7"/>
      <c r="H599" s="11"/>
      <c r="I599" s="11"/>
      <c r="J599" s="11"/>
      <c r="K599" s="11"/>
      <c r="L599" s="292"/>
      <c r="M599" s="22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47"/>
      <c r="Z599" s="47"/>
      <c r="AO599"/>
      <c r="AP599"/>
      <c r="AQ599"/>
      <c r="AR599" s="2" t="e">
        <f>VLOOKUP(CLEAN(H599),#REF!,2,FALSE)</f>
        <v>#REF!</v>
      </c>
      <c r="AZ599" s="2" t="e">
        <f>VLOOKUP(H599,#REF!,2,FALSE)</f>
        <v>#REF!</v>
      </c>
      <c r="BO599" s="2" t="e">
        <f>VLOOKUP(H599,#REF!,13,FALSE)</f>
        <v>#REF!</v>
      </c>
      <c r="BP599" s="293"/>
      <c r="BQ599" s="2" t="e">
        <f>VLOOKUP(H599,#REF!,13,FALSE)</f>
        <v>#REF!</v>
      </c>
    </row>
    <row r="600" spans="1:70" ht="15" customHeight="1" outlineLevel="2">
      <c r="A600" s="7"/>
      <c r="B600" s="7"/>
      <c r="C600" s="7"/>
      <c r="D600" s="7"/>
      <c r="E600" s="7"/>
      <c r="F600" s="7"/>
      <c r="G600" s="7"/>
      <c r="H600" s="11"/>
      <c r="I600" s="11"/>
      <c r="J600" s="11"/>
      <c r="K600" s="11"/>
      <c r="L600" s="18" t="s">
        <v>696</v>
      </c>
      <c r="M600" s="22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47"/>
      <c r="Z600" s="47"/>
      <c r="AM600" s="185" t="e">
        <f>VLOOKUP(CLEAN(H600),#REF!,7,FALSE)</f>
        <v>#REF!</v>
      </c>
      <c r="AO600"/>
      <c r="AP600"/>
      <c r="AQ600"/>
      <c r="AR600" s="2" t="e">
        <f>VLOOKUP(CLEAN(H600),#REF!,2,FALSE)</f>
        <v>#REF!</v>
      </c>
      <c r="AZ600" s="2" t="e">
        <f>VLOOKUP(H600,#REF!,2,FALSE)</f>
        <v>#REF!</v>
      </c>
      <c r="BO600" s="2" t="e">
        <f>VLOOKUP(H600,#REF!,13,FALSE)</f>
        <v>#REF!</v>
      </c>
      <c r="BQ600" s="2" t="e">
        <f>VLOOKUP(H600,#REF!,13,FALSE)</f>
        <v>#REF!</v>
      </c>
    </row>
    <row r="601" spans="1:70" s="2" customFormat="1" ht="15" customHeight="1" outlineLevel="2">
      <c r="A601" s="5">
        <v>31</v>
      </c>
      <c r="B601" s="5" t="s">
        <v>11</v>
      </c>
      <c r="C601" s="5" t="s">
        <v>240</v>
      </c>
      <c r="D601" s="5" t="s">
        <v>30</v>
      </c>
      <c r="E601" s="5" t="s">
        <v>282</v>
      </c>
      <c r="F601" s="5" t="s">
        <v>457</v>
      </c>
      <c r="G601" s="5" t="s">
        <v>144</v>
      </c>
      <c r="H601" s="12">
        <v>30135738</v>
      </c>
      <c r="I601" s="42" t="str">
        <f t="shared" ref="I601:I605" si="353">CONCATENATE(H601,"-",G601)</f>
        <v>30135738-EJECUCION</v>
      </c>
      <c r="J601" s="12" t="s">
        <v>729</v>
      </c>
      <c r="K601" s="307" t="str">
        <f t="shared" ref="K601:K605" si="354">CLEAN(H601)</f>
        <v>30135738</v>
      </c>
      <c r="L601" s="15" t="s">
        <v>408</v>
      </c>
      <c r="M601" s="23">
        <v>645578000</v>
      </c>
      <c r="N601" s="34">
        <v>0</v>
      </c>
      <c r="O601" s="34">
        <v>64557800</v>
      </c>
      <c r="P601" s="310">
        <v>0</v>
      </c>
      <c r="Q601" s="34">
        <v>0</v>
      </c>
      <c r="R601" s="308">
        <v>0</v>
      </c>
      <c r="S601" s="34">
        <f t="shared" ref="S601:S605" si="355">P601+Q601+R601</f>
        <v>0</v>
      </c>
      <c r="T601" s="34">
        <v>0</v>
      </c>
      <c r="U601" s="34">
        <v>0</v>
      </c>
      <c r="V601" s="34">
        <f>P601+Q601+R601+T601+U601</f>
        <v>0</v>
      </c>
      <c r="W601" s="34">
        <f>O601-V601</f>
        <v>64557800</v>
      </c>
      <c r="X601" s="34">
        <f>M601-(N601+O601)</f>
        <v>581020200</v>
      </c>
      <c r="Y601" s="48" t="s">
        <v>246</v>
      </c>
      <c r="Z601" s="48" t="s">
        <v>8</v>
      </c>
      <c r="AA601" s="2" t="e">
        <v>#N/A</v>
      </c>
      <c r="AB601" s="2" t="e">
        <f>VLOOKUP(H601,#REF!,2,FALSE)</f>
        <v>#REF!</v>
      </c>
      <c r="AC601" s="2" t="e">
        <f>VLOOKUP(I601,#REF!,2,FALSE)</f>
        <v>#REF!</v>
      </c>
      <c r="AD601" s="2" t="e">
        <f>VLOOKUP(H601,#REF!,13,FALSE)</f>
        <v>#REF!</v>
      </c>
      <c r="AE601" s="2" t="e">
        <f>VLOOKUP(I601,#REF!,7,FALSE)</f>
        <v>#REF!</v>
      </c>
      <c r="AG601" s="2" t="e">
        <f>VLOOKUP(H601,#REF!,13,FALSE)</f>
        <v>#REF!</v>
      </c>
      <c r="AH601" s="2" t="e">
        <f>VLOOKUP(I601,#REF!,2,FALSE)</f>
        <v>#REF!</v>
      </c>
      <c r="AJ601" s="185" t="e">
        <f>VLOOKUP(H601,#REF!,3,FALSE)</f>
        <v>#REF!</v>
      </c>
      <c r="AK601" s="185"/>
      <c r="AL601" s="185" t="e">
        <f>VLOOKUP(H601,#REF!,13,FALSE)</f>
        <v>#REF!</v>
      </c>
      <c r="AM601" s="185" t="e">
        <f>VLOOKUP(CLEAN(H601),#REF!,7,FALSE)</f>
        <v>#REF!</v>
      </c>
      <c r="AN601" s="2" t="e">
        <f>VLOOKUP(H601,#REF!,8,FALSE)</f>
        <v>#REF!</v>
      </c>
      <c r="AO601" s="189" t="e">
        <f>VLOOKUP(H601,#REF!,2,FALSE)</f>
        <v>#REF!</v>
      </c>
      <c r="AP601" s="189" t="e">
        <f>VLOOKUP(H601,#REF!,2,FALSE)</f>
        <v>#REF!</v>
      </c>
      <c r="AQ601" s="189"/>
      <c r="AR601" s="2" t="e">
        <f>VLOOKUP(CLEAN(H601),#REF!,2,FALSE)</f>
        <v>#REF!</v>
      </c>
      <c r="AT601" s="2" t="e">
        <f>VLOOKUP(H601,#REF!,13,FALSE)</f>
        <v>#REF!</v>
      </c>
      <c r="AU601" s="2" t="e">
        <f>VLOOKUP(H601,#REF!,13,FALSE)</f>
        <v>#REF!</v>
      </c>
      <c r="AV601" s="2" t="e">
        <f>VLOOKUP(H601,#REF!,13,FALSE)</f>
        <v>#REF!</v>
      </c>
      <c r="AW601" s="2" t="e">
        <f>VLOOKUP(H601,#REF!,13,FALSE)</f>
        <v>#REF!</v>
      </c>
      <c r="AX601" s="2" t="e">
        <f>VLOOKUP(H601,#REF!,9,FALSE)</f>
        <v>#REF!</v>
      </c>
      <c r="AZ601" s="2" t="e">
        <f>VLOOKUP(H601,#REF!,2,FALSE)</f>
        <v>#REF!</v>
      </c>
      <c r="BF601" s="189" t="e">
        <f>VLOOKUP(CLEAN(H601),#REF!,2,FALSE)</f>
        <v>#REF!</v>
      </c>
      <c r="BG601" s="189" t="e">
        <f>T601-BF601</f>
        <v>#REF!</v>
      </c>
      <c r="BO601" s="2" t="e">
        <f>VLOOKUP(H601,#REF!,13,FALSE)</f>
        <v>#REF!</v>
      </c>
      <c r="BP601" s="2" t="e">
        <f>VLOOKUP(H601,#REF!,2,FALSE)</f>
        <v>#REF!</v>
      </c>
      <c r="BQ601" s="2" t="e">
        <f>VLOOKUP(H601,#REF!,13,FALSE)</f>
        <v>#REF!</v>
      </c>
      <c r="BR601" s="2" t="e">
        <f>VLOOKUP(H601,#REF!,3,FALSE)</f>
        <v>#REF!</v>
      </c>
    </row>
    <row r="602" spans="1:70" s="2" customFormat="1" ht="15" customHeight="1" outlineLevel="2">
      <c r="A602" s="5">
        <v>31</v>
      </c>
      <c r="B602" s="5" t="s">
        <v>11</v>
      </c>
      <c r="C602" s="5" t="s">
        <v>240</v>
      </c>
      <c r="D602" s="5" t="s">
        <v>30</v>
      </c>
      <c r="E602" s="5" t="s">
        <v>282</v>
      </c>
      <c r="F602" s="5" t="s">
        <v>457</v>
      </c>
      <c r="G602" s="5" t="s">
        <v>144</v>
      </c>
      <c r="H602" s="12">
        <v>30135739</v>
      </c>
      <c r="I602" s="42" t="str">
        <f t="shared" si="353"/>
        <v>30135739-EJECUCION</v>
      </c>
      <c r="J602" s="12" t="s">
        <v>730</v>
      </c>
      <c r="K602" s="307" t="str">
        <f t="shared" si="354"/>
        <v>30135739</v>
      </c>
      <c r="L602" s="15" t="s">
        <v>317</v>
      </c>
      <c r="M602" s="23">
        <v>420194000</v>
      </c>
      <c r="N602" s="34">
        <v>0</v>
      </c>
      <c r="O602" s="34">
        <v>21009700</v>
      </c>
      <c r="P602" s="310">
        <v>0</v>
      </c>
      <c r="Q602" s="34">
        <v>0</v>
      </c>
      <c r="R602" s="308">
        <v>0</v>
      </c>
      <c r="S602" s="34">
        <f t="shared" si="355"/>
        <v>0</v>
      </c>
      <c r="T602" s="34">
        <v>0</v>
      </c>
      <c r="U602" s="34">
        <v>0</v>
      </c>
      <c r="V602" s="34">
        <f>P602+Q602+R602+T602+U602</f>
        <v>0</v>
      </c>
      <c r="W602" s="34">
        <f>O602-V602</f>
        <v>21009700</v>
      </c>
      <c r="X602" s="34">
        <f>M602-(N602+O602)</f>
        <v>399184300</v>
      </c>
      <c r="Y602" s="48" t="s">
        <v>246</v>
      </c>
      <c r="Z602" s="48" t="s">
        <v>357</v>
      </c>
      <c r="AA602" s="2" t="e">
        <v>#N/A</v>
      </c>
      <c r="AB602" s="2" t="e">
        <f>VLOOKUP(H602,#REF!,2,FALSE)</f>
        <v>#REF!</v>
      </c>
      <c r="AC602" s="2" t="e">
        <f>VLOOKUP(I602,#REF!,2,FALSE)</f>
        <v>#REF!</v>
      </c>
      <c r="AD602" s="2" t="e">
        <f>VLOOKUP(H602,#REF!,13,FALSE)</f>
        <v>#REF!</v>
      </c>
      <c r="AE602" s="2" t="e">
        <f>VLOOKUP(I602,#REF!,7,FALSE)</f>
        <v>#REF!</v>
      </c>
      <c r="AG602" s="2" t="e">
        <f>VLOOKUP(H602,#REF!,13,FALSE)</f>
        <v>#REF!</v>
      </c>
      <c r="AH602" s="2" t="e">
        <f>VLOOKUP(I602,#REF!,2,FALSE)</f>
        <v>#REF!</v>
      </c>
      <c r="AJ602" s="185" t="e">
        <f>VLOOKUP(H602,#REF!,3,FALSE)</f>
        <v>#REF!</v>
      </c>
      <c r="AK602" s="185"/>
      <c r="AL602" s="185" t="e">
        <f>VLOOKUP(H602,#REF!,13,FALSE)</f>
        <v>#REF!</v>
      </c>
      <c r="AM602" s="185" t="e">
        <f>VLOOKUP(CLEAN(H602),#REF!,7,FALSE)</f>
        <v>#REF!</v>
      </c>
      <c r="AN602" s="2" t="e">
        <f>VLOOKUP(H602,#REF!,8,FALSE)</f>
        <v>#REF!</v>
      </c>
      <c r="AO602" s="189" t="e">
        <f>VLOOKUP(H602,#REF!,2,FALSE)</f>
        <v>#REF!</v>
      </c>
      <c r="AP602" s="189" t="e">
        <f>VLOOKUP(H602,#REF!,2,FALSE)</f>
        <v>#REF!</v>
      </c>
      <c r="AQ602" s="189"/>
      <c r="AR602" s="2" t="e">
        <f>VLOOKUP(CLEAN(H602),#REF!,2,FALSE)</f>
        <v>#REF!</v>
      </c>
      <c r="AT602" s="2" t="e">
        <f>VLOOKUP(H602,#REF!,13,FALSE)</f>
        <v>#REF!</v>
      </c>
      <c r="AU602" s="2" t="e">
        <f>VLOOKUP(H602,#REF!,13,FALSE)</f>
        <v>#REF!</v>
      </c>
      <c r="AV602" s="2" t="e">
        <f>VLOOKUP(H602,#REF!,13,FALSE)</f>
        <v>#REF!</v>
      </c>
      <c r="AW602" s="2" t="e">
        <f>VLOOKUP(H602,#REF!,13,FALSE)</f>
        <v>#REF!</v>
      </c>
      <c r="AX602" s="2" t="e">
        <f>VLOOKUP(H602,#REF!,9,FALSE)</f>
        <v>#REF!</v>
      </c>
      <c r="AZ602" s="2" t="e">
        <f>VLOOKUP(H602,#REF!,2,FALSE)</f>
        <v>#REF!</v>
      </c>
      <c r="BF602" s="189" t="e">
        <f>VLOOKUP(CLEAN(H602),#REF!,2,FALSE)</f>
        <v>#REF!</v>
      </c>
      <c r="BG602" s="189" t="e">
        <f>T602-BF602</f>
        <v>#REF!</v>
      </c>
      <c r="BO602" s="2" t="e">
        <f>VLOOKUP(H602,#REF!,13,FALSE)</f>
        <v>#REF!</v>
      </c>
      <c r="BP602" s="2" t="e">
        <f>VLOOKUP(H602,#REF!,2,FALSE)</f>
        <v>#REF!</v>
      </c>
      <c r="BQ602" s="2" t="e">
        <f>VLOOKUP(H602,#REF!,13,FALSE)</f>
        <v>#REF!</v>
      </c>
      <c r="BR602" s="2" t="e">
        <f>VLOOKUP(H602,#REF!,3,FALSE)</f>
        <v>#REF!</v>
      </c>
    </row>
    <row r="603" spans="1:70" s="2" customFormat="1" ht="15" customHeight="1" outlineLevel="2">
      <c r="A603" s="5">
        <v>31</v>
      </c>
      <c r="B603" s="5" t="s">
        <v>11</v>
      </c>
      <c r="C603" s="5" t="s">
        <v>248</v>
      </c>
      <c r="D603" s="5" t="s">
        <v>30</v>
      </c>
      <c r="E603" s="5" t="s">
        <v>282</v>
      </c>
      <c r="F603" s="5" t="s">
        <v>14</v>
      </c>
      <c r="G603" s="5" t="s">
        <v>9</v>
      </c>
      <c r="H603" s="12">
        <v>30485181</v>
      </c>
      <c r="I603" s="42" t="str">
        <f t="shared" si="353"/>
        <v>30485181-DISEÑO</v>
      </c>
      <c r="J603" s="12"/>
      <c r="K603" s="307" t="str">
        <f t="shared" si="354"/>
        <v>30485181</v>
      </c>
      <c r="L603" s="15" t="s">
        <v>827</v>
      </c>
      <c r="M603" s="23">
        <v>41000000</v>
      </c>
      <c r="N603" s="34">
        <v>0</v>
      </c>
      <c r="O603" s="34">
        <v>5000000</v>
      </c>
      <c r="P603" s="310">
        <v>0</v>
      </c>
      <c r="Q603" s="34">
        <v>0</v>
      </c>
      <c r="R603" s="308">
        <v>0</v>
      </c>
      <c r="S603" s="34">
        <f t="shared" si="355"/>
        <v>0</v>
      </c>
      <c r="T603" s="34">
        <v>0</v>
      </c>
      <c r="U603" s="34">
        <v>0</v>
      </c>
      <c r="V603" s="34">
        <f>P603+Q603+R603+T603+U603</f>
        <v>0</v>
      </c>
      <c r="W603" s="34">
        <f>O603-V603</f>
        <v>5000000</v>
      </c>
      <c r="X603" s="34">
        <f>M603-(N603+O603)</f>
        <v>36000000</v>
      </c>
      <c r="Y603" s="48" t="s">
        <v>246</v>
      </c>
      <c r="Z603" s="48" t="s">
        <v>357</v>
      </c>
      <c r="AA603" s="2" t="e">
        <v>#N/A</v>
      </c>
      <c r="AB603" s="2" t="e">
        <f>VLOOKUP(H603,#REF!,2,FALSE)</f>
        <v>#REF!</v>
      </c>
      <c r="AC603" s="2" t="e">
        <f>VLOOKUP(I603,#REF!,2,FALSE)</f>
        <v>#REF!</v>
      </c>
      <c r="AD603" s="2" t="e">
        <f>VLOOKUP(H603,#REF!,13,FALSE)</f>
        <v>#REF!</v>
      </c>
      <c r="AE603" s="2" t="e">
        <f>VLOOKUP(I603,#REF!,7,FALSE)</f>
        <v>#REF!</v>
      </c>
      <c r="AG603" s="2" t="e">
        <f>VLOOKUP(H603,#REF!,13,FALSE)</f>
        <v>#REF!</v>
      </c>
      <c r="AH603" s="2" t="e">
        <f>VLOOKUP(I603,#REF!,2,FALSE)</f>
        <v>#REF!</v>
      </c>
      <c r="AJ603" s="185" t="e">
        <f>VLOOKUP(H603,#REF!,3,FALSE)</f>
        <v>#REF!</v>
      </c>
      <c r="AK603" s="185"/>
      <c r="AL603" s="185" t="e">
        <f>VLOOKUP(H603,#REF!,13,FALSE)</f>
        <v>#REF!</v>
      </c>
      <c r="AM603" s="185" t="e">
        <f>VLOOKUP(CLEAN(H603),#REF!,7,FALSE)</f>
        <v>#REF!</v>
      </c>
      <c r="AN603" s="2" t="e">
        <f>VLOOKUP(H603,#REF!,8,FALSE)</f>
        <v>#REF!</v>
      </c>
      <c r="AO603" s="189" t="e">
        <f>VLOOKUP(H603,#REF!,2,FALSE)</f>
        <v>#REF!</v>
      </c>
      <c r="AP603" s="189" t="e">
        <f>VLOOKUP(H603,#REF!,2,FALSE)</f>
        <v>#REF!</v>
      </c>
      <c r="AQ603" s="189"/>
      <c r="AR603" s="2" t="e">
        <f>VLOOKUP(CLEAN(H603),#REF!,2,FALSE)</f>
        <v>#REF!</v>
      </c>
      <c r="AT603" s="2" t="e">
        <f>VLOOKUP(H603,#REF!,13,FALSE)</f>
        <v>#REF!</v>
      </c>
      <c r="AU603" s="2" t="e">
        <f>VLOOKUP(H603,#REF!,13,FALSE)</f>
        <v>#REF!</v>
      </c>
      <c r="AV603" s="2" t="e">
        <f>VLOOKUP(H603,#REF!,13,FALSE)</f>
        <v>#REF!</v>
      </c>
      <c r="AW603" s="2" t="e">
        <f>VLOOKUP(H603,#REF!,13,FALSE)</f>
        <v>#REF!</v>
      </c>
      <c r="AX603" s="2" t="e">
        <f>VLOOKUP(H603,#REF!,9,FALSE)</f>
        <v>#REF!</v>
      </c>
      <c r="AZ603" s="2" t="e">
        <f>VLOOKUP(H603,#REF!,2,FALSE)</f>
        <v>#REF!</v>
      </c>
      <c r="BF603" s="189" t="e">
        <f>VLOOKUP(CLEAN(H603),#REF!,2,FALSE)</f>
        <v>#REF!</v>
      </c>
      <c r="BG603" s="189" t="e">
        <f>T603-BF603</f>
        <v>#REF!</v>
      </c>
      <c r="BO603" s="2" t="e">
        <f>VLOOKUP(H603,#REF!,13,FALSE)</f>
        <v>#REF!</v>
      </c>
      <c r="BP603" s="2" t="e">
        <f>VLOOKUP(H603,#REF!,2,FALSE)</f>
        <v>#REF!</v>
      </c>
      <c r="BQ603" s="2" t="e">
        <f>VLOOKUP(H603,#REF!,13,FALSE)</f>
        <v>#REF!</v>
      </c>
      <c r="BR603" s="2" t="e">
        <f>VLOOKUP(H603,#REF!,3,FALSE)</f>
        <v>#REF!</v>
      </c>
    </row>
    <row r="604" spans="1:70" s="2" customFormat="1" ht="15" customHeight="1" outlineLevel="2">
      <c r="A604" s="5">
        <v>31</v>
      </c>
      <c r="B604" s="5" t="s">
        <v>11</v>
      </c>
      <c r="C604" s="5" t="s">
        <v>241</v>
      </c>
      <c r="D604" s="5" t="s">
        <v>30</v>
      </c>
      <c r="E604" s="5" t="s">
        <v>282</v>
      </c>
      <c r="F604" s="5" t="s">
        <v>89</v>
      </c>
      <c r="G604" s="5" t="s">
        <v>144</v>
      </c>
      <c r="H604" s="12">
        <v>30135731</v>
      </c>
      <c r="I604" s="42" t="str">
        <f t="shared" si="353"/>
        <v>30135731-EJECUCION</v>
      </c>
      <c r="J604" s="12"/>
      <c r="K604" s="307" t="str">
        <f t="shared" si="354"/>
        <v>30135731</v>
      </c>
      <c r="L604" s="15" t="s">
        <v>345</v>
      </c>
      <c r="M604" s="23">
        <v>900001000</v>
      </c>
      <c r="N604" s="34">
        <v>0</v>
      </c>
      <c r="O604" s="34">
        <v>40000000</v>
      </c>
      <c r="P604" s="310">
        <v>0</v>
      </c>
      <c r="Q604" s="34">
        <v>0</v>
      </c>
      <c r="R604" s="308">
        <v>0</v>
      </c>
      <c r="S604" s="34">
        <f t="shared" si="355"/>
        <v>0</v>
      </c>
      <c r="T604" s="34">
        <v>0</v>
      </c>
      <c r="U604" s="34">
        <v>0</v>
      </c>
      <c r="V604" s="34">
        <f>P604+Q604+R604+T604+U604</f>
        <v>0</v>
      </c>
      <c r="W604" s="34">
        <f>O604-V604</f>
        <v>40000000</v>
      </c>
      <c r="X604" s="34">
        <f>M604-(N604+O604)</f>
        <v>860001000</v>
      </c>
      <c r="Y604" s="48" t="s">
        <v>246</v>
      </c>
      <c r="Z604" s="48" t="s">
        <v>357</v>
      </c>
      <c r="AA604" s="2" t="e">
        <v>#N/A</v>
      </c>
      <c r="AB604" s="2" t="e">
        <f>VLOOKUP(H604,#REF!,2,FALSE)</f>
        <v>#REF!</v>
      </c>
      <c r="AC604" s="2" t="e">
        <f>VLOOKUP(I604,#REF!,2,FALSE)</f>
        <v>#REF!</v>
      </c>
      <c r="AD604" s="2" t="e">
        <f>VLOOKUP(H604,#REF!,13,FALSE)</f>
        <v>#REF!</v>
      </c>
      <c r="AE604" s="2" t="e">
        <f>VLOOKUP(I604,#REF!,7,FALSE)</f>
        <v>#REF!</v>
      </c>
      <c r="AG604" s="2" t="e">
        <f>VLOOKUP(H604,#REF!,13,FALSE)</f>
        <v>#REF!</v>
      </c>
      <c r="AH604" s="2" t="e">
        <f>VLOOKUP(I604,#REF!,2,FALSE)</f>
        <v>#REF!</v>
      </c>
      <c r="AJ604" s="185" t="e">
        <f>VLOOKUP(H604,#REF!,3,FALSE)</f>
        <v>#REF!</v>
      </c>
      <c r="AK604" s="185"/>
      <c r="AL604" s="185" t="e">
        <f>VLOOKUP(H604,#REF!,13,FALSE)</f>
        <v>#REF!</v>
      </c>
      <c r="AM604" s="185" t="e">
        <f>VLOOKUP(CLEAN(H604),#REF!,7,FALSE)</f>
        <v>#REF!</v>
      </c>
      <c r="AN604" s="2" t="e">
        <f>VLOOKUP(H604,#REF!,8,FALSE)</f>
        <v>#REF!</v>
      </c>
      <c r="AO604" s="189" t="e">
        <f>VLOOKUP(H604,#REF!,2,FALSE)</f>
        <v>#REF!</v>
      </c>
      <c r="AP604" s="189" t="e">
        <f>VLOOKUP(H604,#REF!,2,FALSE)</f>
        <v>#REF!</v>
      </c>
      <c r="AQ604" s="189"/>
      <c r="AR604" s="2" t="e">
        <f>VLOOKUP(CLEAN(H604),#REF!,2,FALSE)</f>
        <v>#REF!</v>
      </c>
      <c r="AT604" s="2" t="e">
        <f>VLOOKUP(H604,#REF!,13,FALSE)</f>
        <v>#REF!</v>
      </c>
      <c r="AU604" s="2" t="e">
        <f>VLOOKUP(H604,#REF!,13,FALSE)</f>
        <v>#REF!</v>
      </c>
      <c r="AV604" s="2" t="e">
        <f>VLOOKUP(H604,#REF!,13,FALSE)</f>
        <v>#REF!</v>
      </c>
      <c r="AW604" s="2" t="e">
        <f>VLOOKUP(H604,#REF!,13,FALSE)</f>
        <v>#REF!</v>
      </c>
      <c r="AX604" s="2" t="e">
        <f>VLOOKUP(H604,#REF!,9,FALSE)</f>
        <v>#REF!</v>
      </c>
      <c r="AZ604" s="2" t="e">
        <f>VLOOKUP(H604,#REF!,2,FALSE)</f>
        <v>#REF!</v>
      </c>
      <c r="BF604" s="189" t="e">
        <f>VLOOKUP(CLEAN(H604),#REF!,2,FALSE)</f>
        <v>#REF!</v>
      </c>
      <c r="BG604" s="189" t="e">
        <f>T604-BF604</f>
        <v>#REF!</v>
      </c>
      <c r="BO604" s="2" t="e">
        <f>VLOOKUP(H604,#REF!,13,FALSE)</f>
        <v>#REF!</v>
      </c>
      <c r="BP604" s="2" t="e">
        <f>VLOOKUP(H604,#REF!,2,FALSE)</f>
        <v>#REF!</v>
      </c>
      <c r="BQ604" s="2" t="e">
        <f>VLOOKUP(H604,#REF!,13,FALSE)</f>
        <v>#REF!</v>
      </c>
      <c r="BR604" s="2" t="e">
        <f>VLOOKUP(H604,#REF!,3,FALSE)</f>
        <v>#REF!</v>
      </c>
    </row>
    <row r="605" spans="1:70" s="2" customFormat="1" ht="15" customHeight="1" outlineLevel="2">
      <c r="A605" s="5">
        <v>29</v>
      </c>
      <c r="B605" s="5" t="s">
        <v>11</v>
      </c>
      <c r="C605" s="5" t="s">
        <v>251</v>
      </c>
      <c r="D605" s="5" t="s">
        <v>30</v>
      </c>
      <c r="E605" s="5" t="s">
        <v>282</v>
      </c>
      <c r="F605" s="5" t="s">
        <v>89</v>
      </c>
      <c r="G605" s="5" t="s">
        <v>144</v>
      </c>
      <c r="H605" s="12">
        <v>40001806</v>
      </c>
      <c r="I605" s="42" t="str">
        <f t="shared" si="353"/>
        <v>40001806-EJECUCION</v>
      </c>
      <c r="J605" s="12"/>
      <c r="K605" s="307" t="str">
        <f t="shared" si="354"/>
        <v>40001806</v>
      </c>
      <c r="L605" s="15" t="s">
        <v>639</v>
      </c>
      <c r="M605" s="23">
        <v>90000000</v>
      </c>
      <c r="N605" s="34">
        <v>0</v>
      </c>
      <c r="O605" s="34">
        <v>5000000</v>
      </c>
      <c r="P605" s="310">
        <v>0</v>
      </c>
      <c r="Q605" s="34">
        <v>0</v>
      </c>
      <c r="R605" s="308">
        <v>0</v>
      </c>
      <c r="S605" s="34">
        <f t="shared" si="355"/>
        <v>0</v>
      </c>
      <c r="T605" s="34">
        <v>0</v>
      </c>
      <c r="U605" s="34">
        <v>0</v>
      </c>
      <c r="V605" s="34">
        <f>P605+Q605+R605+T605+U605</f>
        <v>0</v>
      </c>
      <c r="W605" s="34">
        <f>O605-V605</f>
        <v>5000000</v>
      </c>
      <c r="X605" s="34">
        <f>M605-(N605+O605)</f>
        <v>85000000</v>
      </c>
      <c r="Y605" s="48" t="s">
        <v>382</v>
      </c>
      <c r="Z605" s="48" t="s">
        <v>421</v>
      </c>
      <c r="AA605" s="2" t="e">
        <v>#N/A</v>
      </c>
      <c r="AB605" s="2" t="e">
        <f>VLOOKUP(H605,#REF!,2,FALSE)</f>
        <v>#REF!</v>
      </c>
      <c r="AC605" s="2" t="e">
        <f>VLOOKUP(I605,#REF!,2,FALSE)</f>
        <v>#REF!</v>
      </c>
      <c r="AD605" s="2" t="e">
        <f>VLOOKUP(H605,#REF!,13,FALSE)</f>
        <v>#REF!</v>
      </c>
      <c r="AE605" s="2" t="e">
        <f>VLOOKUP(I605,#REF!,7,FALSE)</f>
        <v>#REF!</v>
      </c>
      <c r="AG605" s="2" t="e">
        <f>VLOOKUP(H605,#REF!,13,FALSE)</f>
        <v>#REF!</v>
      </c>
      <c r="AH605" s="2" t="e">
        <f>VLOOKUP(I605,#REF!,2,FALSE)</f>
        <v>#REF!</v>
      </c>
      <c r="AJ605" s="185" t="e">
        <f>VLOOKUP(H605,#REF!,3,FALSE)</f>
        <v>#REF!</v>
      </c>
      <c r="AK605" s="185"/>
      <c r="AL605" s="185" t="e">
        <f>VLOOKUP(H605,#REF!,13,FALSE)</f>
        <v>#REF!</v>
      </c>
      <c r="AM605" s="185" t="e">
        <f>VLOOKUP(CLEAN(H605),#REF!,7,FALSE)</f>
        <v>#REF!</v>
      </c>
      <c r="AN605" s="2" t="e">
        <f>VLOOKUP(H605,#REF!,8,FALSE)</f>
        <v>#REF!</v>
      </c>
      <c r="AO605" s="189" t="e">
        <f>VLOOKUP(H605,#REF!,2,FALSE)</f>
        <v>#REF!</v>
      </c>
      <c r="AP605" s="189" t="e">
        <f>VLOOKUP(H605,#REF!,2,FALSE)</f>
        <v>#REF!</v>
      </c>
      <c r="AQ605" s="189"/>
      <c r="AR605" s="2" t="e">
        <f>VLOOKUP(CLEAN(H605),#REF!,2,FALSE)</f>
        <v>#REF!</v>
      </c>
      <c r="AT605" s="2" t="e">
        <f>VLOOKUP(H605,#REF!,13,FALSE)</f>
        <v>#REF!</v>
      </c>
      <c r="AU605" s="2" t="e">
        <f>VLOOKUP(H605,#REF!,13,FALSE)</f>
        <v>#REF!</v>
      </c>
      <c r="AV605" s="2" t="e">
        <f>VLOOKUP(H605,#REF!,13,FALSE)</f>
        <v>#REF!</v>
      </c>
      <c r="AW605" s="2" t="e">
        <f>VLOOKUP(H605,#REF!,13,FALSE)</f>
        <v>#REF!</v>
      </c>
      <c r="AX605" s="2" t="e">
        <f>VLOOKUP(H605,#REF!,9,FALSE)</f>
        <v>#REF!</v>
      </c>
      <c r="AZ605" s="2" t="e">
        <f>VLOOKUP(H605,#REF!,2,FALSE)</f>
        <v>#REF!</v>
      </c>
      <c r="BF605" s="189" t="e">
        <f>VLOOKUP(CLEAN(H605),#REF!,2,FALSE)</f>
        <v>#REF!</v>
      </c>
      <c r="BG605" s="189" t="e">
        <f>T605-BF605</f>
        <v>#REF!</v>
      </c>
      <c r="BO605" s="2" t="e">
        <f>VLOOKUP(H605,#REF!,13,FALSE)</f>
        <v>#REF!</v>
      </c>
      <c r="BP605" s="2" t="e">
        <f>VLOOKUP(H605,#REF!,2,FALSE)</f>
        <v>#REF!</v>
      </c>
      <c r="BQ605" s="2" t="e">
        <f>VLOOKUP(H605,#REF!,13,FALSE)</f>
        <v>#REF!</v>
      </c>
      <c r="BR605" s="2" t="e">
        <f>VLOOKUP(H605,#REF!,3,FALSE)</f>
        <v>#REF!</v>
      </c>
    </row>
    <row r="606" spans="1:70" ht="15" customHeight="1" outlineLevel="2">
      <c r="A606" s="7"/>
      <c r="B606" s="7"/>
      <c r="C606" s="7"/>
      <c r="D606" s="7"/>
      <c r="E606" s="7"/>
      <c r="F606" s="7"/>
      <c r="G606" s="7"/>
      <c r="H606" s="11"/>
      <c r="I606" s="11"/>
      <c r="J606" s="11"/>
      <c r="K606" s="11"/>
      <c r="L606" s="17" t="s">
        <v>693</v>
      </c>
      <c r="M606" s="27">
        <f t="shared" ref="M606:X606" si="356">SUBTOTAL(9,M601:M605)</f>
        <v>2096773000</v>
      </c>
      <c r="N606" s="27">
        <f t="shared" si="356"/>
        <v>0</v>
      </c>
      <c r="O606" s="27">
        <f t="shared" si="356"/>
        <v>135567500</v>
      </c>
      <c r="P606" s="24">
        <f t="shared" si="356"/>
        <v>0</v>
      </c>
      <c r="Q606" s="24">
        <f t="shared" si="356"/>
        <v>0</v>
      </c>
      <c r="R606" s="24">
        <f t="shared" si="356"/>
        <v>0</v>
      </c>
      <c r="S606" s="27">
        <f t="shared" si="356"/>
        <v>0</v>
      </c>
      <c r="T606" s="27">
        <f t="shared" si="356"/>
        <v>0</v>
      </c>
      <c r="U606" s="27">
        <f t="shared" si="356"/>
        <v>0</v>
      </c>
      <c r="V606" s="27">
        <f t="shared" si="356"/>
        <v>0</v>
      </c>
      <c r="W606" s="27">
        <f t="shared" si="356"/>
        <v>135567500</v>
      </c>
      <c r="X606" s="27">
        <f t="shared" si="356"/>
        <v>1961205500</v>
      </c>
      <c r="Y606" s="47"/>
      <c r="Z606" s="47"/>
      <c r="AM606" s="185" t="e">
        <f>VLOOKUP(CLEAN(H606),#REF!,7,FALSE)</f>
        <v>#REF!</v>
      </c>
      <c r="AO606"/>
      <c r="AP606"/>
      <c r="AQ606"/>
      <c r="AR606" s="2" t="e">
        <f>VLOOKUP(CLEAN(H606),#REF!,2,FALSE)</f>
        <v>#REF!</v>
      </c>
      <c r="AZ606" s="2" t="e">
        <f>VLOOKUP(H606,#REF!,2,FALSE)</f>
        <v>#REF!</v>
      </c>
      <c r="BO606" s="2" t="e">
        <f>VLOOKUP(H606,#REF!,13,FALSE)</f>
        <v>#REF!</v>
      </c>
      <c r="BQ606" s="2" t="e">
        <f>VLOOKUP(H606,#REF!,13,FALSE)</f>
        <v>#REF!</v>
      </c>
    </row>
    <row r="607" spans="1:70" ht="15" customHeight="1" outlineLevel="2">
      <c r="A607" s="7"/>
      <c r="B607" s="7"/>
      <c r="C607" s="7"/>
      <c r="D607" s="7"/>
      <c r="E607" s="7"/>
      <c r="F607" s="7"/>
      <c r="G607" s="7"/>
      <c r="H607" s="11"/>
      <c r="I607" s="11"/>
      <c r="J607" s="11"/>
      <c r="K607" s="11"/>
      <c r="L607" s="292"/>
      <c r="M607" s="22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47"/>
      <c r="Z607" s="47"/>
      <c r="AM607" s="185" t="e">
        <f>VLOOKUP(CLEAN(H607),#REF!,7,FALSE)</f>
        <v>#REF!</v>
      </c>
      <c r="AO607"/>
      <c r="AP607"/>
      <c r="AQ607"/>
      <c r="AR607" s="2" t="e">
        <f>VLOOKUP(CLEAN(H607),#REF!,2,FALSE)</f>
        <v>#REF!</v>
      </c>
      <c r="AZ607" s="2" t="e">
        <f>VLOOKUP(H607,#REF!,2,FALSE)</f>
        <v>#REF!</v>
      </c>
      <c r="BO607" s="2" t="e">
        <f>VLOOKUP(H607,#REF!,13,FALSE)</f>
        <v>#REF!</v>
      </c>
      <c r="BP607" s="293"/>
      <c r="BQ607" s="2" t="e">
        <f>VLOOKUP(H607,#REF!,13,FALSE)</f>
        <v>#REF!</v>
      </c>
    </row>
    <row r="608" spans="1:70" ht="18.75" customHeight="1" outlineLevel="1">
      <c r="A608" s="7"/>
      <c r="B608" s="7"/>
      <c r="C608" s="7"/>
      <c r="D608" s="7"/>
      <c r="E608" s="8"/>
      <c r="F608" s="7"/>
      <c r="G608" s="7"/>
      <c r="H608" s="11"/>
      <c r="I608" s="11"/>
      <c r="J608" s="11"/>
      <c r="K608" s="11"/>
      <c r="L608" s="45" t="s">
        <v>166</v>
      </c>
      <c r="M608" s="46">
        <f t="shared" ref="M608:X608" si="357">M606+M593+M598</f>
        <v>9381182019</v>
      </c>
      <c r="N608" s="46">
        <f t="shared" si="357"/>
        <v>6358594668</v>
      </c>
      <c r="O608" s="46">
        <f t="shared" si="357"/>
        <v>975227395</v>
      </c>
      <c r="P608" s="46">
        <f t="shared" si="357"/>
        <v>0</v>
      </c>
      <c r="Q608" s="46">
        <f t="shared" si="357"/>
        <v>0</v>
      </c>
      <c r="R608" s="46">
        <f t="shared" si="357"/>
        <v>0</v>
      </c>
      <c r="S608" s="46">
        <f t="shared" si="357"/>
        <v>0</v>
      </c>
      <c r="T608" s="46">
        <f t="shared" si="357"/>
        <v>0</v>
      </c>
      <c r="U608" s="46">
        <f t="shared" si="357"/>
        <v>0</v>
      </c>
      <c r="V608" s="46">
        <f t="shared" si="357"/>
        <v>0</v>
      </c>
      <c r="W608" s="46">
        <f t="shared" si="357"/>
        <v>975227395</v>
      </c>
      <c r="X608" s="46">
        <f t="shared" si="357"/>
        <v>2047359956</v>
      </c>
      <c r="Y608" s="47"/>
      <c r="Z608" s="47"/>
      <c r="AM608" s="185" t="e">
        <f>VLOOKUP(CLEAN(H608),#REF!,7,FALSE)</f>
        <v>#REF!</v>
      </c>
      <c r="AO608"/>
      <c r="AP608"/>
      <c r="AQ608"/>
      <c r="AR608" s="2" t="e">
        <f>VLOOKUP(CLEAN(H608),#REF!,2,FALSE)</f>
        <v>#REF!</v>
      </c>
      <c r="AZ608" s="2" t="e">
        <f>VLOOKUP(H608,#REF!,2,FALSE)</f>
        <v>#REF!</v>
      </c>
      <c r="BO608" s="2" t="e">
        <f>VLOOKUP(H608,#REF!,13,FALSE)</f>
        <v>#REF!</v>
      </c>
      <c r="BQ608" s="2" t="e">
        <f>VLOOKUP(H608,#REF!,13,FALSE)</f>
        <v>#REF!</v>
      </c>
    </row>
    <row r="609" spans="1:70" s="3" customFormat="1" ht="15" customHeight="1" outlineLevel="1">
      <c r="A609" s="7"/>
      <c r="B609" s="7"/>
      <c r="C609" s="7"/>
      <c r="D609" s="7"/>
      <c r="E609" s="8"/>
      <c r="F609" s="7"/>
      <c r="G609" s="7"/>
      <c r="H609" s="11"/>
      <c r="I609" s="11"/>
      <c r="J609" s="11"/>
      <c r="K609" s="11"/>
      <c r="L609" s="294"/>
      <c r="M609" s="26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47"/>
      <c r="Z609" s="47"/>
      <c r="AJ609" s="186"/>
      <c r="AK609" s="186"/>
      <c r="AL609" s="186"/>
      <c r="AM609" s="185" t="e">
        <f>VLOOKUP(CLEAN(H609),#REF!,7,FALSE)</f>
        <v>#REF!</v>
      </c>
      <c r="AR609" s="2" t="e">
        <f>VLOOKUP(CLEAN(H609),#REF!,2,FALSE)</f>
        <v>#REF!</v>
      </c>
      <c r="AZ609" s="2" t="e">
        <f>VLOOKUP(H609,#REF!,2,FALSE)</f>
        <v>#REF!</v>
      </c>
      <c r="BF609" s="193"/>
      <c r="BO609" s="2" t="e">
        <f>VLOOKUP(H609,#REF!,13,FALSE)</f>
        <v>#REF!</v>
      </c>
      <c r="BP609" s="7"/>
      <c r="BQ609" s="2" t="e">
        <f>VLOOKUP(H609,#REF!,13,FALSE)</f>
        <v>#REF!</v>
      </c>
    </row>
    <row r="610" spans="1:70" ht="26.25" customHeight="1" outlineLevel="1">
      <c r="A610" s="7"/>
      <c r="B610" s="7"/>
      <c r="C610" s="7"/>
      <c r="D610" s="7"/>
      <c r="E610" s="8"/>
      <c r="F610" s="7"/>
      <c r="G610" s="7"/>
      <c r="H610" s="11"/>
      <c r="I610" s="11"/>
      <c r="J610" s="11"/>
      <c r="K610" s="11"/>
      <c r="L610" s="57" t="s">
        <v>200</v>
      </c>
      <c r="M610" s="26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47"/>
      <c r="Z610" s="47"/>
      <c r="AM610" s="185" t="e">
        <f>VLOOKUP(CLEAN(H610),#REF!,7,FALSE)</f>
        <v>#REF!</v>
      </c>
      <c r="AO610"/>
      <c r="AP610"/>
      <c r="AQ610"/>
      <c r="AR610" s="2" t="e">
        <f>VLOOKUP(CLEAN(H610),#REF!,2,FALSE)</f>
        <v>#REF!</v>
      </c>
      <c r="AZ610" s="2" t="e">
        <f>VLOOKUP(H610,#REF!,2,FALSE)</f>
        <v>#REF!</v>
      </c>
      <c r="BO610" s="2" t="e">
        <f>VLOOKUP(H610,#REF!,13,FALSE)</f>
        <v>#REF!</v>
      </c>
      <c r="BQ610" s="2" t="e">
        <f>VLOOKUP(H610,#REF!,13,FALSE)</f>
        <v>#REF!</v>
      </c>
    </row>
    <row r="611" spans="1:70" ht="15" customHeight="1" outlineLevel="1">
      <c r="A611" s="7"/>
      <c r="B611" s="7"/>
      <c r="C611" s="7"/>
      <c r="D611" s="7"/>
      <c r="E611" s="8"/>
      <c r="F611" s="7"/>
      <c r="G611" s="7"/>
      <c r="H611" s="11"/>
      <c r="I611" s="11"/>
      <c r="J611" s="11"/>
      <c r="K611" s="11"/>
      <c r="L611" s="18" t="s">
        <v>695</v>
      </c>
      <c r="M611" s="26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47"/>
      <c r="Z611" s="47"/>
      <c r="AM611" s="185" t="e">
        <f>VLOOKUP(CLEAN(H611),#REF!,7,FALSE)</f>
        <v>#REF!</v>
      </c>
      <c r="AO611"/>
      <c r="AP611"/>
      <c r="AQ611"/>
      <c r="AR611" s="2" t="e">
        <f>VLOOKUP(CLEAN(H611),#REF!,2,FALSE)</f>
        <v>#REF!</v>
      </c>
      <c r="AZ611" s="2" t="e">
        <f>VLOOKUP(H611,#REF!,2,FALSE)</f>
        <v>#REF!</v>
      </c>
      <c r="BO611" s="2" t="e">
        <f>VLOOKUP(H611,#REF!,13,FALSE)</f>
        <v>#REF!</v>
      </c>
      <c r="BQ611" s="2" t="e">
        <f>VLOOKUP(H611,#REF!,13,FALSE)</f>
        <v>#REF!</v>
      </c>
    </row>
    <row r="612" spans="1:70" s="2" customFormat="1" ht="15" customHeight="1" outlineLevel="1">
      <c r="A612" s="9">
        <v>31</v>
      </c>
      <c r="B612" s="9" t="s">
        <v>5</v>
      </c>
      <c r="C612" s="9" t="s">
        <v>253</v>
      </c>
      <c r="D612" s="9" t="s">
        <v>30</v>
      </c>
      <c r="E612" s="9" t="s">
        <v>36</v>
      </c>
      <c r="F612" s="9" t="s">
        <v>89</v>
      </c>
      <c r="G612" s="5" t="s">
        <v>144</v>
      </c>
      <c r="H612" s="13">
        <v>30094005</v>
      </c>
      <c r="I612" s="42" t="str">
        <f t="shared" ref="I612:I613" si="358">CONCATENATE(H612,"-",G612)</f>
        <v>30094005-EJECUCION</v>
      </c>
      <c r="J612" s="12"/>
      <c r="K612" s="307" t="str">
        <f t="shared" ref="K612:K613" si="359">CLEAN(H612)</f>
        <v>30094005</v>
      </c>
      <c r="L612" s="19" t="s">
        <v>57</v>
      </c>
      <c r="M612" s="28">
        <v>746000000</v>
      </c>
      <c r="N612" s="34">
        <v>683623581</v>
      </c>
      <c r="O612" s="36">
        <v>55116237</v>
      </c>
      <c r="P612" s="310">
        <v>0</v>
      </c>
      <c r="Q612" s="34">
        <v>0</v>
      </c>
      <c r="R612" s="308">
        <v>38383418</v>
      </c>
      <c r="S612" s="34">
        <f t="shared" ref="S612:S613" si="360">P612+Q612+R612</f>
        <v>38383418</v>
      </c>
      <c r="T612" s="34">
        <v>732819</v>
      </c>
      <c r="U612" s="34">
        <v>0</v>
      </c>
      <c r="V612" s="34">
        <f>P612+Q612+R612+T612+U612</f>
        <v>39116237</v>
      </c>
      <c r="W612" s="34">
        <f>O612-V612</f>
        <v>16000000</v>
      </c>
      <c r="X612" s="34">
        <f>M612-(N612+O612)</f>
        <v>7260182</v>
      </c>
      <c r="Y612" s="48" t="s">
        <v>239</v>
      </c>
      <c r="Z612" s="48" t="s">
        <v>8</v>
      </c>
      <c r="AA612" s="2" t="s">
        <v>845</v>
      </c>
      <c r="AB612" s="2" t="e">
        <f>VLOOKUP(H612,#REF!,2,FALSE)</f>
        <v>#REF!</v>
      </c>
      <c r="AC612" s="2" t="e">
        <f>VLOOKUP(I612,#REF!,2,FALSE)</f>
        <v>#REF!</v>
      </c>
      <c r="AD612" s="2" t="e">
        <f>VLOOKUP(H612,#REF!,13,FALSE)</f>
        <v>#REF!</v>
      </c>
      <c r="AE612" s="2" t="e">
        <f>VLOOKUP(I612,#REF!,7,FALSE)</f>
        <v>#REF!</v>
      </c>
      <c r="AG612" s="2" t="e">
        <f>VLOOKUP(H612,#REF!,13,FALSE)</f>
        <v>#REF!</v>
      </c>
      <c r="AH612" s="2" t="e">
        <f>VLOOKUP(I612,#REF!,2,FALSE)</f>
        <v>#REF!</v>
      </c>
      <c r="AJ612" s="185" t="e">
        <f>VLOOKUP(H612,#REF!,3,FALSE)</f>
        <v>#REF!</v>
      </c>
      <c r="AK612" s="185"/>
      <c r="AL612" s="185" t="e">
        <f>VLOOKUP(H612,#REF!,13,FALSE)</f>
        <v>#REF!</v>
      </c>
      <c r="AM612" s="185" t="e">
        <f>VLOOKUP(CLEAN(H612),#REF!,7,FALSE)</f>
        <v>#REF!</v>
      </c>
      <c r="AN612" s="2" t="e">
        <f>VLOOKUP(H612,#REF!,8,FALSE)</f>
        <v>#REF!</v>
      </c>
      <c r="AO612" s="189" t="e">
        <f>VLOOKUP(H612,#REF!,2,FALSE)</f>
        <v>#REF!</v>
      </c>
      <c r="AP612" s="189" t="e">
        <f>VLOOKUP(H612,#REF!,2,FALSE)</f>
        <v>#REF!</v>
      </c>
      <c r="AQ612" s="189"/>
      <c r="AR612" s="2" t="e">
        <f>VLOOKUP(CLEAN(H612),#REF!,2,FALSE)</f>
        <v>#REF!</v>
      </c>
      <c r="AT612" s="2" t="e">
        <f>VLOOKUP(H612,#REF!,13,FALSE)</f>
        <v>#REF!</v>
      </c>
      <c r="AU612" s="2" t="e">
        <f>VLOOKUP(H612,#REF!,13,FALSE)</f>
        <v>#REF!</v>
      </c>
      <c r="AV612" s="2" t="e">
        <f>VLOOKUP(H612,#REF!,13,FALSE)</f>
        <v>#REF!</v>
      </c>
      <c r="AW612" s="2" t="e">
        <f>VLOOKUP(H612,#REF!,13,FALSE)</f>
        <v>#REF!</v>
      </c>
      <c r="AX612" s="2" t="e">
        <f>VLOOKUP(H612,#REF!,9,FALSE)</f>
        <v>#REF!</v>
      </c>
      <c r="AZ612" s="189" t="e">
        <f>VLOOKUP(H612,#REF!,2,FALSE)</f>
        <v>#REF!</v>
      </c>
      <c r="BF612" s="189" t="e">
        <f>VLOOKUP(CLEAN(H612),#REF!,2,FALSE)</f>
        <v>#REF!</v>
      </c>
      <c r="BG612" s="189" t="e">
        <f>T612-BF612</f>
        <v>#REF!</v>
      </c>
      <c r="BO612" s="2" t="e">
        <f>VLOOKUP(H612,#REF!,13,FALSE)</f>
        <v>#REF!</v>
      </c>
      <c r="BP612" s="2" t="e">
        <f>VLOOKUP(H612,#REF!,2,FALSE)</f>
        <v>#REF!</v>
      </c>
      <c r="BQ612" s="2" t="e">
        <f>VLOOKUP(H612,#REF!,13,FALSE)</f>
        <v>#REF!</v>
      </c>
      <c r="BR612" s="2" t="e">
        <f>VLOOKUP(H612,#REF!,3,FALSE)</f>
        <v>#REF!</v>
      </c>
    </row>
    <row r="613" spans="1:70" s="2" customFormat="1" ht="15" customHeight="1" outlineLevel="1">
      <c r="A613" s="9">
        <v>31</v>
      </c>
      <c r="B613" s="9" t="s">
        <v>5</v>
      </c>
      <c r="C613" s="5" t="s">
        <v>251</v>
      </c>
      <c r="D613" s="9" t="s">
        <v>30</v>
      </c>
      <c r="E613" s="9" t="s">
        <v>36</v>
      </c>
      <c r="F613" s="5" t="s">
        <v>457</v>
      </c>
      <c r="G613" s="5" t="s">
        <v>144</v>
      </c>
      <c r="H613" s="13">
        <v>30129912</v>
      </c>
      <c r="I613" s="311" t="str">
        <f t="shared" si="358"/>
        <v>30129912-EJECUCION</v>
      </c>
      <c r="J613" s="190"/>
      <c r="K613" s="309" t="str">
        <f t="shared" si="359"/>
        <v>30129912</v>
      </c>
      <c r="L613" s="19" t="s">
        <v>443</v>
      </c>
      <c r="M613" s="28">
        <v>93394000</v>
      </c>
      <c r="N613" s="34">
        <v>30129912</v>
      </c>
      <c r="O613" s="36">
        <v>33354000</v>
      </c>
      <c r="P613" s="310">
        <v>0</v>
      </c>
      <c r="Q613" s="34">
        <v>0</v>
      </c>
      <c r="R613" s="308">
        <v>0</v>
      </c>
      <c r="S613" s="34">
        <f t="shared" si="360"/>
        <v>0</v>
      </c>
      <c r="T613" s="34">
        <v>0</v>
      </c>
      <c r="U613" s="34">
        <v>0</v>
      </c>
      <c r="V613" s="34">
        <f>P613+Q613+R613+T613+U613</f>
        <v>0</v>
      </c>
      <c r="W613" s="34">
        <f>O613-V613</f>
        <v>33354000</v>
      </c>
      <c r="X613" s="34">
        <f>M613-(N613+O613)</f>
        <v>29910088</v>
      </c>
      <c r="Y613" s="48" t="s">
        <v>239</v>
      </c>
      <c r="Z613" s="48" t="s">
        <v>8</v>
      </c>
      <c r="AA613" s="2" t="s">
        <v>844</v>
      </c>
      <c r="AB613" s="2" t="e">
        <f>VLOOKUP(H613,#REF!,2,FALSE)</f>
        <v>#REF!</v>
      </c>
      <c r="AC613" s="2" t="e">
        <f>VLOOKUP(I613,#REF!,2,FALSE)</f>
        <v>#REF!</v>
      </c>
      <c r="AD613" s="2" t="e">
        <f>VLOOKUP(H613,#REF!,13,FALSE)</f>
        <v>#REF!</v>
      </c>
      <c r="AE613" s="177" t="e">
        <f>VLOOKUP(I613,#REF!,7,FALSE)</f>
        <v>#REF!</v>
      </c>
      <c r="AG613" s="2" t="e">
        <f>VLOOKUP(H613,#REF!,13,FALSE)</f>
        <v>#REF!</v>
      </c>
      <c r="AH613" s="2" t="e">
        <f>VLOOKUP(I613,#REF!,2,FALSE)</f>
        <v>#REF!</v>
      </c>
      <c r="AJ613" s="185" t="e">
        <f>VLOOKUP(H613,#REF!,3,FALSE)</f>
        <v>#REF!</v>
      </c>
      <c r="AK613" s="185"/>
      <c r="AL613" s="185" t="e">
        <f>VLOOKUP(H613,#REF!,13,FALSE)</f>
        <v>#REF!</v>
      </c>
      <c r="AM613" s="185" t="e">
        <f>VLOOKUP(CLEAN(H613),#REF!,7,FALSE)</f>
        <v>#REF!</v>
      </c>
      <c r="AN613" s="2" t="e">
        <f>VLOOKUP(H613,#REF!,8,FALSE)</f>
        <v>#REF!</v>
      </c>
      <c r="AO613" s="189" t="e">
        <f>VLOOKUP(H613,#REF!,2,FALSE)</f>
        <v>#REF!</v>
      </c>
      <c r="AP613" s="189" t="e">
        <f>VLOOKUP(H613,#REF!,2,FALSE)</f>
        <v>#REF!</v>
      </c>
      <c r="AQ613" s="189"/>
      <c r="AR613" s="2" t="e">
        <f>VLOOKUP(CLEAN(H613),#REF!,2,FALSE)</f>
        <v>#REF!</v>
      </c>
      <c r="AT613" s="2" t="e">
        <f>VLOOKUP(H613,#REF!,13,FALSE)</f>
        <v>#REF!</v>
      </c>
      <c r="AU613" s="2" t="e">
        <f>VLOOKUP(H613,#REF!,13,FALSE)</f>
        <v>#REF!</v>
      </c>
      <c r="AV613" s="2" t="e">
        <f>VLOOKUP(H613,#REF!,13,FALSE)</f>
        <v>#REF!</v>
      </c>
      <c r="AW613" s="2" t="e">
        <f>VLOOKUP(H613,#REF!,13,FALSE)</f>
        <v>#REF!</v>
      </c>
      <c r="AX613" s="2" t="e">
        <f>VLOOKUP(H613,#REF!,9,FALSE)</f>
        <v>#REF!</v>
      </c>
      <c r="AZ613" s="189" t="e">
        <f>VLOOKUP(H613,#REF!,2,FALSE)</f>
        <v>#REF!</v>
      </c>
      <c r="BF613" s="189" t="e">
        <f>VLOOKUP(CLEAN(H613),#REF!,2,FALSE)</f>
        <v>#REF!</v>
      </c>
      <c r="BG613" s="189" t="e">
        <f>T613-BF613</f>
        <v>#REF!</v>
      </c>
      <c r="BO613" s="2" t="e">
        <f>VLOOKUP(H613,#REF!,13,FALSE)</f>
        <v>#REF!</v>
      </c>
      <c r="BP613" s="2" t="e">
        <f>VLOOKUP(H613,#REF!,2,FALSE)</f>
        <v>#REF!</v>
      </c>
      <c r="BQ613" s="2" t="e">
        <f>VLOOKUP(H613,#REF!,13,FALSE)</f>
        <v>#REF!</v>
      </c>
      <c r="BR613" s="2" t="e">
        <f>VLOOKUP(H613,#REF!,3,FALSE)</f>
        <v>#REF!</v>
      </c>
    </row>
    <row r="614" spans="1:70" ht="15" customHeight="1" outlineLevel="1">
      <c r="A614" s="7"/>
      <c r="B614" s="7"/>
      <c r="C614" s="7"/>
      <c r="D614" s="7"/>
      <c r="E614" s="8"/>
      <c r="F614" s="7"/>
      <c r="G614" s="7"/>
      <c r="H614" s="11"/>
      <c r="I614" s="11"/>
      <c r="J614" s="11"/>
      <c r="K614" s="11"/>
      <c r="L614" s="17" t="s">
        <v>691</v>
      </c>
      <c r="M614" s="27">
        <f>SUBTOTAL(9,M612:M613)</f>
        <v>839394000</v>
      </c>
      <c r="N614" s="27">
        <f t="shared" ref="N614:O614" si="361">SUBTOTAL(9,N612:N613)</f>
        <v>713753493</v>
      </c>
      <c r="O614" s="27">
        <f t="shared" si="361"/>
        <v>88470237</v>
      </c>
      <c r="P614" s="27">
        <f t="shared" ref="P614:X614" si="362">SUBTOTAL(9,P612:P613)</f>
        <v>0</v>
      </c>
      <c r="Q614" s="27">
        <f t="shared" si="362"/>
        <v>0</v>
      </c>
      <c r="R614" s="27">
        <f t="shared" si="362"/>
        <v>38383418</v>
      </c>
      <c r="S614" s="27">
        <f t="shared" si="362"/>
        <v>38383418</v>
      </c>
      <c r="T614" s="27">
        <f t="shared" si="362"/>
        <v>732819</v>
      </c>
      <c r="U614" s="27">
        <f t="shared" si="362"/>
        <v>0</v>
      </c>
      <c r="V614" s="27">
        <f t="shared" si="362"/>
        <v>39116237</v>
      </c>
      <c r="W614" s="27">
        <f t="shared" si="362"/>
        <v>49354000</v>
      </c>
      <c r="X614" s="27">
        <f t="shared" si="362"/>
        <v>37170270</v>
      </c>
      <c r="Y614" s="47"/>
      <c r="Z614" s="47"/>
      <c r="AM614" s="185" t="e">
        <f>VLOOKUP(CLEAN(H614),#REF!,7,FALSE)</f>
        <v>#REF!</v>
      </c>
      <c r="AO614"/>
      <c r="AP614"/>
      <c r="AQ614"/>
      <c r="AR614" s="2" t="e">
        <f>VLOOKUP(CLEAN(H614),#REF!,2,FALSE)</f>
        <v>#REF!</v>
      </c>
      <c r="AZ614" s="2" t="e">
        <f>VLOOKUP(H614,#REF!,2,FALSE)</f>
        <v>#REF!</v>
      </c>
      <c r="BO614" s="2" t="e">
        <f>VLOOKUP(H614,#REF!,13,FALSE)</f>
        <v>#REF!</v>
      </c>
      <c r="BQ614" s="2" t="e">
        <f>VLOOKUP(H614,#REF!,13,FALSE)</f>
        <v>#REF!</v>
      </c>
    </row>
    <row r="615" spans="1:70" s="3" customFormat="1" ht="15" customHeight="1" outlineLevel="1">
      <c r="A615" s="7"/>
      <c r="B615" s="7"/>
      <c r="C615" s="7"/>
      <c r="D615" s="7"/>
      <c r="E615" s="8"/>
      <c r="F615" s="7"/>
      <c r="G615" s="7"/>
      <c r="H615" s="11"/>
      <c r="I615" s="14"/>
      <c r="J615" s="14"/>
      <c r="K615" s="14"/>
      <c r="L615" s="294"/>
      <c r="M615" s="26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47"/>
      <c r="Z615" s="47"/>
      <c r="AJ615" s="186"/>
      <c r="AK615" s="186"/>
      <c r="AL615" s="186"/>
      <c r="AM615" s="185" t="e">
        <f>VLOOKUP(CLEAN(H615),#REF!,7,FALSE)</f>
        <v>#REF!</v>
      </c>
      <c r="AR615" s="2" t="e">
        <f>VLOOKUP(CLEAN(H615),#REF!,2,FALSE)</f>
        <v>#REF!</v>
      </c>
      <c r="AZ615" s="2" t="e">
        <f>VLOOKUP(H615,#REF!,2,FALSE)</f>
        <v>#REF!</v>
      </c>
      <c r="BF615" s="193"/>
      <c r="BO615" s="2" t="e">
        <f>VLOOKUP(H615,#REF!,13,FALSE)</f>
        <v>#REF!</v>
      </c>
      <c r="BP615" s="7"/>
      <c r="BQ615" s="2" t="e">
        <f>VLOOKUP(H615,#REF!,13,FALSE)</f>
        <v>#REF!</v>
      </c>
    </row>
    <row r="616" spans="1:70" ht="15" customHeight="1" outlineLevel="1">
      <c r="A616" s="7"/>
      <c r="B616" s="7"/>
      <c r="C616" s="7"/>
      <c r="D616" s="7"/>
      <c r="E616" s="8"/>
      <c r="F616" s="7"/>
      <c r="G616" s="7"/>
      <c r="H616" s="11"/>
      <c r="I616" s="11"/>
      <c r="J616" s="11"/>
      <c r="K616" s="11"/>
      <c r="L616" s="18" t="s">
        <v>698</v>
      </c>
      <c r="M616" s="26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47"/>
      <c r="Z616" s="47"/>
      <c r="AM616" s="185" t="e">
        <f>VLOOKUP(CLEAN(H616),#REF!,7,FALSE)</f>
        <v>#REF!</v>
      </c>
      <c r="AO616"/>
      <c r="AP616"/>
      <c r="AQ616"/>
      <c r="AR616" s="2" t="e">
        <f>VLOOKUP(CLEAN(H616),#REF!,2,FALSE)</f>
        <v>#REF!</v>
      </c>
      <c r="AZ616" s="2" t="e">
        <f>VLOOKUP(H616,#REF!,2,FALSE)</f>
        <v>#REF!</v>
      </c>
      <c r="BO616" s="2" t="e">
        <f>VLOOKUP(H616,#REF!,13,FALSE)</f>
        <v>#REF!</v>
      </c>
      <c r="BQ616" s="2" t="e">
        <f>VLOOKUP(H616,#REF!,13,FALSE)</f>
        <v>#REF!</v>
      </c>
    </row>
    <row r="617" spans="1:70" s="2" customFormat="1" ht="15" customHeight="1" outlineLevel="2">
      <c r="A617" s="5">
        <v>31</v>
      </c>
      <c r="B617" s="5" t="s">
        <v>54</v>
      </c>
      <c r="C617" s="5" t="s">
        <v>248</v>
      </c>
      <c r="D617" s="5" t="s">
        <v>30</v>
      </c>
      <c r="E617" s="5" t="s">
        <v>36</v>
      </c>
      <c r="F617" s="5" t="s">
        <v>14</v>
      </c>
      <c r="G617" s="5" t="s">
        <v>144</v>
      </c>
      <c r="H617" s="12">
        <v>30395727</v>
      </c>
      <c r="I617" s="42" t="str">
        <f t="shared" ref="I617:I618" si="363">CONCATENATE(H617,"-",G617)</f>
        <v>30395727-EJECUCION</v>
      </c>
      <c r="J617" s="12"/>
      <c r="K617" s="307" t="str">
        <f t="shared" ref="K617:K618" si="364">CLEAN(H617)</f>
        <v>30395727</v>
      </c>
      <c r="L617" s="15" t="s">
        <v>285</v>
      </c>
      <c r="M617" s="23">
        <v>566452000</v>
      </c>
      <c r="N617" s="34">
        <v>0</v>
      </c>
      <c r="O617" s="34">
        <v>113290400</v>
      </c>
      <c r="P617" s="310">
        <v>0</v>
      </c>
      <c r="Q617" s="34">
        <v>0</v>
      </c>
      <c r="R617" s="308">
        <v>0</v>
      </c>
      <c r="S617" s="34">
        <f t="shared" ref="S617:S618" si="365">P617+Q617+R617</f>
        <v>0</v>
      </c>
      <c r="T617" s="34">
        <v>0</v>
      </c>
      <c r="U617" s="34">
        <v>0</v>
      </c>
      <c r="V617" s="34">
        <f>P617+Q617+R617+T617+U617</f>
        <v>0</v>
      </c>
      <c r="W617" s="34">
        <f>O617-V617</f>
        <v>113290400</v>
      </c>
      <c r="X617" s="34">
        <f>M617-(N617+O617)</f>
        <v>453161600</v>
      </c>
      <c r="Y617" s="48" t="s">
        <v>85</v>
      </c>
      <c r="Z617" s="48" t="s">
        <v>8</v>
      </c>
      <c r="AA617" s="2" t="s">
        <v>845</v>
      </c>
      <c r="AB617" s="2" t="e">
        <f>VLOOKUP(H617,#REF!,2,FALSE)</f>
        <v>#REF!</v>
      </c>
      <c r="AC617" s="2" t="e">
        <f>VLOOKUP(I617,#REF!,2,FALSE)</f>
        <v>#REF!</v>
      </c>
      <c r="AD617" s="2" t="e">
        <f>VLOOKUP(H617,#REF!,13,FALSE)</f>
        <v>#REF!</v>
      </c>
      <c r="AE617" s="2" t="e">
        <f>VLOOKUP(I617,#REF!,7,FALSE)</f>
        <v>#REF!</v>
      </c>
      <c r="AG617" s="2" t="e">
        <f>VLOOKUP(H617,#REF!,13,FALSE)</f>
        <v>#REF!</v>
      </c>
      <c r="AH617" s="2" t="e">
        <f>VLOOKUP(I617,#REF!,2,FALSE)</f>
        <v>#REF!</v>
      </c>
      <c r="AJ617" s="185" t="e">
        <f>VLOOKUP(H617,#REF!,3,FALSE)</f>
        <v>#REF!</v>
      </c>
      <c r="AK617" s="185"/>
      <c r="AL617" s="185" t="e">
        <f>VLOOKUP(H617,#REF!,13,FALSE)</f>
        <v>#REF!</v>
      </c>
      <c r="AM617" s="185" t="e">
        <f>VLOOKUP(CLEAN(H617),#REF!,7,FALSE)</f>
        <v>#REF!</v>
      </c>
      <c r="AN617" s="2" t="e">
        <f>VLOOKUP(H617,#REF!,8,FALSE)</f>
        <v>#REF!</v>
      </c>
      <c r="AO617" s="189" t="e">
        <f>VLOOKUP(H617,#REF!,2,FALSE)</f>
        <v>#REF!</v>
      </c>
      <c r="AP617" s="189" t="e">
        <f>VLOOKUP(H617,#REF!,2,FALSE)</f>
        <v>#REF!</v>
      </c>
      <c r="AQ617" s="189"/>
      <c r="AR617" s="2" t="e">
        <f>VLOOKUP(CLEAN(H617),#REF!,2,FALSE)</f>
        <v>#REF!</v>
      </c>
      <c r="AT617" s="2" t="e">
        <f>VLOOKUP(H617,#REF!,13,FALSE)</f>
        <v>#REF!</v>
      </c>
      <c r="AU617" s="2" t="e">
        <f>VLOOKUP(H617,#REF!,13,FALSE)</f>
        <v>#REF!</v>
      </c>
      <c r="AV617" s="2" t="e">
        <f>VLOOKUP(H617,#REF!,13,FALSE)</f>
        <v>#REF!</v>
      </c>
      <c r="AW617" s="2" t="e">
        <f>VLOOKUP(H617,#REF!,13,FALSE)</f>
        <v>#REF!</v>
      </c>
      <c r="AX617" s="2" t="e">
        <f>VLOOKUP(H617,#REF!,9,FALSE)</f>
        <v>#REF!</v>
      </c>
      <c r="AZ617" s="189" t="e">
        <f>VLOOKUP(H617,#REF!,2,FALSE)</f>
        <v>#REF!</v>
      </c>
      <c r="BF617" s="189" t="e">
        <f>VLOOKUP(CLEAN(H617),#REF!,2,FALSE)</f>
        <v>#REF!</v>
      </c>
      <c r="BG617" s="189" t="e">
        <f>T617-BF617</f>
        <v>#REF!</v>
      </c>
      <c r="BO617" s="2" t="e">
        <f>VLOOKUP(H617,#REF!,13,FALSE)</f>
        <v>#REF!</v>
      </c>
      <c r="BP617" s="2" t="e">
        <f>VLOOKUP(H617,#REF!,2,FALSE)</f>
        <v>#REF!</v>
      </c>
      <c r="BQ617" s="2" t="e">
        <f>VLOOKUP(H617,#REF!,13,FALSE)</f>
        <v>#REF!</v>
      </c>
      <c r="BR617" s="2" t="e">
        <f>VLOOKUP(H617,#REF!,3,FALSE)</f>
        <v>#REF!</v>
      </c>
    </row>
    <row r="618" spans="1:70" s="2" customFormat="1" ht="15" customHeight="1" outlineLevel="2">
      <c r="A618" s="5">
        <v>31</v>
      </c>
      <c r="B618" s="5" t="s">
        <v>54</v>
      </c>
      <c r="C618" s="5" t="s">
        <v>253</v>
      </c>
      <c r="D618" s="5" t="s">
        <v>30</v>
      </c>
      <c r="E618" s="5" t="s">
        <v>36</v>
      </c>
      <c r="F618" s="5" t="s">
        <v>457</v>
      </c>
      <c r="G618" s="5" t="s">
        <v>144</v>
      </c>
      <c r="H618" s="12">
        <v>30134014</v>
      </c>
      <c r="I618" s="42" t="str">
        <f t="shared" si="363"/>
        <v>30134014-EJECUCION</v>
      </c>
      <c r="J618" s="12"/>
      <c r="K618" s="307" t="str">
        <f t="shared" si="364"/>
        <v>30134014</v>
      </c>
      <c r="L618" s="15" t="s">
        <v>284</v>
      </c>
      <c r="M618" s="23">
        <v>370366000</v>
      </c>
      <c r="N618" s="34">
        <v>0</v>
      </c>
      <c r="O618" s="34">
        <v>100000000</v>
      </c>
      <c r="P618" s="310">
        <v>0</v>
      </c>
      <c r="Q618" s="34">
        <v>0</v>
      </c>
      <c r="R618" s="308">
        <v>0</v>
      </c>
      <c r="S618" s="34">
        <f t="shared" si="365"/>
        <v>0</v>
      </c>
      <c r="T618" s="34">
        <v>0</v>
      </c>
      <c r="U618" s="34">
        <v>0</v>
      </c>
      <c r="V618" s="34">
        <f>P618+Q618+R618+T618+U618</f>
        <v>0</v>
      </c>
      <c r="W618" s="34">
        <f>O618-V618</f>
        <v>100000000</v>
      </c>
      <c r="X618" s="34">
        <f>M618-(N618+O618)</f>
        <v>270366000</v>
      </c>
      <c r="Y618" s="48" t="s">
        <v>85</v>
      </c>
      <c r="Z618" s="48" t="s">
        <v>8</v>
      </c>
      <c r="AA618" s="2" t="s">
        <v>844</v>
      </c>
      <c r="AB618" s="2" t="e">
        <f>VLOOKUP(H618,#REF!,2,FALSE)</f>
        <v>#REF!</v>
      </c>
      <c r="AC618" s="2" t="e">
        <f>VLOOKUP(I618,#REF!,2,FALSE)</f>
        <v>#REF!</v>
      </c>
      <c r="AD618" s="2" t="e">
        <f>VLOOKUP(H618,#REF!,13,FALSE)</f>
        <v>#REF!</v>
      </c>
      <c r="AE618" s="2" t="e">
        <f>VLOOKUP(I618,#REF!,7,FALSE)</f>
        <v>#REF!</v>
      </c>
      <c r="AG618" s="2" t="e">
        <f>VLOOKUP(H618,#REF!,13,FALSE)</f>
        <v>#REF!</v>
      </c>
      <c r="AH618" s="2" t="e">
        <f>VLOOKUP(I618,#REF!,2,FALSE)</f>
        <v>#REF!</v>
      </c>
      <c r="AJ618" s="185" t="e">
        <f>VLOOKUP(H618,#REF!,3,FALSE)</f>
        <v>#REF!</v>
      </c>
      <c r="AK618" s="185"/>
      <c r="AL618" s="185" t="e">
        <f>VLOOKUP(H618,#REF!,13,FALSE)</f>
        <v>#REF!</v>
      </c>
      <c r="AM618" s="185" t="e">
        <f>VLOOKUP(CLEAN(H618),#REF!,7,FALSE)</f>
        <v>#REF!</v>
      </c>
      <c r="AN618" s="2" t="e">
        <f>VLOOKUP(H618,#REF!,8,FALSE)</f>
        <v>#REF!</v>
      </c>
      <c r="AO618" s="189" t="e">
        <f>VLOOKUP(H618,#REF!,2,FALSE)</f>
        <v>#REF!</v>
      </c>
      <c r="AP618" s="189" t="e">
        <f>VLOOKUP(H618,#REF!,2,FALSE)</f>
        <v>#REF!</v>
      </c>
      <c r="AQ618" s="189"/>
      <c r="AR618" s="2" t="e">
        <f>VLOOKUP(CLEAN(H618),#REF!,2,FALSE)</f>
        <v>#REF!</v>
      </c>
      <c r="AT618" s="2" t="e">
        <f>VLOOKUP(H618,#REF!,13,FALSE)</f>
        <v>#REF!</v>
      </c>
      <c r="AU618" s="2" t="e">
        <f>VLOOKUP(H618,#REF!,13,FALSE)</f>
        <v>#REF!</v>
      </c>
      <c r="AV618" s="2" t="e">
        <f>VLOOKUP(H618,#REF!,13,FALSE)</f>
        <v>#REF!</v>
      </c>
      <c r="AW618" s="2" t="e">
        <f>VLOOKUP(H618,#REF!,13,FALSE)</f>
        <v>#REF!</v>
      </c>
      <c r="AX618" s="2" t="e">
        <f>VLOOKUP(H618,#REF!,9,FALSE)</f>
        <v>#REF!</v>
      </c>
      <c r="AZ618" s="189" t="e">
        <f>VLOOKUP(H618,#REF!,2,FALSE)</f>
        <v>#REF!</v>
      </c>
      <c r="BF618" s="189" t="e">
        <f>VLOOKUP(CLEAN(H618),#REF!,2,FALSE)</f>
        <v>#REF!</v>
      </c>
      <c r="BG618" s="189" t="e">
        <f>T618-BF618</f>
        <v>#REF!</v>
      </c>
      <c r="BO618" s="2" t="e">
        <f>VLOOKUP(H618,#REF!,13,FALSE)</f>
        <v>#REF!</v>
      </c>
      <c r="BP618" s="2" t="e">
        <f>VLOOKUP(H618,#REF!,2,FALSE)</f>
        <v>#REF!</v>
      </c>
      <c r="BQ618" s="2" t="e">
        <f>VLOOKUP(H618,#REF!,13,FALSE)</f>
        <v>#REF!</v>
      </c>
      <c r="BR618" s="2" t="e">
        <f>VLOOKUP(H618,#REF!,3,FALSE)</f>
        <v>#REF!</v>
      </c>
    </row>
    <row r="619" spans="1:70" ht="15" customHeight="1" outlineLevel="2">
      <c r="A619" s="7"/>
      <c r="B619" s="7"/>
      <c r="C619" s="7"/>
      <c r="D619" s="7"/>
      <c r="E619" s="7"/>
      <c r="F619" s="7"/>
      <c r="G619" s="7"/>
      <c r="H619" s="11"/>
      <c r="I619" s="11"/>
      <c r="J619" s="11"/>
      <c r="K619" s="11"/>
      <c r="L619" s="17" t="s">
        <v>692</v>
      </c>
      <c r="M619" s="27">
        <f>SUBTOTAL(9,M617:M618)</f>
        <v>936818000</v>
      </c>
      <c r="N619" s="27">
        <f t="shared" ref="N619:O619" si="366">SUBTOTAL(9,N617:N618)</f>
        <v>0</v>
      </c>
      <c r="O619" s="27">
        <f t="shared" si="366"/>
        <v>213290400</v>
      </c>
      <c r="P619" s="24">
        <f t="shared" ref="P619:X619" si="367">SUBTOTAL(9,P617:P618)</f>
        <v>0</v>
      </c>
      <c r="Q619" s="24">
        <f t="shared" si="367"/>
        <v>0</v>
      </c>
      <c r="R619" s="24">
        <f t="shared" si="367"/>
        <v>0</v>
      </c>
      <c r="S619" s="27">
        <f t="shared" si="367"/>
        <v>0</v>
      </c>
      <c r="T619" s="27">
        <f t="shared" si="367"/>
        <v>0</v>
      </c>
      <c r="U619" s="27">
        <f t="shared" si="367"/>
        <v>0</v>
      </c>
      <c r="V619" s="27">
        <f t="shared" si="367"/>
        <v>0</v>
      </c>
      <c r="W619" s="27">
        <f t="shared" si="367"/>
        <v>213290400</v>
      </c>
      <c r="X619" s="27">
        <f t="shared" si="367"/>
        <v>723527600</v>
      </c>
      <c r="Y619" s="47"/>
      <c r="Z619" s="47"/>
      <c r="AM619" s="185" t="e">
        <f>VLOOKUP(CLEAN(H619),#REF!,7,FALSE)</f>
        <v>#REF!</v>
      </c>
      <c r="AO619"/>
      <c r="AP619"/>
      <c r="AQ619"/>
      <c r="AR619" s="2" t="e">
        <f>VLOOKUP(CLEAN(H619),#REF!,2,FALSE)</f>
        <v>#REF!</v>
      </c>
      <c r="AZ619" s="2" t="e">
        <f>VLOOKUP(H619,#REF!,2,FALSE)</f>
        <v>#REF!</v>
      </c>
      <c r="BO619" s="2" t="e">
        <f>VLOOKUP(H619,#REF!,13,FALSE)</f>
        <v>#REF!</v>
      </c>
      <c r="BQ619" s="2" t="e">
        <f>VLOOKUP(H619,#REF!,13,FALSE)</f>
        <v>#REF!</v>
      </c>
    </row>
    <row r="620" spans="1:70" ht="15" customHeight="1" outlineLevel="2">
      <c r="A620" s="7"/>
      <c r="B620" s="7"/>
      <c r="C620" s="7"/>
      <c r="D620" s="7"/>
      <c r="E620" s="7"/>
      <c r="F620" s="7"/>
      <c r="G620" s="7"/>
      <c r="H620" s="11"/>
      <c r="I620" s="11"/>
      <c r="J620" s="11"/>
      <c r="K620" s="11"/>
      <c r="L620" s="292"/>
      <c r="M620" s="22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47"/>
      <c r="Z620" s="47"/>
      <c r="AM620" s="185" t="e">
        <f>VLOOKUP(CLEAN(H620),#REF!,7,FALSE)</f>
        <v>#REF!</v>
      </c>
      <c r="AO620"/>
      <c r="AP620"/>
      <c r="AQ620"/>
      <c r="AR620" s="2" t="e">
        <f>VLOOKUP(CLEAN(H620),#REF!,2,FALSE)</f>
        <v>#REF!</v>
      </c>
      <c r="AZ620" s="2" t="e">
        <f>VLOOKUP(H620,#REF!,2,FALSE)</f>
        <v>#REF!</v>
      </c>
      <c r="BO620" s="2" t="e">
        <f>VLOOKUP(H620,#REF!,13,FALSE)</f>
        <v>#REF!</v>
      </c>
      <c r="BP620" s="293"/>
      <c r="BQ620" s="2" t="e">
        <f>VLOOKUP(H620,#REF!,13,FALSE)</f>
        <v>#REF!</v>
      </c>
    </row>
    <row r="621" spans="1:70" ht="15" customHeight="1" outlineLevel="2">
      <c r="A621" s="7"/>
      <c r="B621" s="7"/>
      <c r="C621" s="7"/>
      <c r="D621" s="7"/>
      <c r="E621" s="7"/>
      <c r="F621" s="7"/>
      <c r="G621" s="7"/>
      <c r="H621" s="11"/>
      <c r="I621" s="11"/>
      <c r="J621" s="11"/>
      <c r="K621" s="11"/>
      <c r="L621" s="18" t="s">
        <v>701</v>
      </c>
      <c r="M621" s="22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47"/>
      <c r="Z621" s="47"/>
      <c r="AM621" s="185" t="e">
        <f>VLOOKUP(CLEAN(H621),#REF!,7,FALSE)</f>
        <v>#REF!</v>
      </c>
      <c r="AO621"/>
      <c r="AP621"/>
      <c r="AQ621"/>
      <c r="AR621" s="2" t="e">
        <f>VLOOKUP(CLEAN(H621),#REF!,2,FALSE)</f>
        <v>#REF!</v>
      </c>
      <c r="AZ621" s="2" t="e">
        <f>VLOOKUP(H621,#REF!,2,FALSE)</f>
        <v>#REF!</v>
      </c>
      <c r="BO621" s="2" t="e">
        <f>VLOOKUP(H621,#REF!,13,FALSE)</f>
        <v>#REF!</v>
      </c>
      <c r="BQ621" s="2" t="e">
        <f>VLOOKUP(H621,#REF!,13,FALSE)</f>
        <v>#REF!</v>
      </c>
    </row>
    <row r="622" spans="1:70" s="2" customFormat="1" ht="15" customHeight="1" outlineLevel="2">
      <c r="A622" s="5">
        <v>29</v>
      </c>
      <c r="B622" s="5" t="s">
        <v>11</v>
      </c>
      <c r="C622" s="5" t="s">
        <v>241</v>
      </c>
      <c r="D622" s="5" t="s">
        <v>30</v>
      </c>
      <c r="E622" s="5" t="s">
        <v>36</v>
      </c>
      <c r="F622" s="5" t="s">
        <v>89</v>
      </c>
      <c r="G622" s="5" t="s">
        <v>144</v>
      </c>
      <c r="H622" s="12">
        <v>30485210</v>
      </c>
      <c r="I622" s="42" t="str">
        <f>CONCATENATE(H622,"-",G622)</f>
        <v>30485210-EJECUCION</v>
      </c>
      <c r="J622" s="12"/>
      <c r="K622" s="307" t="str">
        <f>CLEAN(H622)</f>
        <v>30485210</v>
      </c>
      <c r="L622" s="15" t="s">
        <v>512</v>
      </c>
      <c r="M622" s="23">
        <v>266381000</v>
      </c>
      <c r="N622" s="34">
        <v>0</v>
      </c>
      <c r="O622" s="34">
        <v>266381000</v>
      </c>
      <c r="P622" s="310">
        <v>0</v>
      </c>
      <c r="Q622" s="34">
        <v>0</v>
      </c>
      <c r="R622" s="308">
        <v>0</v>
      </c>
      <c r="S622" s="34">
        <f>P622+Q622+R622</f>
        <v>0</v>
      </c>
      <c r="T622" s="34">
        <v>0</v>
      </c>
      <c r="U622" s="34">
        <v>0</v>
      </c>
      <c r="V622" s="34">
        <f>P622+Q622+R622+T622+U622</f>
        <v>0</v>
      </c>
      <c r="W622" s="34">
        <f>O622-V622</f>
        <v>266381000</v>
      </c>
      <c r="X622" s="34">
        <f>M622-(N622+O622)</f>
        <v>0</v>
      </c>
      <c r="Y622" s="48" t="s">
        <v>243</v>
      </c>
      <c r="Z622" s="48" t="s">
        <v>10</v>
      </c>
      <c r="AA622" s="2" t="e">
        <v>#N/A</v>
      </c>
      <c r="AB622" s="2" t="e">
        <f>VLOOKUP(H622,#REF!,2,FALSE)</f>
        <v>#REF!</v>
      </c>
      <c r="AC622" s="2" t="e">
        <f>VLOOKUP(I622,#REF!,2,FALSE)</f>
        <v>#REF!</v>
      </c>
      <c r="AD622" s="2" t="e">
        <f>VLOOKUP(H622,#REF!,13,FALSE)</f>
        <v>#REF!</v>
      </c>
      <c r="AE622" s="2" t="e">
        <f>VLOOKUP(I622,#REF!,7,FALSE)</f>
        <v>#REF!</v>
      </c>
      <c r="AG622" s="2" t="e">
        <f>VLOOKUP(H622,#REF!,13,FALSE)</f>
        <v>#REF!</v>
      </c>
      <c r="AH622" s="2" t="e">
        <f>VLOOKUP(I622,#REF!,2,FALSE)</f>
        <v>#REF!</v>
      </c>
      <c r="AJ622" s="185" t="e">
        <f>VLOOKUP(H622,#REF!,3,FALSE)</f>
        <v>#REF!</v>
      </c>
      <c r="AK622" s="185"/>
      <c r="AL622" s="185" t="e">
        <f>VLOOKUP(H622,#REF!,13,FALSE)</f>
        <v>#REF!</v>
      </c>
      <c r="AM622" s="185" t="e">
        <f>VLOOKUP(CLEAN(H622),#REF!,7,FALSE)</f>
        <v>#REF!</v>
      </c>
      <c r="AN622" s="2" t="e">
        <f>VLOOKUP(H622,#REF!,8,FALSE)</f>
        <v>#REF!</v>
      </c>
      <c r="AO622" s="189" t="e">
        <f>VLOOKUP(H622,#REF!,2,FALSE)</f>
        <v>#REF!</v>
      </c>
      <c r="AP622" s="189" t="e">
        <f>VLOOKUP(H622,#REF!,2,FALSE)</f>
        <v>#REF!</v>
      </c>
      <c r="AQ622" s="189"/>
      <c r="AR622" s="2" t="e">
        <f>VLOOKUP(CLEAN(H622),#REF!,2,FALSE)</f>
        <v>#REF!</v>
      </c>
      <c r="AT622" s="2" t="e">
        <f>VLOOKUP(H622,#REF!,13,FALSE)</f>
        <v>#REF!</v>
      </c>
      <c r="AU622" s="2" t="e">
        <f>VLOOKUP(H622,#REF!,13,FALSE)</f>
        <v>#REF!</v>
      </c>
      <c r="AV622" s="2" t="e">
        <f>VLOOKUP(H622,#REF!,13,FALSE)</f>
        <v>#REF!</v>
      </c>
      <c r="AW622" s="2" t="e">
        <f>VLOOKUP(H622,#REF!,13,FALSE)</f>
        <v>#REF!</v>
      </c>
      <c r="AX622" s="2" t="e">
        <f>VLOOKUP(H622,#REF!,9,FALSE)</f>
        <v>#REF!</v>
      </c>
      <c r="AZ622" s="189" t="e">
        <f>VLOOKUP(H622,#REF!,2,FALSE)</f>
        <v>#REF!</v>
      </c>
      <c r="BF622" s="189" t="e">
        <f>VLOOKUP(CLEAN(H622),#REF!,2,FALSE)</f>
        <v>#REF!</v>
      </c>
      <c r="BG622" s="189" t="e">
        <f>T622-BF622</f>
        <v>#REF!</v>
      </c>
      <c r="BO622" s="2" t="e">
        <f>VLOOKUP(H622,#REF!,13,FALSE)</f>
        <v>#REF!</v>
      </c>
      <c r="BP622" s="2" t="e">
        <f>VLOOKUP(H622,#REF!,2,FALSE)</f>
        <v>#REF!</v>
      </c>
      <c r="BQ622" s="2" t="e">
        <f>VLOOKUP(H622,#REF!,13,FALSE)</f>
        <v>#REF!</v>
      </c>
      <c r="BR622" s="2" t="e">
        <f>VLOOKUP(H622,#REF!,3,FALSE)</f>
        <v>#REF!</v>
      </c>
    </row>
    <row r="623" spans="1:70" ht="15" customHeight="1" outlineLevel="2">
      <c r="A623" s="7"/>
      <c r="B623" s="7"/>
      <c r="C623" s="7"/>
      <c r="D623" s="7"/>
      <c r="E623" s="7"/>
      <c r="F623" s="7"/>
      <c r="G623" s="7"/>
      <c r="H623" s="11"/>
      <c r="I623" s="11"/>
      <c r="J623" s="11"/>
      <c r="K623" s="11"/>
      <c r="L623" s="17" t="s">
        <v>702</v>
      </c>
      <c r="M623" s="27">
        <f>SUBTOTAL(9,M622)</f>
        <v>266381000</v>
      </c>
      <c r="N623" s="27">
        <f t="shared" ref="N623:O623" si="368">SUBTOTAL(9,N622)</f>
        <v>0</v>
      </c>
      <c r="O623" s="27">
        <f t="shared" si="368"/>
        <v>266381000</v>
      </c>
      <c r="P623" s="24">
        <f t="shared" ref="P623:X623" si="369">SUBTOTAL(9,P622)</f>
        <v>0</v>
      </c>
      <c r="Q623" s="24">
        <f t="shared" si="369"/>
        <v>0</v>
      </c>
      <c r="R623" s="24">
        <f t="shared" si="369"/>
        <v>0</v>
      </c>
      <c r="S623" s="27">
        <f t="shared" si="369"/>
        <v>0</v>
      </c>
      <c r="T623" s="27">
        <f t="shared" si="369"/>
        <v>0</v>
      </c>
      <c r="U623" s="27">
        <f t="shared" si="369"/>
        <v>0</v>
      </c>
      <c r="V623" s="27">
        <f t="shared" si="369"/>
        <v>0</v>
      </c>
      <c r="W623" s="27">
        <f t="shared" si="369"/>
        <v>266381000</v>
      </c>
      <c r="X623" s="27">
        <f t="shared" si="369"/>
        <v>0</v>
      </c>
      <c r="Y623" s="47"/>
      <c r="Z623" s="47"/>
      <c r="AM623" s="185" t="e">
        <f>VLOOKUP(CLEAN(H623),#REF!,7,FALSE)</f>
        <v>#REF!</v>
      </c>
      <c r="AO623"/>
      <c r="AP623"/>
      <c r="AQ623"/>
      <c r="AR623" s="2" t="e">
        <f>VLOOKUP(CLEAN(H623),#REF!,2,FALSE)</f>
        <v>#REF!</v>
      </c>
      <c r="AZ623" s="2" t="e">
        <f>VLOOKUP(H623,#REF!,2,FALSE)</f>
        <v>#REF!</v>
      </c>
      <c r="BO623" s="2" t="e">
        <f>VLOOKUP(H623,#REF!,13,FALSE)</f>
        <v>#REF!</v>
      </c>
      <c r="BQ623" s="2" t="e">
        <f>VLOOKUP(H623,#REF!,13,FALSE)</f>
        <v>#REF!</v>
      </c>
    </row>
    <row r="624" spans="1:70" ht="15" customHeight="1" outlineLevel="2">
      <c r="A624" s="7"/>
      <c r="B624" s="7"/>
      <c r="C624" s="7"/>
      <c r="D624" s="7"/>
      <c r="E624" s="7"/>
      <c r="F624" s="7"/>
      <c r="G624" s="7"/>
      <c r="H624" s="11"/>
      <c r="I624" s="11"/>
      <c r="J624" s="11"/>
      <c r="K624" s="11"/>
      <c r="L624" s="292"/>
      <c r="M624" s="22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47"/>
      <c r="Z624" s="47"/>
      <c r="AM624" s="185" t="e">
        <f>VLOOKUP(CLEAN(H624),#REF!,7,FALSE)</f>
        <v>#REF!</v>
      </c>
      <c r="AO624"/>
      <c r="AP624"/>
      <c r="AQ624"/>
      <c r="AR624" s="2" t="e">
        <f>VLOOKUP(CLEAN(H624),#REF!,2,FALSE)</f>
        <v>#REF!</v>
      </c>
      <c r="AZ624" s="2" t="e">
        <f>VLOOKUP(H624,#REF!,2,FALSE)</f>
        <v>#REF!</v>
      </c>
      <c r="BO624" s="2" t="e">
        <f>VLOOKUP(H624,#REF!,13,FALSE)</f>
        <v>#REF!</v>
      </c>
      <c r="BP624" s="293"/>
      <c r="BQ624" s="2" t="e">
        <f>VLOOKUP(H624,#REF!,13,FALSE)</f>
        <v>#REF!</v>
      </c>
    </row>
    <row r="625" spans="1:70" ht="15" customHeight="1" outlineLevel="2">
      <c r="A625" s="7"/>
      <c r="B625" s="7"/>
      <c r="C625" s="7"/>
      <c r="D625" s="7"/>
      <c r="E625" s="7"/>
      <c r="F625" s="7"/>
      <c r="G625" s="7"/>
      <c r="H625" s="11"/>
      <c r="I625" s="11"/>
      <c r="J625" s="11"/>
      <c r="K625" s="11"/>
      <c r="L625" s="18" t="s">
        <v>696</v>
      </c>
      <c r="M625" s="22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47"/>
      <c r="Z625" s="47"/>
      <c r="AO625"/>
      <c r="AP625"/>
      <c r="AQ625"/>
      <c r="AR625" s="2" t="e">
        <f>VLOOKUP(CLEAN(H625),#REF!,2,FALSE)</f>
        <v>#REF!</v>
      </c>
      <c r="AZ625" s="2" t="e">
        <f>VLOOKUP(H625,#REF!,2,FALSE)</f>
        <v>#REF!</v>
      </c>
      <c r="BO625" s="2" t="e">
        <f>VLOOKUP(H625,#REF!,13,FALSE)</f>
        <v>#REF!</v>
      </c>
      <c r="BQ625" s="2" t="e">
        <f>VLOOKUP(H625,#REF!,13,FALSE)</f>
        <v>#REF!</v>
      </c>
    </row>
    <row r="626" spans="1:70" s="2" customFormat="1" ht="15" customHeight="1" outlineLevel="2">
      <c r="A626" s="5">
        <v>29</v>
      </c>
      <c r="B626" s="5" t="s">
        <v>11</v>
      </c>
      <c r="C626" s="5" t="s">
        <v>251</v>
      </c>
      <c r="D626" s="5" t="s">
        <v>30</v>
      </c>
      <c r="E626" s="5" t="s">
        <v>36</v>
      </c>
      <c r="F626" s="5" t="s">
        <v>13</v>
      </c>
      <c r="G626" s="5" t="s">
        <v>144</v>
      </c>
      <c r="H626" s="12">
        <v>30438574</v>
      </c>
      <c r="I626" s="42" t="str">
        <f t="shared" ref="I626:I630" si="370">CONCATENATE(H626,"-",G626)</f>
        <v>30438574-EJECUCION</v>
      </c>
      <c r="J626" s="12"/>
      <c r="K626" s="307" t="str">
        <f t="shared" ref="K626:K630" si="371">CLEAN(H626)</f>
        <v>30438574</v>
      </c>
      <c r="L626" s="15" t="s">
        <v>409</v>
      </c>
      <c r="M626" s="23">
        <v>348663000</v>
      </c>
      <c r="N626" s="34">
        <v>0</v>
      </c>
      <c r="O626" s="34">
        <v>30000000</v>
      </c>
      <c r="P626" s="310">
        <v>0</v>
      </c>
      <c r="Q626" s="34">
        <v>0</v>
      </c>
      <c r="R626" s="308">
        <v>0</v>
      </c>
      <c r="S626" s="34">
        <f t="shared" ref="S626:S630" si="372">P626+Q626+R626</f>
        <v>0</v>
      </c>
      <c r="T626" s="34">
        <v>0</v>
      </c>
      <c r="U626" s="34">
        <v>0</v>
      </c>
      <c r="V626" s="34">
        <f>P626+Q626+R626+T626+U626</f>
        <v>0</v>
      </c>
      <c r="W626" s="34">
        <f>O626-V626</f>
        <v>30000000</v>
      </c>
      <c r="X626" s="34">
        <f>M626-(N626+O626)</f>
        <v>318663000</v>
      </c>
      <c r="Y626" s="48" t="s">
        <v>420</v>
      </c>
      <c r="Z626" s="48" t="s">
        <v>10</v>
      </c>
      <c r="AA626" s="2" t="e">
        <v>#N/A</v>
      </c>
      <c r="AB626" s="2" t="e">
        <f>VLOOKUP(H626,#REF!,2,FALSE)</f>
        <v>#REF!</v>
      </c>
      <c r="AC626" s="2" t="e">
        <f>VLOOKUP(I626,#REF!,2,FALSE)</f>
        <v>#REF!</v>
      </c>
      <c r="AD626" s="2" t="e">
        <f>VLOOKUP(H626,#REF!,13,FALSE)</f>
        <v>#REF!</v>
      </c>
      <c r="AE626" s="2" t="e">
        <f>VLOOKUP(I626,#REF!,7,FALSE)</f>
        <v>#REF!</v>
      </c>
      <c r="AG626" s="2" t="e">
        <f>VLOOKUP(H626,#REF!,13,FALSE)</f>
        <v>#REF!</v>
      </c>
      <c r="AH626" s="2" t="e">
        <f>VLOOKUP(I626,#REF!,2,FALSE)</f>
        <v>#REF!</v>
      </c>
      <c r="AJ626" s="185" t="e">
        <f>VLOOKUP(H626,#REF!,3,FALSE)</f>
        <v>#REF!</v>
      </c>
      <c r="AK626" s="185"/>
      <c r="AL626" s="185" t="e">
        <f>VLOOKUP(H626,#REF!,13,FALSE)</f>
        <v>#REF!</v>
      </c>
      <c r="AM626" s="185" t="e">
        <f>VLOOKUP(CLEAN(H626),#REF!,7,FALSE)</f>
        <v>#REF!</v>
      </c>
      <c r="AN626" s="2" t="e">
        <f>VLOOKUP(H626,#REF!,8,FALSE)</f>
        <v>#REF!</v>
      </c>
      <c r="AO626" s="189" t="e">
        <f>VLOOKUP(H626,#REF!,2,FALSE)</f>
        <v>#REF!</v>
      </c>
      <c r="AP626" s="189" t="e">
        <f>VLOOKUP(H626,#REF!,2,FALSE)</f>
        <v>#REF!</v>
      </c>
      <c r="AQ626" s="189"/>
      <c r="AR626" s="2" t="e">
        <f>VLOOKUP(CLEAN(H626),#REF!,2,FALSE)</f>
        <v>#REF!</v>
      </c>
      <c r="AT626" s="2" t="e">
        <f>VLOOKUP(H626,#REF!,13,FALSE)</f>
        <v>#REF!</v>
      </c>
      <c r="AU626" s="2" t="e">
        <f>VLOOKUP(H626,#REF!,13,FALSE)</f>
        <v>#REF!</v>
      </c>
      <c r="AV626" s="2" t="e">
        <f>VLOOKUP(H626,#REF!,13,FALSE)</f>
        <v>#REF!</v>
      </c>
      <c r="AW626" s="2" t="e">
        <f>VLOOKUP(H626,#REF!,13,FALSE)</f>
        <v>#REF!</v>
      </c>
      <c r="AX626" s="2" t="e">
        <f>VLOOKUP(H626,#REF!,9,FALSE)</f>
        <v>#REF!</v>
      </c>
      <c r="AZ626" s="2" t="e">
        <f>VLOOKUP(H626,#REF!,2,FALSE)</f>
        <v>#REF!</v>
      </c>
      <c r="BF626" s="189" t="e">
        <f>VLOOKUP(CLEAN(H626),#REF!,2,FALSE)</f>
        <v>#REF!</v>
      </c>
      <c r="BG626" s="189" t="e">
        <f>T626-BF626</f>
        <v>#REF!</v>
      </c>
      <c r="BO626" s="2" t="e">
        <f>VLOOKUP(H626,#REF!,13,FALSE)</f>
        <v>#REF!</v>
      </c>
      <c r="BP626" s="2" t="e">
        <f>VLOOKUP(H626,#REF!,2,FALSE)</f>
        <v>#REF!</v>
      </c>
      <c r="BQ626" s="2" t="e">
        <f>VLOOKUP(H626,#REF!,13,FALSE)</f>
        <v>#REF!</v>
      </c>
      <c r="BR626" s="2" t="e">
        <f>VLOOKUP(H626,#REF!,3,FALSE)</f>
        <v>#REF!</v>
      </c>
    </row>
    <row r="627" spans="1:70" s="2" customFormat="1" ht="15" customHeight="1" outlineLevel="2">
      <c r="A627" s="5">
        <v>31</v>
      </c>
      <c r="B627" s="5" t="s">
        <v>11</v>
      </c>
      <c r="C627" s="5" t="s">
        <v>238</v>
      </c>
      <c r="D627" s="5" t="s">
        <v>30</v>
      </c>
      <c r="E627" s="5" t="s">
        <v>36</v>
      </c>
      <c r="F627" s="5" t="s">
        <v>6</v>
      </c>
      <c r="G627" s="5" t="s">
        <v>144</v>
      </c>
      <c r="H627" s="12">
        <v>30134013</v>
      </c>
      <c r="I627" s="42" t="str">
        <f t="shared" si="370"/>
        <v>30134013-EJECUCION</v>
      </c>
      <c r="J627" s="12"/>
      <c r="K627" s="307" t="str">
        <f t="shared" si="371"/>
        <v>30134013</v>
      </c>
      <c r="L627" s="15" t="s">
        <v>524</v>
      </c>
      <c r="M627" s="23">
        <v>695821000</v>
      </c>
      <c r="N627" s="34">
        <v>0</v>
      </c>
      <c r="O627" s="34">
        <v>0</v>
      </c>
      <c r="P627" s="310">
        <v>0</v>
      </c>
      <c r="Q627" s="34">
        <v>0</v>
      </c>
      <c r="R627" s="308">
        <v>0</v>
      </c>
      <c r="S627" s="34">
        <f t="shared" si="372"/>
        <v>0</v>
      </c>
      <c r="T627" s="34">
        <v>0</v>
      </c>
      <c r="U627" s="34">
        <v>0</v>
      </c>
      <c r="V627" s="34">
        <f>P627+Q627+R627+T627+U627</f>
        <v>0</v>
      </c>
      <c r="W627" s="34">
        <f>O627-V627</f>
        <v>0</v>
      </c>
      <c r="X627" s="34">
        <f>M627-(N627+O627)</f>
        <v>695821000</v>
      </c>
      <c r="Y627" s="48" t="s">
        <v>246</v>
      </c>
      <c r="Z627" s="48" t="s">
        <v>357</v>
      </c>
      <c r="AA627" s="2" t="e">
        <v>#N/A</v>
      </c>
      <c r="AB627" s="2" t="e">
        <f>VLOOKUP(H627,#REF!,2,FALSE)</f>
        <v>#REF!</v>
      </c>
      <c r="AC627" s="2" t="e">
        <f>VLOOKUP(I627,#REF!,2,FALSE)</f>
        <v>#REF!</v>
      </c>
      <c r="AD627" s="2" t="e">
        <f>VLOOKUP(H627,#REF!,13,FALSE)</f>
        <v>#REF!</v>
      </c>
      <c r="AE627" s="2" t="e">
        <f>VLOOKUP(I627,#REF!,7,FALSE)</f>
        <v>#REF!</v>
      </c>
      <c r="AG627" s="2" t="e">
        <f>VLOOKUP(H627,#REF!,13,FALSE)</f>
        <v>#REF!</v>
      </c>
      <c r="AH627" s="2" t="e">
        <f>VLOOKUP(I627,#REF!,2,FALSE)</f>
        <v>#REF!</v>
      </c>
      <c r="AJ627" s="185" t="e">
        <f>VLOOKUP(H627,#REF!,3,FALSE)</f>
        <v>#REF!</v>
      </c>
      <c r="AK627" s="185"/>
      <c r="AL627" s="185" t="e">
        <f>VLOOKUP(H627,#REF!,13,FALSE)</f>
        <v>#REF!</v>
      </c>
      <c r="AM627" s="185" t="e">
        <f>VLOOKUP(CLEAN(H627),#REF!,7,FALSE)</f>
        <v>#REF!</v>
      </c>
      <c r="AN627" s="2" t="e">
        <f>VLOOKUP(H627,#REF!,8,FALSE)</f>
        <v>#REF!</v>
      </c>
      <c r="AO627" s="189" t="e">
        <f>VLOOKUP(H627,#REF!,2,FALSE)</f>
        <v>#REF!</v>
      </c>
      <c r="AP627" s="189" t="e">
        <f>VLOOKUP(H627,#REF!,2,FALSE)</f>
        <v>#REF!</v>
      </c>
      <c r="AQ627" s="189"/>
      <c r="AR627" s="2" t="e">
        <f>VLOOKUP(CLEAN(H627),#REF!,2,FALSE)</f>
        <v>#REF!</v>
      </c>
      <c r="AT627" s="2" t="e">
        <f>VLOOKUP(H627,#REF!,13,FALSE)</f>
        <v>#REF!</v>
      </c>
      <c r="AU627" s="2" t="e">
        <f>VLOOKUP(H627,#REF!,13,FALSE)</f>
        <v>#REF!</v>
      </c>
      <c r="AV627" s="2" t="e">
        <f>VLOOKUP(H627,#REF!,13,FALSE)</f>
        <v>#REF!</v>
      </c>
      <c r="AW627" s="2" t="e">
        <f>VLOOKUP(H627,#REF!,13,FALSE)</f>
        <v>#REF!</v>
      </c>
      <c r="AX627" s="2" t="e">
        <f>VLOOKUP(H627,#REF!,9,FALSE)</f>
        <v>#REF!</v>
      </c>
      <c r="AZ627" s="2" t="e">
        <f>VLOOKUP(H627,#REF!,2,FALSE)</f>
        <v>#REF!</v>
      </c>
      <c r="BF627" s="189" t="e">
        <f>VLOOKUP(CLEAN(H627),#REF!,2,FALSE)</f>
        <v>#REF!</v>
      </c>
      <c r="BG627" s="189" t="e">
        <f>T627-BF627</f>
        <v>#REF!</v>
      </c>
      <c r="BO627" s="2" t="e">
        <f>VLOOKUP(H627,#REF!,13,FALSE)</f>
        <v>#REF!</v>
      </c>
      <c r="BP627" s="2" t="e">
        <f>VLOOKUP(H627,#REF!,2,FALSE)</f>
        <v>#REF!</v>
      </c>
      <c r="BQ627" s="2" t="e">
        <f>VLOOKUP(H627,#REF!,13,FALSE)</f>
        <v>#REF!</v>
      </c>
      <c r="BR627" s="2" t="e">
        <f>VLOOKUP(H627,#REF!,3,FALSE)</f>
        <v>#REF!</v>
      </c>
    </row>
    <row r="628" spans="1:70" s="2" customFormat="1" ht="15" customHeight="1" outlineLevel="2">
      <c r="A628" s="5">
        <v>31</v>
      </c>
      <c r="B628" s="5" t="s">
        <v>11</v>
      </c>
      <c r="C628" s="5" t="s">
        <v>248</v>
      </c>
      <c r="D628" s="5" t="s">
        <v>30</v>
      </c>
      <c r="E628" s="5" t="s">
        <v>36</v>
      </c>
      <c r="F628" s="5" t="s">
        <v>14</v>
      </c>
      <c r="G628" s="5" t="s">
        <v>144</v>
      </c>
      <c r="H628" s="12">
        <v>30485152</v>
      </c>
      <c r="I628" s="42" t="str">
        <f t="shared" si="370"/>
        <v>30485152-EJECUCION</v>
      </c>
      <c r="J628" s="12"/>
      <c r="K628" s="307" t="str">
        <f t="shared" si="371"/>
        <v>30485152</v>
      </c>
      <c r="L628" s="15" t="s">
        <v>835</v>
      </c>
      <c r="M628" s="23">
        <v>279810000</v>
      </c>
      <c r="N628" s="34">
        <v>0</v>
      </c>
      <c r="O628" s="34">
        <v>13990500</v>
      </c>
      <c r="P628" s="310">
        <v>0</v>
      </c>
      <c r="Q628" s="34">
        <v>0</v>
      </c>
      <c r="R628" s="308">
        <v>0</v>
      </c>
      <c r="S628" s="34">
        <f t="shared" si="372"/>
        <v>0</v>
      </c>
      <c r="T628" s="34">
        <v>0</v>
      </c>
      <c r="U628" s="34">
        <v>0</v>
      </c>
      <c r="V628" s="34">
        <f>P628+Q628+R628+T628+U628</f>
        <v>0</v>
      </c>
      <c r="W628" s="34">
        <f>O628-V628</f>
        <v>13990500</v>
      </c>
      <c r="X628" s="34">
        <f>M628-(N628+O628)</f>
        <v>265819500</v>
      </c>
      <c r="Y628" s="48" t="s">
        <v>246</v>
      </c>
      <c r="Z628" s="48" t="s">
        <v>357</v>
      </c>
      <c r="AA628" s="2" t="e">
        <v>#N/A</v>
      </c>
      <c r="AB628" s="2" t="e">
        <f>VLOOKUP(H628,#REF!,2,FALSE)</f>
        <v>#REF!</v>
      </c>
      <c r="AC628" s="2" t="e">
        <f>VLOOKUP(I628,#REF!,2,FALSE)</f>
        <v>#REF!</v>
      </c>
      <c r="AD628" s="2" t="e">
        <f>VLOOKUP(H628,#REF!,13,FALSE)</f>
        <v>#REF!</v>
      </c>
      <c r="AE628" s="2" t="e">
        <f>VLOOKUP(I628,#REF!,7,FALSE)</f>
        <v>#REF!</v>
      </c>
      <c r="AG628" s="2" t="e">
        <f>VLOOKUP(H628,#REF!,13,FALSE)</f>
        <v>#REF!</v>
      </c>
      <c r="AH628" s="2" t="e">
        <f>VLOOKUP(I628,#REF!,2,FALSE)</f>
        <v>#REF!</v>
      </c>
      <c r="AJ628" s="185" t="e">
        <f>VLOOKUP(H628,#REF!,3,FALSE)</f>
        <v>#REF!</v>
      </c>
      <c r="AK628" s="185"/>
      <c r="AL628" s="185" t="e">
        <f>VLOOKUP(H628,#REF!,13,FALSE)</f>
        <v>#REF!</v>
      </c>
      <c r="AM628" s="185" t="e">
        <f>VLOOKUP(CLEAN(H628),#REF!,7,FALSE)</f>
        <v>#REF!</v>
      </c>
      <c r="AN628" s="2" t="e">
        <f>VLOOKUP(H628,#REF!,8,FALSE)</f>
        <v>#REF!</v>
      </c>
      <c r="AO628" s="189" t="e">
        <f>VLOOKUP(H628,#REF!,2,FALSE)</f>
        <v>#REF!</v>
      </c>
      <c r="AP628" s="189" t="e">
        <f>VLOOKUP(H628,#REF!,2,FALSE)</f>
        <v>#REF!</v>
      </c>
      <c r="AQ628" s="189"/>
      <c r="AR628" s="2" t="e">
        <f>VLOOKUP(CLEAN(H628),#REF!,2,FALSE)</f>
        <v>#REF!</v>
      </c>
      <c r="AT628" s="2" t="e">
        <f>VLOOKUP(H628,#REF!,13,FALSE)</f>
        <v>#REF!</v>
      </c>
      <c r="AU628" s="2" t="e">
        <f>VLOOKUP(H628,#REF!,13,FALSE)</f>
        <v>#REF!</v>
      </c>
      <c r="AV628" s="2" t="e">
        <f>VLOOKUP(H628,#REF!,13,FALSE)</f>
        <v>#REF!</v>
      </c>
      <c r="AW628" s="2" t="e">
        <f>VLOOKUP(H628,#REF!,13,FALSE)</f>
        <v>#REF!</v>
      </c>
      <c r="AX628" s="2" t="e">
        <f>VLOOKUP(H628,#REF!,9,FALSE)</f>
        <v>#REF!</v>
      </c>
      <c r="AZ628" s="2" t="e">
        <f>VLOOKUP(H628,#REF!,2,FALSE)</f>
        <v>#REF!</v>
      </c>
      <c r="BF628" s="189" t="e">
        <f>VLOOKUP(CLEAN(H628),#REF!,2,FALSE)</f>
        <v>#REF!</v>
      </c>
      <c r="BG628" s="189" t="e">
        <f>T628-BF628</f>
        <v>#REF!</v>
      </c>
      <c r="BO628" s="2" t="e">
        <f>VLOOKUP(H628,#REF!,13,FALSE)</f>
        <v>#REF!</v>
      </c>
      <c r="BP628" s="2" t="e">
        <f>VLOOKUP(H628,#REF!,2,FALSE)</f>
        <v>#REF!</v>
      </c>
      <c r="BQ628" s="2" t="e">
        <f>VLOOKUP(H628,#REF!,13,FALSE)</f>
        <v>#REF!</v>
      </c>
      <c r="BR628" s="2" t="e">
        <f>VLOOKUP(H628,#REF!,3,FALSE)</f>
        <v>#REF!</v>
      </c>
    </row>
    <row r="629" spans="1:70" s="2" customFormat="1" ht="15" customHeight="1" outlineLevel="2">
      <c r="A629" s="5">
        <v>29</v>
      </c>
      <c r="B629" s="5" t="s">
        <v>11</v>
      </c>
      <c r="C629" s="5" t="s">
        <v>251</v>
      </c>
      <c r="D629" s="5" t="s">
        <v>30</v>
      </c>
      <c r="E629" s="5" t="s">
        <v>36</v>
      </c>
      <c r="F629" s="5" t="s">
        <v>457</v>
      </c>
      <c r="G629" s="5" t="s">
        <v>144</v>
      </c>
      <c r="H629" s="12">
        <v>30133287</v>
      </c>
      <c r="I629" s="42"/>
      <c r="J629" s="12"/>
      <c r="K629" s="307"/>
      <c r="L629" s="15" t="s">
        <v>1004</v>
      </c>
      <c r="M629" s="23">
        <v>428801000</v>
      </c>
      <c r="N629" s="34">
        <v>0</v>
      </c>
      <c r="O629" s="34">
        <v>0</v>
      </c>
      <c r="P629" s="310">
        <v>0</v>
      </c>
      <c r="Q629" s="34">
        <v>0</v>
      </c>
      <c r="R629" s="308">
        <v>0</v>
      </c>
      <c r="S629" s="34">
        <f t="shared" si="372"/>
        <v>0</v>
      </c>
      <c r="T629" s="34">
        <v>0</v>
      </c>
      <c r="U629" s="34">
        <v>0</v>
      </c>
      <c r="V629" s="34">
        <f>P629+Q629+R629+T629+U629</f>
        <v>0</v>
      </c>
      <c r="W629" s="34">
        <f>O629-V629</f>
        <v>0</v>
      </c>
      <c r="X629" s="34">
        <f>M629-(N629+O629)</f>
        <v>428801000</v>
      </c>
      <c r="Y629" s="48" t="s">
        <v>247</v>
      </c>
      <c r="Z629" s="48" t="s">
        <v>10</v>
      </c>
      <c r="AJ629" s="185"/>
      <c r="AK629" s="185"/>
      <c r="AL629" s="185"/>
      <c r="AM629" s="185"/>
      <c r="AO629" s="189"/>
      <c r="AP629" s="189"/>
      <c r="AQ629" s="189"/>
      <c r="BF629" s="189"/>
      <c r="BG629" s="189"/>
      <c r="BP629" s="2" t="e">
        <f>VLOOKUP(H629,#REF!,2,FALSE)</f>
        <v>#REF!</v>
      </c>
      <c r="BQ629" s="2" t="e">
        <f>VLOOKUP(H629,#REF!,13,FALSE)</f>
        <v>#REF!</v>
      </c>
      <c r="BR629" s="2" t="e">
        <f>VLOOKUP(H629,#REF!,3,FALSE)</f>
        <v>#REF!</v>
      </c>
    </row>
    <row r="630" spans="1:70" s="2" customFormat="1" ht="15" customHeight="1" outlineLevel="2">
      <c r="A630" s="5">
        <v>31</v>
      </c>
      <c r="B630" s="5" t="s">
        <v>11</v>
      </c>
      <c r="C630" s="5" t="s">
        <v>253</v>
      </c>
      <c r="D630" s="5" t="s">
        <v>30</v>
      </c>
      <c r="E630" s="5" t="s">
        <v>36</v>
      </c>
      <c r="F630" s="5" t="s">
        <v>457</v>
      </c>
      <c r="G630" s="5" t="s">
        <v>9</v>
      </c>
      <c r="H630" s="12">
        <v>40001662</v>
      </c>
      <c r="I630" s="42" t="str">
        <f t="shared" si="370"/>
        <v>40001662-DISEÑO</v>
      </c>
      <c r="J630" s="12"/>
      <c r="K630" s="307" t="str">
        <f t="shared" si="371"/>
        <v>40001662</v>
      </c>
      <c r="L630" s="15" t="s">
        <v>502</v>
      </c>
      <c r="M630" s="23">
        <v>30000000</v>
      </c>
      <c r="N630" s="34">
        <v>0</v>
      </c>
      <c r="O630" s="34">
        <v>3000000</v>
      </c>
      <c r="P630" s="310">
        <v>0</v>
      </c>
      <c r="Q630" s="34">
        <v>0</v>
      </c>
      <c r="R630" s="308">
        <v>0</v>
      </c>
      <c r="S630" s="34">
        <f t="shared" si="372"/>
        <v>0</v>
      </c>
      <c r="T630" s="34">
        <v>0</v>
      </c>
      <c r="U630" s="34">
        <v>0</v>
      </c>
      <c r="V630" s="34">
        <f>P630+Q630+R630+T630+U630</f>
        <v>0</v>
      </c>
      <c r="W630" s="34">
        <f>O630-V630</f>
        <v>3000000</v>
      </c>
      <c r="X630" s="34">
        <f>M630-(N630+O630)</f>
        <v>27000000</v>
      </c>
      <c r="Y630" s="48" t="s">
        <v>382</v>
      </c>
      <c r="Z630" s="48" t="s">
        <v>357</v>
      </c>
      <c r="AA630" s="2" t="e">
        <v>#N/A</v>
      </c>
      <c r="AB630" s="2" t="e">
        <f>VLOOKUP(H630,#REF!,2,FALSE)</f>
        <v>#REF!</v>
      </c>
      <c r="AC630" s="2" t="e">
        <f>VLOOKUP(I630,#REF!,2,FALSE)</f>
        <v>#REF!</v>
      </c>
      <c r="AD630" s="2" t="e">
        <f>VLOOKUP(H630,#REF!,13,FALSE)</f>
        <v>#REF!</v>
      </c>
      <c r="AE630" s="2" t="e">
        <f>VLOOKUP(I630,#REF!,7,FALSE)</f>
        <v>#REF!</v>
      </c>
      <c r="AG630" s="2" t="e">
        <f>VLOOKUP(H630,#REF!,13,FALSE)</f>
        <v>#REF!</v>
      </c>
      <c r="AH630" s="2" t="e">
        <f>VLOOKUP(I630,#REF!,2,FALSE)</f>
        <v>#REF!</v>
      </c>
      <c r="AJ630" s="185" t="e">
        <f>VLOOKUP(H630,#REF!,3,FALSE)</f>
        <v>#REF!</v>
      </c>
      <c r="AK630" s="185"/>
      <c r="AL630" s="185" t="e">
        <f>VLOOKUP(H630,#REF!,13,FALSE)</f>
        <v>#REF!</v>
      </c>
      <c r="AM630" s="185" t="e">
        <f>VLOOKUP(CLEAN(H630),#REF!,7,FALSE)</f>
        <v>#REF!</v>
      </c>
      <c r="AN630" s="2" t="e">
        <f>VLOOKUP(H630,#REF!,8,FALSE)</f>
        <v>#REF!</v>
      </c>
      <c r="AO630" s="189" t="e">
        <f>VLOOKUP(H630,#REF!,2,FALSE)</f>
        <v>#REF!</v>
      </c>
      <c r="AP630" s="189" t="e">
        <f>VLOOKUP(H630,#REF!,2,FALSE)</f>
        <v>#REF!</v>
      </c>
      <c r="AQ630" s="189"/>
      <c r="AR630" s="2" t="e">
        <f>VLOOKUP(CLEAN(H630),#REF!,2,FALSE)</f>
        <v>#REF!</v>
      </c>
      <c r="AT630" s="2" t="e">
        <f>VLOOKUP(H630,#REF!,13,FALSE)</f>
        <v>#REF!</v>
      </c>
      <c r="AU630" s="2" t="e">
        <f>VLOOKUP(H630,#REF!,13,FALSE)</f>
        <v>#REF!</v>
      </c>
      <c r="AV630" s="2" t="e">
        <f>VLOOKUP(H630,#REF!,13,FALSE)</f>
        <v>#REF!</v>
      </c>
      <c r="AW630" s="2" t="e">
        <f>VLOOKUP(H630,#REF!,13,FALSE)</f>
        <v>#REF!</v>
      </c>
      <c r="AX630" s="2" t="e">
        <f>VLOOKUP(H630,#REF!,9,FALSE)</f>
        <v>#REF!</v>
      </c>
      <c r="AZ630" s="2" t="e">
        <f>VLOOKUP(H630,#REF!,2,FALSE)</f>
        <v>#REF!</v>
      </c>
      <c r="BF630" s="189" t="e">
        <f>VLOOKUP(CLEAN(H630),#REF!,2,FALSE)</f>
        <v>#REF!</v>
      </c>
      <c r="BG630" s="189" t="e">
        <f>T630-BF630</f>
        <v>#REF!</v>
      </c>
      <c r="BO630" s="2" t="e">
        <f>VLOOKUP(H630,#REF!,13,FALSE)</f>
        <v>#REF!</v>
      </c>
      <c r="BP630" s="2" t="e">
        <f>VLOOKUP(H630,#REF!,2,FALSE)</f>
        <v>#REF!</v>
      </c>
      <c r="BQ630" s="2" t="e">
        <f>VLOOKUP(H630,#REF!,13,FALSE)</f>
        <v>#REF!</v>
      </c>
      <c r="BR630" s="2" t="e">
        <f>VLOOKUP(H630,#REF!,3,FALSE)</f>
        <v>#REF!</v>
      </c>
    </row>
    <row r="631" spans="1:70" ht="15" customHeight="1" outlineLevel="2">
      <c r="A631" s="7"/>
      <c r="B631" s="7"/>
      <c r="C631" s="7"/>
      <c r="D631" s="7"/>
      <c r="E631" s="7"/>
      <c r="F631" s="7"/>
      <c r="G631" s="7"/>
      <c r="H631" s="11"/>
      <c r="I631" s="11"/>
      <c r="J631" s="11"/>
      <c r="K631" s="11"/>
      <c r="L631" s="17" t="s">
        <v>693</v>
      </c>
      <c r="M631" s="27">
        <f t="shared" ref="M631:X631" si="373">SUBTOTAL(9,M626:M630)</f>
        <v>1783095000</v>
      </c>
      <c r="N631" s="27">
        <f t="shared" si="373"/>
        <v>0</v>
      </c>
      <c r="O631" s="27">
        <f t="shared" si="373"/>
        <v>46990500</v>
      </c>
      <c r="P631" s="24">
        <f t="shared" si="373"/>
        <v>0</v>
      </c>
      <c r="Q631" s="24">
        <f t="shared" si="373"/>
        <v>0</v>
      </c>
      <c r="R631" s="24">
        <f t="shared" si="373"/>
        <v>0</v>
      </c>
      <c r="S631" s="27">
        <f t="shared" si="373"/>
        <v>0</v>
      </c>
      <c r="T631" s="27">
        <f t="shared" si="373"/>
        <v>0</v>
      </c>
      <c r="U631" s="27">
        <f t="shared" si="373"/>
        <v>0</v>
      </c>
      <c r="V631" s="27">
        <f t="shared" si="373"/>
        <v>0</v>
      </c>
      <c r="W631" s="27">
        <f t="shared" si="373"/>
        <v>46990500</v>
      </c>
      <c r="X631" s="27">
        <f t="shared" si="373"/>
        <v>1736104500</v>
      </c>
      <c r="Y631" s="47"/>
      <c r="Z631" s="47"/>
      <c r="AO631"/>
      <c r="AP631"/>
      <c r="AQ631"/>
      <c r="AR631" s="2" t="e">
        <f>VLOOKUP(CLEAN(H631),#REF!,2,FALSE)</f>
        <v>#REF!</v>
      </c>
      <c r="AZ631" s="2" t="e">
        <f>VLOOKUP(H631,#REF!,2,FALSE)</f>
        <v>#REF!</v>
      </c>
      <c r="BO631" s="2" t="e">
        <f>VLOOKUP(H631,#REF!,13,FALSE)</f>
        <v>#REF!</v>
      </c>
      <c r="BQ631" s="2" t="e">
        <f>VLOOKUP(H631,#REF!,13,FALSE)</f>
        <v>#REF!</v>
      </c>
    </row>
    <row r="632" spans="1:70" ht="15" customHeight="1" outlineLevel="2">
      <c r="A632" s="7"/>
      <c r="B632" s="7"/>
      <c r="C632" s="7"/>
      <c r="D632" s="7"/>
      <c r="E632" s="7"/>
      <c r="F632" s="7"/>
      <c r="G632" s="7"/>
      <c r="H632" s="11"/>
      <c r="I632" s="11"/>
      <c r="J632" s="11"/>
      <c r="K632" s="11"/>
      <c r="L632" s="292"/>
      <c r="M632" s="22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47"/>
      <c r="Z632" s="47"/>
      <c r="AO632"/>
      <c r="AP632"/>
      <c r="AQ632"/>
      <c r="AR632" s="2" t="e">
        <f>VLOOKUP(CLEAN(H632),#REF!,2,FALSE)</f>
        <v>#REF!</v>
      </c>
      <c r="AZ632" s="2" t="e">
        <f>VLOOKUP(H632,#REF!,2,FALSE)</f>
        <v>#REF!</v>
      </c>
      <c r="BO632" s="2" t="e">
        <f>VLOOKUP(H632,#REF!,13,FALSE)</f>
        <v>#REF!</v>
      </c>
      <c r="BP632" s="293"/>
      <c r="BQ632" s="2" t="e">
        <f>VLOOKUP(H632,#REF!,13,FALSE)</f>
        <v>#REF!</v>
      </c>
    </row>
    <row r="633" spans="1:70" ht="18.75" customHeight="1" outlineLevel="1">
      <c r="A633" s="7"/>
      <c r="B633" s="7"/>
      <c r="C633" s="7"/>
      <c r="D633" s="7"/>
      <c r="E633" s="8"/>
      <c r="F633" s="7"/>
      <c r="G633" s="7"/>
      <c r="H633" s="11"/>
      <c r="I633" s="11"/>
      <c r="J633" s="11"/>
      <c r="K633" s="11"/>
      <c r="L633" s="45" t="s">
        <v>167</v>
      </c>
      <c r="M633" s="46">
        <f t="shared" ref="M633:X633" si="374">M623+M619+M614+M631</f>
        <v>3825688000</v>
      </c>
      <c r="N633" s="46">
        <f t="shared" si="374"/>
        <v>713753493</v>
      </c>
      <c r="O633" s="46">
        <f t="shared" si="374"/>
        <v>615132137</v>
      </c>
      <c r="P633" s="46">
        <f t="shared" si="374"/>
        <v>0</v>
      </c>
      <c r="Q633" s="46">
        <f t="shared" si="374"/>
        <v>0</v>
      </c>
      <c r="R633" s="46">
        <f t="shared" si="374"/>
        <v>38383418</v>
      </c>
      <c r="S633" s="46">
        <f t="shared" si="374"/>
        <v>38383418</v>
      </c>
      <c r="T633" s="46">
        <f t="shared" si="374"/>
        <v>732819</v>
      </c>
      <c r="U633" s="46">
        <f t="shared" si="374"/>
        <v>0</v>
      </c>
      <c r="V633" s="46">
        <f t="shared" si="374"/>
        <v>39116237</v>
      </c>
      <c r="W633" s="46">
        <f t="shared" si="374"/>
        <v>576015900</v>
      </c>
      <c r="X633" s="46">
        <f t="shared" si="374"/>
        <v>2496802370</v>
      </c>
      <c r="Y633" s="47"/>
      <c r="Z633" s="47"/>
      <c r="AM633" s="185" t="e">
        <f>VLOOKUP(CLEAN(H633),#REF!,7,FALSE)</f>
        <v>#REF!</v>
      </c>
      <c r="AO633"/>
      <c r="AP633"/>
      <c r="AQ633"/>
      <c r="AR633" s="2" t="e">
        <f>VLOOKUP(CLEAN(H633),#REF!,2,FALSE)</f>
        <v>#REF!</v>
      </c>
      <c r="AZ633" s="2" t="e">
        <f>VLOOKUP(H633,#REF!,2,FALSE)</f>
        <v>#REF!</v>
      </c>
      <c r="BO633" s="2" t="e">
        <f>VLOOKUP(H633,#REF!,13,FALSE)</f>
        <v>#REF!</v>
      </c>
      <c r="BQ633" s="2" t="e">
        <f>VLOOKUP(H633,#REF!,13,FALSE)</f>
        <v>#REF!</v>
      </c>
    </row>
    <row r="634" spans="1:70" s="3" customFormat="1" ht="15" customHeight="1" outlineLevel="1">
      <c r="A634" s="7"/>
      <c r="B634" s="7"/>
      <c r="C634" s="7"/>
      <c r="D634" s="7"/>
      <c r="E634" s="8"/>
      <c r="F634" s="7"/>
      <c r="G634" s="7"/>
      <c r="H634" s="11"/>
      <c r="I634" s="11"/>
      <c r="J634" s="11"/>
      <c r="K634" s="11"/>
      <c r="L634" s="294"/>
      <c r="M634" s="26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47"/>
      <c r="Z634" s="47"/>
      <c r="AJ634" s="186"/>
      <c r="AK634" s="186"/>
      <c r="AL634" s="186"/>
      <c r="AM634" s="185" t="e">
        <f>VLOOKUP(CLEAN(H634),#REF!,7,FALSE)</f>
        <v>#REF!</v>
      </c>
      <c r="AR634" s="2" t="e">
        <f>VLOOKUP(CLEAN(H634),#REF!,2,FALSE)</f>
        <v>#REF!</v>
      </c>
      <c r="AZ634" s="2" t="e">
        <f>VLOOKUP(H634,#REF!,2,FALSE)</f>
        <v>#REF!</v>
      </c>
      <c r="BF634" s="193"/>
      <c r="BO634" s="2" t="e">
        <f>VLOOKUP(H634,#REF!,13,FALSE)</f>
        <v>#REF!</v>
      </c>
      <c r="BP634" s="7"/>
      <c r="BQ634" s="2" t="e">
        <f>VLOOKUP(H634,#REF!,13,FALSE)</f>
        <v>#REF!</v>
      </c>
    </row>
    <row r="635" spans="1:70" ht="26.25" customHeight="1" outlineLevel="1">
      <c r="A635" s="7"/>
      <c r="B635" s="7"/>
      <c r="C635" s="7"/>
      <c r="D635" s="7"/>
      <c r="E635" s="8"/>
      <c r="F635" s="7"/>
      <c r="G635" s="7"/>
      <c r="H635" s="11"/>
      <c r="I635" s="11"/>
      <c r="J635" s="11"/>
      <c r="K635" s="11"/>
      <c r="L635" s="57" t="s">
        <v>201</v>
      </c>
      <c r="M635" s="26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47"/>
      <c r="Z635" s="47"/>
      <c r="AM635" s="185" t="e">
        <f>VLOOKUP(CLEAN(H635),#REF!,7,FALSE)</f>
        <v>#REF!</v>
      </c>
      <c r="AO635"/>
      <c r="AP635"/>
      <c r="AQ635"/>
      <c r="AR635" s="2" t="e">
        <f>VLOOKUP(CLEAN(H635),#REF!,2,FALSE)</f>
        <v>#REF!</v>
      </c>
      <c r="AZ635" s="2" t="e">
        <f>VLOOKUP(H635,#REF!,2,FALSE)</f>
        <v>#REF!</v>
      </c>
      <c r="BO635" s="2" t="e">
        <f>VLOOKUP(H635,#REF!,13,FALSE)</f>
        <v>#REF!</v>
      </c>
      <c r="BQ635" s="2" t="e">
        <f>VLOOKUP(H635,#REF!,13,FALSE)</f>
        <v>#REF!</v>
      </c>
    </row>
    <row r="636" spans="1:70" ht="15" customHeight="1" outlineLevel="1">
      <c r="A636" s="7"/>
      <c r="B636" s="7"/>
      <c r="C636" s="7"/>
      <c r="D636" s="7"/>
      <c r="E636" s="8"/>
      <c r="F636" s="7"/>
      <c r="G636" s="7"/>
      <c r="H636" s="11"/>
      <c r="I636" s="11"/>
      <c r="J636" s="11"/>
      <c r="K636" s="11"/>
      <c r="L636" s="18" t="s">
        <v>695</v>
      </c>
      <c r="M636" s="26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47"/>
      <c r="Z636" s="47"/>
      <c r="AM636" s="185" t="e">
        <f>VLOOKUP(CLEAN(H636),#REF!,7,FALSE)</f>
        <v>#REF!</v>
      </c>
      <c r="AO636"/>
      <c r="AP636"/>
      <c r="AQ636"/>
      <c r="AR636" s="2" t="e">
        <f>VLOOKUP(CLEAN(H636),#REF!,2,FALSE)</f>
        <v>#REF!</v>
      </c>
      <c r="AZ636" s="2" t="e">
        <f>VLOOKUP(H636,#REF!,2,FALSE)</f>
        <v>#REF!</v>
      </c>
      <c r="BO636" s="2" t="e">
        <f>VLOOKUP(H636,#REF!,13,FALSE)</f>
        <v>#REF!</v>
      </c>
      <c r="BQ636" s="2" t="e">
        <f>VLOOKUP(H636,#REF!,13,FALSE)</f>
        <v>#REF!</v>
      </c>
    </row>
    <row r="637" spans="1:70" s="2" customFormat="1" ht="15" customHeight="1" outlineLevel="2">
      <c r="A637" s="5">
        <v>31</v>
      </c>
      <c r="B637" s="5" t="s">
        <v>5</v>
      </c>
      <c r="C637" s="5" t="s">
        <v>240</v>
      </c>
      <c r="D637" s="5" t="s">
        <v>30</v>
      </c>
      <c r="E637" s="5" t="s">
        <v>37</v>
      </c>
      <c r="F637" s="5" t="s">
        <v>89</v>
      </c>
      <c r="G637" s="5" t="s">
        <v>144</v>
      </c>
      <c r="H637" s="12">
        <v>30042613</v>
      </c>
      <c r="I637" s="42" t="str">
        <f>CONCATENATE(H637,"-",G637)</f>
        <v>30042613-EJECUCION</v>
      </c>
      <c r="J637" s="12" t="s">
        <v>731</v>
      </c>
      <c r="K637" s="307" t="str">
        <f>CLEAN(H637)</f>
        <v>30042613</v>
      </c>
      <c r="L637" s="15" t="s">
        <v>115</v>
      </c>
      <c r="M637" s="23">
        <v>3472101337</v>
      </c>
      <c r="N637" s="34">
        <v>1786871036</v>
      </c>
      <c r="O637" s="34">
        <f>1650000000-44801623</f>
        <v>1605198377</v>
      </c>
      <c r="P637" s="310">
        <v>176294160</v>
      </c>
      <c r="Q637" s="34">
        <v>234125658</v>
      </c>
      <c r="R637" s="308">
        <v>246039930</v>
      </c>
      <c r="S637" s="34">
        <f>P637+Q637+R637</f>
        <v>656459748</v>
      </c>
      <c r="T637" s="34">
        <v>109391780</v>
      </c>
      <c r="U637" s="34">
        <v>65450883</v>
      </c>
      <c r="V637" s="34">
        <f>P637+Q637+R637+T637+U637</f>
        <v>831302411</v>
      </c>
      <c r="W637" s="34">
        <f>O637-V637</f>
        <v>773895966</v>
      </c>
      <c r="X637" s="34">
        <f>M637-(N637+O637)</f>
        <v>80031924</v>
      </c>
      <c r="Y637" s="48" t="s">
        <v>675</v>
      </c>
      <c r="Z637" s="48" t="s">
        <v>123</v>
      </c>
      <c r="AA637" s="2" t="s">
        <v>854</v>
      </c>
      <c r="AB637" s="2" t="e">
        <f>VLOOKUP(H637,#REF!,2,FALSE)</f>
        <v>#REF!</v>
      </c>
      <c r="AC637" s="2" t="e">
        <f>VLOOKUP(I637,#REF!,2,FALSE)</f>
        <v>#REF!</v>
      </c>
      <c r="AD637" s="2" t="e">
        <f>VLOOKUP(H637,#REF!,13,FALSE)</f>
        <v>#REF!</v>
      </c>
      <c r="AE637" s="2" t="e">
        <f>VLOOKUP(I637,#REF!,7,FALSE)</f>
        <v>#REF!</v>
      </c>
      <c r="AG637" s="2" t="e">
        <f>VLOOKUP(H637,#REF!,13,FALSE)</f>
        <v>#REF!</v>
      </c>
      <c r="AH637" s="2" t="e">
        <f>VLOOKUP(I637,#REF!,2,FALSE)</f>
        <v>#REF!</v>
      </c>
      <c r="AJ637" s="185" t="e">
        <f>VLOOKUP(H637,#REF!,3,FALSE)</f>
        <v>#REF!</v>
      </c>
      <c r="AK637" s="185"/>
      <c r="AL637" s="185" t="e">
        <f>VLOOKUP(H637,#REF!,13,FALSE)</f>
        <v>#REF!</v>
      </c>
      <c r="AM637" s="185" t="e">
        <f>VLOOKUP(CLEAN(H637),#REF!,7,FALSE)</f>
        <v>#REF!</v>
      </c>
      <c r="AN637" s="2" t="e">
        <f>VLOOKUP(H637,#REF!,8,FALSE)</f>
        <v>#REF!</v>
      </c>
      <c r="AO637" s="189" t="e">
        <f>VLOOKUP(H637,#REF!,2,FALSE)</f>
        <v>#REF!</v>
      </c>
      <c r="AP637" s="189" t="e">
        <f>VLOOKUP(H637,#REF!,2,FALSE)</f>
        <v>#REF!</v>
      </c>
      <c r="AQ637" s="189" t="e">
        <f>AO637-AP637</f>
        <v>#REF!</v>
      </c>
      <c r="AR637" s="189" t="e">
        <f>VLOOKUP(CLEAN(H637),#REF!,2,FALSE)</f>
        <v>#REF!</v>
      </c>
      <c r="AS637" s="189" t="e">
        <f>T637-AR637</f>
        <v>#REF!</v>
      </c>
      <c r="AT637" s="2" t="e">
        <f>VLOOKUP(H637,#REF!,13,FALSE)</f>
        <v>#REF!</v>
      </c>
      <c r="AU637" s="2" t="e">
        <f>VLOOKUP(H637,#REF!,13,FALSE)</f>
        <v>#REF!</v>
      </c>
      <c r="AV637" s="2" t="e">
        <f>VLOOKUP(H637,#REF!,13,FALSE)</f>
        <v>#REF!</v>
      </c>
      <c r="AW637" s="2" t="e">
        <f>VLOOKUP(H637,#REF!,13,FALSE)</f>
        <v>#REF!</v>
      </c>
      <c r="AX637" s="2" t="e">
        <f>VLOOKUP(H637,#REF!,9,FALSE)</f>
        <v>#REF!</v>
      </c>
      <c r="AZ637" s="189" t="e">
        <f>VLOOKUP(H637,#REF!,2,FALSE)</f>
        <v>#REF!</v>
      </c>
      <c r="BF637" s="189" t="e">
        <f>VLOOKUP(CLEAN(H637),#REF!,2,FALSE)</f>
        <v>#REF!</v>
      </c>
      <c r="BG637" s="189" t="e">
        <f>T637-BF637</f>
        <v>#REF!</v>
      </c>
      <c r="BO637" s="2" t="e">
        <f>VLOOKUP(H637,#REF!,13,FALSE)</f>
        <v>#REF!</v>
      </c>
      <c r="BP637" s="2" t="e">
        <f>VLOOKUP(H637,#REF!,2,FALSE)</f>
        <v>#REF!</v>
      </c>
      <c r="BQ637" s="2" t="e">
        <f>VLOOKUP(H637,#REF!,13,FALSE)</f>
        <v>#REF!</v>
      </c>
      <c r="BR637" s="2" t="e">
        <f>VLOOKUP(H637,#REF!,3,FALSE)</f>
        <v>#REF!</v>
      </c>
    </row>
    <row r="638" spans="1:70" ht="15" customHeight="1" outlineLevel="2">
      <c r="A638" s="7"/>
      <c r="B638" s="7"/>
      <c r="C638" s="7"/>
      <c r="D638" s="7"/>
      <c r="E638" s="7"/>
      <c r="F638" s="7"/>
      <c r="G638" s="7"/>
      <c r="H638" s="11"/>
      <c r="I638" s="11"/>
      <c r="J638" s="11"/>
      <c r="K638" s="11"/>
      <c r="L638" s="17" t="s">
        <v>691</v>
      </c>
      <c r="M638" s="27">
        <f>SUBTOTAL(9,M637)</f>
        <v>3472101337</v>
      </c>
      <c r="N638" s="27">
        <f t="shared" ref="N638:O638" si="375">SUBTOTAL(9,N637)</f>
        <v>1786871036</v>
      </c>
      <c r="O638" s="27">
        <f t="shared" si="375"/>
        <v>1605198377</v>
      </c>
      <c r="P638" s="24">
        <f t="shared" ref="P638:X638" si="376">SUBTOTAL(9,P637)</f>
        <v>176294160</v>
      </c>
      <c r="Q638" s="24">
        <f t="shared" si="376"/>
        <v>234125658</v>
      </c>
      <c r="R638" s="24">
        <f t="shared" si="376"/>
        <v>246039930</v>
      </c>
      <c r="S638" s="27">
        <f t="shared" si="376"/>
        <v>656459748</v>
      </c>
      <c r="T638" s="27">
        <f t="shared" si="376"/>
        <v>109391780</v>
      </c>
      <c r="U638" s="27">
        <f t="shared" si="376"/>
        <v>65450883</v>
      </c>
      <c r="V638" s="27">
        <f t="shared" si="376"/>
        <v>831302411</v>
      </c>
      <c r="W638" s="27">
        <f t="shared" si="376"/>
        <v>773895966</v>
      </c>
      <c r="X638" s="27">
        <f t="shared" si="376"/>
        <v>80031924</v>
      </c>
      <c r="Y638" s="47"/>
      <c r="Z638" s="47"/>
      <c r="AM638" s="185" t="e">
        <f>VLOOKUP(CLEAN(H638),#REF!,7,FALSE)</f>
        <v>#REF!</v>
      </c>
      <c r="AO638"/>
      <c r="AP638"/>
      <c r="AQ638"/>
      <c r="AR638" s="2" t="e">
        <f>VLOOKUP(CLEAN(H638),#REF!,2,FALSE)</f>
        <v>#REF!</v>
      </c>
      <c r="AZ638" s="2" t="e">
        <f>VLOOKUP(H638,#REF!,2,FALSE)</f>
        <v>#REF!</v>
      </c>
      <c r="BO638" s="2" t="e">
        <f>VLOOKUP(H638,#REF!,13,FALSE)</f>
        <v>#REF!</v>
      </c>
      <c r="BQ638" s="2" t="e">
        <f>VLOOKUP(H638,#REF!,13,FALSE)</f>
        <v>#REF!</v>
      </c>
    </row>
    <row r="639" spans="1:70" ht="15" customHeight="1" outlineLevel="2">
      <c r="A639" s="7"/>
      <c r="B639" s="7"/>
      <c r="C639" s="7"/>
      <c r="D639" s="7"/>
      <c r="E639" s="7"/>
      <c r="F639" s="7"/>
      <c r="G639" s="7"/>
      <c r="H639" s="11"/>
      <c r="I639" s="11"/>
      <c r="J639" s="11"/>
      <c r="K639" s="11"/>
      <c r="L639" s="292"/>
      <c r="M639" s="22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47"/>
      <c r="Z639" s="47"/>
      <c r="AM639" s="185" t="e">
        <f>VLOOKUP(CLEAN(H639),#REF!,7,FALSE)</f>
        <v>#REF!</v>
      </c>
      <c r="AO639"/>
      <c r="AP639"/>
      <c r="AQ639"/>
      <c r="AR639" s="2" t="e">
        <f>VLOOKUP(CLEAN(H639),#REF!,2,FALSE)</f>
        <v>#REF!</v>
      </c>
      <c r="AZ639" s="2" t="e">
        <f>VLOOKUP(H639,#REF!,2,FALSE)</f>
        <v>#REF!</v>
      </c>
      <c r="BO639" s="2" t="e">
        <f>VLOOKUP(H639,#REF!,13,FALSE)</f>
        <v>#REF!</v>
      </c>
      <c r="BP639" s="293"/>
      <c r="BQ639" s="2" t="e">
        <f>VLOOKUP(H639,#REF!,13,FALSE)</f>
        <v>#REF!</v>
      </c>
    </row>
    <row r="640" spans="1:70" ht="15" customHeight="1" outlineLevel="2">
      <c r="A640" s="7"/>
      <c r="B640" s="7"/>
      <c r="C640" s="7"/>
      <c r="D640" s="7"/>
      <c r="E640" s="7"/>
      <c r="F640" s="7"/>
      <c r="G640" s="7"/>
      <c r="H640" s="11"/>
      <c r="I640" s="11"/>
      <c r="J640" s="11"/>
      <c r="K640" s="11"/>
      <c r="L640" s="18" t="s">
        <v>697</v>
      </c>
      <c r="M640" s="22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47"/>
      <c r="Z640" s="47"/>
      <c r="AO640"/>
      <c r="AP640"/>
      <c r="AQ640"/>
      <c r="AR640" s="2" t="e">
        <f>VLOOKUP(CLEAN(H640),#REF!,2,FALSE)</f>
        <v>#REF!</v>
      </c>
      <c r="AZ640" s="2" t="e">
        <f>VLOOKUP(H640,#REF!,2,FALSE)</f>
        <v>#REF!</v>
      </c>
      <c r="BO640" s="2" t="e">
        <f>VLOOKUP(H640,#REF!,13,FALSE)</f>
        <v>#REF!</v>
      </c>
      <c r="BQ640" s="2" t="e">
        <f>VLOOKUP(H640,#REF!,13,FALSE)</f>
        <v>#REF!</v>
      </c>
    </row>
    <row r="641" spans="1:70" s="2" customFormat="1" ht="15" customHeight="1" outlineLevel="2">
      <c r="A641" s="5">
        <v>31</v>
      </c>
      <c r="B641" s="5" t="s">
        <v>5</v>
      </c>
      <c r="C641" s="5" t="s">
        <v>241</v>
      </c>
      <c r="D641" s="5" t="s">
        <v>30</v>
      </c>
      <c r="E641" s="5" t="s">
        <v>37</v>
      </c>
      <c r="F641" s="5" t="s">
        <v>15</v>
      </c>
      <c r="G641" s="5" t="s">
        <v>144</v>
      </c>
      <c r="H641" s="12">
        <v>30365273</v>
      </c>
      <c r="I641" s="42" t="str">
        <f>CONCATENATE(H641,"-",G641)</f>
        <v>30365273-EJECUCION</v>
      </c>
      <c r="J641" s="12"/>
      <c r="K641" s="307" t="str">
        <f>CLEAN(H641)</f>
        <v>30365273</v>
      </c>
      <c r="L641" s="15" t="s">
        <v>361</v>
      </c>
      <c r="M641" s="23">
        <v>236080268</v>
      </c>
      <c r="N641" s="34">
        <v>144981756</v>
      </c>
      <c r="O641" s="34">
        <f>72193000+18905512</f>
        <v>91098512</v>
      </c>
      <c r="P641" s="310">
        <v>0</v>
      </c>
      <c r="Q641" s="34">
        <v>0</v>
      </c>
      <c r="R641" s="308">
        <v>91098512</v>
      </c>
      <c r="S641" s="34">
        <f>P641+Q641+R641</f>
        <v>91098512</v>
      </c>
      <c r="T641" s="34">
        <v>0</v>
      </c>
      <c r="U641" s="34">
        <v>0</v>
      </c>
      <c r="V641" s="34">
        <f>P641+Q641+R641+T641+U641</f>
        <v>91098512</v>
      </c>
      <c r="W641" s="34">
        <f>O641-V641</f>
        <v>0</v>
      </c>
      <c r="X641" s="34">
        <f>M641-(N641+O641)</f>
        <v>0</v>
      </c>
      <c r="Y641" s="48" t="s">
        <v>460</v>
      </c>
      <c r="Z641" s="48" t="s">
        <v>10</v>
      </c>
      <c r="AA641" s="2" t="e">
        <v>#N/A</v>
      </c>
      <c r="AB641" s="2" t="e">
        <f>VLOOKUP(H641,#REF!,2,FALSE)</f>
        <v>#REF!</v>
      </c>
      <c r="AC641" s="2" t="e">
        <f>VLOOKUP(I641,#REF!,2,FALSE)</f>
        <v>#REF!</v>
      </c>
      <c r="AD641" s="2" t="e">
        <f>VLOOKUP(H641,#REF!,13,FALSE)</f>
        <v>#REF!</v>
      </c>
      <c r="AE641" s="2" t="e">
        <f>VLOOKUP(I641,#REF!,7,FALSE)</f>
        <v>#REF!</v>
      </c>
      <c r="AG641" s="2" t="e">
        <f>VLOOKUP(H641,#REF!,13,FALSE)</f>
        <v>#REF!</v>
      </c>
      <c r="AH641" s="2" t="e">
        <f>VLOOKUP(I641,#REF!,2,FALSE)</f>
        <v>#REF!</v>
      </c>
      <c r="AJ641" s="185" t="e">
        <f>VLOOKUP(H641,#REF!,3,FALSE)</f>
        <v>#REF!</v>
      </c>
      <c r="AK641" s="185"/>
      <c r="AL641" s="185" t="e">
        <f>VLOOKUP(H641,#REF!,13,FALSE)</f>
        <v>#REF!</v>
      </c>
      <c r="AM641" s="185" t="e">
        <f>VLOOKUP(CLEAN(H641),#REF!,7,FALSE)</f>
        <v>#REF!</v>
      </c>
      <c r="AN641" s="2" t="e">
        <f>VLOOKUP(H641,#REF!,8,FALSE)</f>
        <v>#REF!</v>
      </c>
      <c r="AO641" s="189" t="e">
        <f>VLOOKUP(H641,#REF!,2,FALSE)</f>
        <v>#REF!</v>
      </c>
      <c r="AP641" s="189" t="e">
        <f>VLOOKUP(H641,#REF!,2,FALSE)</f>
        <v>#REF!</v>
      </c>
      <c r="AQ641" s="189"/>
      <c r="AR641" s="2" t="e">
        <f>VLOOKUP(CLEAN(H641),#REF!,2,FALSE)</f>
        <v>#REF!</v>
      </c>
      <c r="AT641" s="2" t="e">
        <f>VLOOKUP(H641,#REF!,13,FALSE)</f>
        <v>#REF!</v>
      </c>
      <c r="AU641" s="2" t="e">
        <f>VLOOKUP(H641,#REF!,13,FALSE)</f>
        <v>#REF!</v>
      </c>
      <c r="AV641" s="2" t="e">
        <f>VLOOKUP(H641,#REF!,13,FALSE)</f>
        <v>#REF!</v>
      </c>
      <c r="AW641" s="2" t="e">
        <f>VLOOKUP(H641,#REF!,13,FALSE)</f>
        <v>#REF!</v>
      </c>
      <c r="AX641" s="2" t="e">
        <f>VLOOKUP(H641,#REF!,9,FALSE)</f>
        <v>#REF!</v>
      </c>
      <c r="AZ641" s="189" t="e">
        <f>VLOOKUP(H641,#REF!,2,FALSE)</f>
        <v>#REF!</v>
      </c>
      <c r="BF641" s="189" t="e">
        <f>VLOOKUP(CLEAN(H641),#REF!,2,FALSE)</f>
        <v>#REF!</v>
      </c>
      <c r="BG641" s="189" t="e">
        <f>T641-BF641</f>
        <v>#REF!</v>
      </c>
      <c r="BO641" s="2" t="e">
        <f>VLOOKUP(H641,#REF!,13,FALSE)</f>
        <v>#REF!</v>
      </c>
      <c r="BP641" s="2" t="e">
        <f>VLOOKUP(H641,#REF!,2,FALSE)</f>
        <v>#REF!</v>
      </c>
      <c r="BQ641" s="2" t="e">
        <f>VLOOKUP(H641,#REF!,13,FALSE)</f>
        <v>#REF!</v>
      </c>
      <c r="BR641" s="2" t="e">
        <f>VLOOKUP(H641,#REF!,3,FALSE)</f>
        <v>#REF!</v>
      </c>
    </row>
    <row r="642" spans="1:70" ht="15" customHeight="1" outlineLevel="2">
      <c r="A642" s="7"/>
      <c r="B642" s="7"/>
      <c r="C642" s="7"/>
      <c r="D642" s="7"/>
      <c r="E642" s="7"/>
      <c r="F642" s="7"/>
      <c r="G642" s="7"/>
      <c r="H642" s="11"/>
      <c r="I642" s="11"/>
      <c r="J642" s="11"/>
      <c r="K642" s="11"/>
      <c r="L642" s="17" t="s">
        <v>694</v>
      </c>
      <c r="M642" s="27">
        <f>SUBTOTAL(9,M641)</f>
        <v>236080268</v>
      </c>
      <c r="N642" s="27">
        <f t="shared" ref="N642:O642" si="377">SUBTOTAL(9,N641)</f>
        <v>144981756</v>
      </c>
      <c r="O642" s="27">
        <f t="shared" si="377"/>
        <v>91098512</v>
      </c>
      <c r="P642" s="24">
        <f t="shared" ref="P642:X642" si="378">SUBTOTAL(9,P641)</f>
        <v>0</v>
      </c>
      <c r="Q642" s="24">
        <f t="shared" si="378"/>
        <v>0</v>
      </c>
      <c r="R642" s="24">
        <f t="shared" si="378"/>
        <v>91098512</v>
      </c>
      <c r="S642" s="27">
        <f t="shared" si="378"/>
        <v>91098512</v>
      </c>
      <c r="T642" s="27">
        <f t="shared" si="378"/>
        <v>0</v>
      </c>
      <c r="U642" s="27">
        <f t="shared" si="378"/>
        <v>0</v>
      </c>
      <c r="V642" s="27">
        <f t="shared" si="378"/>
        <v>91098512</v>
      </c>
      <c r="W642" s="27">
        <f t="shared" si="378"/>
        <v>0</v>
      </c>
      <c r="X642" s="27">
        <f t="shared" si="378"/>
        <v>0</v>
      </c>
      <c r="Y642" s="47"/>
      <c r="Z642" s="47"/>
      <c r="AO642"/>
      <c r="AP642"/>
      <c r="AQ642"/>
      <c r="AR642" s="2" t="e">
        <f>VLOOKUP(CLEAN(H642),#REF!,2,FALSE)</f>
        <v>#REF!</v>
      </c>
      <c r="AZ642" s="2" t="e">
        <f>VLOOKUP(H642,#REF!,2,FALSE)</f>
        <v>#REF!</v>
      </c>
      <c r="BO642" s="2" t="e">
        <f>VLOOKUP(H642,#REF!,13,FALSE)</f>
        <v>#REF!</v>
      </c>
      <c r="BQ642" s="2" t="e">
        <f>VLOOKUP(H642,#REF!,13,FALSE)</f>
        <v>#REF!</v>
      </c>
    </row>
    <row r="643" spans="1:70" ht="15" customHeight="1" outlineLevel="2">
      <c r="A643" s="7"/>
      <c r="B643" s="7"/>
      <c r="C643" s="7"/>
      <c r="D643" s="7"/>
      <c r="E643" s="7"/>
      <c r="F643" s="7"/>
      <c r="G643" s="7"/>
      <c r="H643" s="11"/>
      <c r="I643" s="11"/>
      <c r="J643" s="11"/>
      <c r="K643" s="11"/>
      <c r="L643" s="292"/>
      <c r="M643" s="22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47"/>
      <c r="Z643" s="47"/>
      <c r="AO643"/>
      <c r="AP643"/>
      <c r="AQ643"/>
      <c r="AR643" s="2" t="e">
        <f>VLOOKUP(CLEAN(H643),#REF!,2,FALSE)</f>
        <v>#REF!</v>
      </c>
      <c r="AZ643" s="2" t="e">
        <f>VLOOKUP(H643,#REF!,2,FALSE)</f>
        <v>#REF!</v>
      </c>
      <c r="BO643" s="2" t="e">
        <f>VLOOKUP(H643,#REF!,13,FALSE)</f>
        <v>#REF!</v>
      </c>
      <c r="BP643" s="293"/>
      <c r="BQ643" s="2" t="e">
        <f>VLOOKUP(H643,#REF!,13,FALSE)</f>
        <v>#REF!</v>
      </c>
    </row>
    <row r="644" spans="1:70" ht="15" customHeight="1" outlineLevel="2">
      <c r="A644" s="7"/>
      <c r="B644" s="7"/>
      <c r="C644" s="7"/>
      <c r="D644" s="7"/>
      <c r="E644" s="7"/>
      <c r="F644" s="7"/>
      <c r="G644" s="7"/>
      <c r="H644" s="11"/>
      <c r="I644" s="11"/>
      <c r="J644" s="11"/>
      <c r="K644" s="11"/>
      <c r="L644" s="18" t="s">
        <v>696</v>
      </c>
      <c r="M644" s="22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47"/>
      <c r="Z644" s="47"/>
      <c r="AM644" s="185" t="e">
        <f>VLOOKUP(CLEAN(H644),#REF!,7,FALSE)</f>
        <v>#REF!</v>
      </c>
      <c r="AO644"/>
      <c r="AP644"/>
      <c r="AQ644"/>
      <c r="AR644" s="2" t="e">
        <f>VLOOKUP(CLEAN(H644),#REF!,2,FALSE)</f>
        <v>#REF!</v>
      </c>
      <c r="AZ644" s="2" t="e">
        <f>VLOOKUP(H644,#REF!,2,FALSE)</f>
        <v>#REF!</v>
      </c>
      <c r="BO644" s="2" t="e">
        <f>VLOOKUP(H644,#REF!,13,FALSE)</f>
        <v>#REF!</v>
      </c>
      <c r="BQ644" s="2" t="e">
        <f>VLOOKUP(H644,#REF!,13,FALSE)</f>
        <v>#REF!</v>
      </c>
    </row>
    <row r="645" spans="1:70" s="2" customFormat="1" ht="15" customHeight="1" outlineLevel="2">
      <c r="A645" s="5">
        <v>29</v>
      </c>
      <c r="B645" s="5" t="s">
        <v>11</v>
      </c>
      <c r="C645" s="5" t="s">
        <v>241</v>
      </c>
      <c r="D645" s="5" t="s">
        <v>30</v>
      </c>
      <c r="E645" s="5" t="s">
        <v>37</v>
      </c>
      <c r="F645" s="5" t="s">
        <v>89</v>
      </c>
      <c r="G645" s="5" t="s">
        <v>144</v>
      </c>
      <c r="H645" s="12">
        <v>30466153</v>
      </c>
      <c r="I645" s="42" t="str">
        <f t="shared" ref="I645:I647" si="379">CONCATENATE(H645,"-",G645)</f>
        <v>30466153-EJECUCION</v>
      </c>
      <c r="J645" s="12"/>
      <c r="K645" s="307" t="str">
        <f t="shared" ref="K645:K647" si="380">CLEAN(H645)</f>
        <v>30466153</v>
      </c>
      <c r="L645" s="15" t="s">
        <v>412</v>
      </c>
      <c r="M645" s="23">
        <v>131605000</v>
      </c>
      <c r="N645" s="34">
        <v>0</v>
      </c>
      <c r="O645" s="34">
        <v>40000000</v>
      </c>
      <c r="P645" s="310">
        <v>0</v>
      </c>
      <c r="Q645" s="34">
        <v>0</v>
      </c>
      <c r="R645" s="308">
        <v>0</v>
      </c>
      <c r="S645" s="34">
        <f t="shared" ref="S645:S647" si="381">P645+Q645+R645</f>
        <v>0</v>
      </c>
      <c r="T645" s="34">
        <v>0</v>
      </c>
      <c r="U645" s="34">
        <v>0</v>
      </c>
      <c r="V645" s="34">
        <f>P645+Q645+R645+T645+U645</f>
        <v>0</v>
      </c>
      <c r="W645" s="34">
        <f>O645-V645</f>
        <v>40000000</v>
      </c>
      <c r="X645" s="34">
        <f>M645-(N645+O645)</f>
        <v>91605000</v>
      </c>
      <c r="Y645" s="48" t="s">
        <v>246</v>
      </c>
      <c r="Z645" s="48" t="s">
        <v>421</v>
      </c>
      <c r="AA645" s="2" t="e">
        <v>#N/A</v>
      </c>
      <c r="AB645" s="2" t="e">
        <f>VLOOKUP(H645,#REF!,2,FALSE)</f>
        <v>#REF!</v>
      </c>
      <c r="AC645" s="2" t="e">
        <f>VLOOKUP(I645,#REF!,2,FALSE)</f>
        <v>#REF!</v>
      </c>
      <c r="AD645" s="2" t="e">
        <f>VLOOKUP(H645,#REF!,13,FALSE)</f>
        <v>#REF!</v>
      </c>
      <c r="AE645" s="2" t="e">
        <f>VLOOKUP(I645,#REF!,7,FALSE)</f>
        <v>#REF!</v>
      </c>
      <c r="AG645" s="2" t="e">
        <f>VLOOKUP(H645,#REF!,13,FALSE)</f>
        <v>#REF!</v>
      </c>
      <c r="AH645" s="2" t="e">
        <f>VLOOKUP(I645,#REF!,2,FALSE)</f>
        <v>#REF!</v>
      </c>
      <c r="AJ645" s="185" t="e">
        <f>VLOOKUP(H645,#REF!,3,FALSE)</f>
        <v>#REF!</v>
      </c>
      <c r="AK645" s="185"/>
      <c r="AL645" s="185" t="e">
        <f>VLOOKUP(H645,#REF!,13,FALSE)</f>
        <v>#REF!</v>
      </c>
      <c r="AM645" s="185" t="e">
        <f>VLOOKUP(CLEAN(H645),#REF!,7,FALSE)</f>
        <v>#REF!</v>
      </c>
      <c r="AN645" s="2" t="e">
        <f>VLOOKUP(H645,#REF!,8,FALSE)</f>
        <v>#REF!</v>
      </c>
      <c r="AO645" s="189" t="e">
        <f>VLOOKUP(H645,#REF!,2,FALSE)</f>
        <v>#REF!</v>
      </c>
      <c r="AP645" s="189" t="e">
        <f>VLOOKUP(H645,#REF!,2,FALSE)</f>
        <v>#REF!</v>
      </c>
      <c r="AQ645" s="189"/>
      <c r="AR645" s="2" t="e">
        <f>VLOOKUP(CLEAN(H645),#REF!,2,FALSE)</f>
        <v>#REF!</v>
      </c>
      <c r="AT645" s="2" t="e">
        <f>VLOOKUP(H645,#REF!,13,FALSE)</f>
        <v>#REF!</v>
      </c>
      <c r="AU645" s="2" t="e">
        <f>VLOOKUP(H645,#REF!,13,FALSE)</f>
        <v>#REF!</v>
      </c>
      <c r="AV645" s="2" t="e">
        <f>VLOOKUP(H645,#REF!,13,FALSE)</f>
        <v>#REF!</v>
      </c>
      <c r="AW645" s="2" t="e">
        <f>VLOOKUP(H645,#REF!,13,FALSE)</f>
        <v>#REF!</v>
      </c>
      <c r="AX645" s="2" t="e">
        <f>VLOOKUP(H645,#REF!,9,FALSE)</f>
        <v>#REF!</v>
      </c>
      <c r="AZ645" s="2" t="e">
        <f>VLOOKUP(H645,#REF!,2,FALSE)</f>
        <v>#REF!</v>
      </c>
      <c r="BF645" s="189" t="e">
        <f>VLOOKUP(CLEAN(H645),#REF!,2,FALSE)</f>
        <v>#REF!</v>
      </c>
      <c r="BG645" s="189" t="e">
        <f>T645-BF645</f>
        <v>#REF!</v>
      </c>
      <c r="BO645" s="2" t="e">
        <f>VLOOKUP(H645,#REF!,13,FALSE)</f>
        <v>#REF!</v>
      </c>
      <c r="BP645" s="2" t="e">
        <f>VLOOKUP(H645,#REF!,2,FALSE)</f>
        <v>#REF!</v>
      </c>
      <c r="BQ645" s="2" t="e">
        <f>VLOOKUP(H645,#REF!,13,FALSE)</f>
        <v>#REF!</v>
      </c>
      <c r="BR645" s="2" t="e">
        <f>VLOOKUP(H645,#REF!,3,FALSE)</f>
        <v>#REF!</v>
      </c>
    </row>
    <row r="646" spans="1:70" s="2" customFormat="1" ht="15" customHeight="1" outlineLevel="2">
      <c r="A646" s="5">
        <v>31</v>
      </c>
      <c r="B646" s="5" t="s">
        <v>11</v>
      </c>
      <c r="C646" s="5" t="s">
        <v>251</v>
      </c>
      <c r="D646" s="5" t="s">
        <v>30</v>
      </c>
      <c r="E646" s="5" t="s">
        <v>37</v>
      </c>
      <c r="F646" s="5" t="s">
        <v>457</v>
      </c>
      <c r="G646" s="5" t="s">
        <v>9</v>
      </c>
      <c r="H646" s="12">
        <v>30395772</v>
      </c>
      <c r="I646" s="42" t="str">
        <f t="shared" si="379"/>
        <v>30395772-DISEÑO</v>
      </c>
      <c r="J646" s="12"/>
      <c r="K646" s="307" t="str">
        <f t="shared" si="380"/>
        <v>30395772</v>
      </c>
      <c r="L646" s="15" t="s">
        <v>336</v>
      </c>
      <c r="M646" s="23">
        <v>78786000</v>
      </c>
      <c r="N646" s="34">
        <v>0</v>
      </c>
      <c r="O646" s="34">
        <f>40000000-18905512</f>
        <v>21094488</v>
      </c>
      <c r="P646" s="310">
        <v>0</v>
      </c>
      <c r="Q646" s="34">
        <v>0</v>
      </c>
      <c r="R646" s="308">
        <v>0</v>
      </c>
      <c r="S646" s="34">
        <f t="shared" si="381"/>
        <v>0</v>
      </c>
      <c r="T646" s="34">
        <v>0</v>
      </c>
      <c r="U646" s="34">
        <v>0</v>
      </c>
      <c r="V646" s="34">
        <f>P646+Q646+R646+T646+U646</f>
        <v>0</v>
      </c>
      <c r="W646" s="34">
        <f>O646-V646</f>
        <v>21094488</v>
      </c>
      <c r="X646" s="34">
        <f>M646-(N646+O646)</f>
        <v>57691512</v>
      </c>
      <c r="Y646" s="48" t="s">
        <v>246</v>
      </c>
      <c r="Z646" s="48" t="s">
        <v>357</v>
      </c>
      <c r="AA646" s="2" t="e">
        <v>#N/A</v>
      </c>
      <c r="AB646" s="2" t="e">
        <f>VLOOKUP(H646,#REF!,2,FALSE)</f>
        <v>#REF!</v>
      </c>
      <c r="AC646" s="2" t="e">
        <f>VLOOKUP(I646,#REF!,2,FALSE)</f>
        <v>#REF!</v>
      </c>
      <c r="AD646" s="2" t="e">
        <f>VLOOKUP(H646,#REF!,13,FALSE)</f>
        <v>#REF!</v>
      </c>
      <c r="AE646" s="2" t="e">
        <f>VLOOKUP(I646,#REF!,7,FALSE)</f>
        <v>#REF!</v>
      </c>
      <c r="AG646" s="2" t="e">
        <f>VLOOKUP(H646,#REF!,13,FALSE)</f>
        <v>#REF!</v>
      </c>
      <c r="AH646" s="2" t="e">
        <f>VLOOKUP(I646,#REF!,2,FALSE)</f>
        <v>#REF!</v>
      </c>
      <c r="AJ646" s="185" t="e">
        <f>VLOOKUP(H646,#REF!,3,FALSE)</f>
        <v>#REF!</v>
      </c>
      <c r="AK646" s="185"/>
      <c r="AL646" s="185" t="e">
        <f>VLOOKUP(H646,#REF!,13,FALSE)</f>
        <v>#REF!</v>
      </c>
      <c r="AM646" s="185" t="e">
        <f>VLOOKUP(CLEAN(H646),#REF!,7,FALSE)</f>
        <v>#REF!</v>
      </c>
      <c r="AN646" s="2" t="e">
        <f>VLOOKUP(H646,#REF!,8,FALSE)</f>
        <v>#REF!</v>
      </c>
      <c r="AO646" s="189" t="e">
        <f>VLOOKUP(H646,#REF!,2,FALSE)</f>
        <v>#REF!</v>
      </c>
      <c r="AP646" s="189" t="e">
        <f>VLOOKUP(H646,#REF!,2,FALSE)</f>
        <v>#REF!</v>
      </c>
      <c r="AQ646" s="189"/>
      <c r="AR646" s="2" t="e">
        <f>VLOOKUP(CLEAN(H646),#REF!,2,FALSE)</f>
        <v>#REF!</v>
      </c>
      <c r="AT646" s="2" t="e">
        <f>VLOOKUP(H646,#REF!,13,FALSE)</f>
        <v>#REF!</v>
      </c>
      <c r="AU646" s="2" t="e">
        <f>VLOOKUP(H646,#REF!,13,FALSE)</f>
        <v>#REF!</v>
      </c>
      <c r="AV646" s="2" t="e">
        <f>VLOOKUP(H646,#REF!,13,FALSE)</f>
        <v>#REF!</v>
      </c>
      <c r="AW646" s="2" t="e">
        <f>VLOOKUP(H646,#REF!,13,FALSE)</f>
        <v>#REF!</v>
      </c>
      <c r="AX646" s="2" t="e">
        <f>VLOOKUP(H646,#REF!,9,FALSE)</f>
        <v>#REF!</v>
      </c>
      <c r="AZ646" s="2" t="e">
        <f>VLOOKUP(H646,#REF!,2,FALSE)</f>
        <v>#REF!</v>
      </c>
      <c r="BF646" s="189" t="e">
        <f>VLOOKUP(CLEAN(H646),#REF!,2,FALSE)</f>
        <v>#REF!</v>
      </c>
      <c r="BG646" s="189" t="e">
        <f>T646-BF646</f>
        <v>#REF!</v>
      </c>
      <c r="BO646" s="2" t="e">
        <f>VLOOKUP(H646,#REF!,13,FALSE)</f>
        <v>#REF!</v>
      </c>
      <c r="BP646" s="2" t="e">
        <f>VLOOKUP(H646,#REF!,2,FALSE)</f>
        <v>#REF!</v>
      </c>
      <c r="BQ646" s="2" t="e">
        <f>VLOOKUP(H646,#REF!,13,FALSE)</f>
        <v>#REF!</v>
      </c>
      <c r="BR646" s="2" t="e">
        <f>VLOOKUP(H646,#REF!,3,FALSE)</f>
        <v>#REF!</v>
      </c>
    </row>
    <row r="647" spans="1:70" s="2" customFormat="1" ht="15" customHeight="1" outlineLevel="2">
      <c r="A647" s="5">
        <v>31</v>
      </c>
      <c r="B647" s="5" t="s">
        <v>11</v>
      </c>
      <c r="C647" s="5" t="s">
        <v>253</v>
      </c>
      <c r="D647" s="5" t="s">
        <v>30</v>
      </c>
      <c r="E647" s="5" t="s">
        <v>37</v>
      </c>
      <c r="F647" s="5" t="s">
        <v>457</v>
      </c>
      <c r="G647" s="5" t="s">
        <v>144</v>
      </c>
      <c r="H647" s="12">
        <v>30485160</v>
      </c>
      <c r="I647" s="42" t="str">
        <f t="shared" si="379"/>
        <v>30485160-EJECUCION</v>
      </c>
      <c r="J647" s="12"/>
      <c r="K647" s="307" t="str">
        <f t="shared" si="380"/>
        <v>30485160</v>
      </c>
      <c r="L647" s="15" t="s">
        <v>413</v>
      </c>
      <c r="M647" s="23">
        <v>199700000</v>
      </c>
      <c r="N647" s="34">
        <v>0</v>
      </c>
      <c r="O647" s="34">
        <v>30000000</v>
      </c>
      <c r="P647" s="310">
        <v>0</v>
      </c>
      <c r="Q647" s="34">
        <v>0</v>
      </c>
      <c r="R647" s="308">
        <v>0</v>
      </c>
      <c r="S647" s="34">
        <f t="shared" si="381"/>
        <v>0</v>
      </c>
      <c r="T647" s="34">
        <v>0</v>
      </c>
      <c r="U647" s="34">
        <v>0</v>
      </c>
      <c r="V647" s="34">
        <f>P647+Q647+R647+T647+U647</f>
        <v>0</v>
      </c>
      <c r="W647" s="34">
        <f>O647-V647</f>
        <v>30000000</v>
      </c>
      <c r="X647" s="34">
        <f>M647-(N647+O647)</f>
        <v>169700000</v>
      </c>
      <c r="Y647" s="48" t="s">
        <v>246</v>
      </c>
      <c r="Z647" s="48" t="s">
        <v>421</v>
      </c>
      <c r="AA647" s="2" t="e">
        <v>#N/A</v>
      </c>
      <c r="AB647" s="2" t="e">
        <f>VLOOKUP(H647,#REF!,2,FALSE)</f>
        <v>#REF!</v>
      </c>
      <c r="AC647" s="2" t="e">
        <f>VLOOKUP(I647,#REF!,2,FALSE)</f>
        <v>#REF!</v>
      </c>
      <c r="AD647" s="2" t="e">
        <f>VLOOKUP(H647,#REF!,13,FALSE)</f>
        <v>#REF!</v>
      </c>
      <c r="AE647" s="2" t="e">
        <f>VLOOKUP(I647,#REF!,7,FALSE)</f>
        <v>#REF!</v>
      </c>
      <c r="AG647" s="2" t="e">
        <f>VLOOKUP(H647,#REF!,13,FALSE)</f>
        <v>#REF!</v>
      </c>
      <c r="AH647" s="2" t="e">
        <f>VLOOKUP(I647,#REF!,2,FALSE)</f>
        <v>#REF!</v>
      </c>
      <c r="AJ647" s="185" t="e">
        <f>VLOOKUP(H647,#REF!,3,FALSE)</f>
        <v>#REF!</v>
      </c>
      <c r="AK647" s="185"/>
      <c r="AL647" s="185" t="e">
        <f>VLOOKUP(H647,#REF!,13,FALSE)</f>
        <v>#REF!</v>
      </c>
      <c r="AM647" s="185" t="e">
        <f>VLOOKUP(CLEAN(H647),#REF!,7,FALSE)</f>
        <v>#REF!</v>
      </c>
      <c r="AN647" s="2" t="e">
        <f>VLOOKUP(H647,#REF!,8,FALSE)</f>
        <v>#REF!</v>
      </c>
      <c r="AO647" s="189" t="e">
        <f>VLOOKUP(H647,#REF!,2,FALSE)</f>
        <v>#REF!</v>
      </c>
      <c r="AP647" s="189" t="e">
        <f>VLOOKUP(H647,#REF!,2,FALSE)</f>
        <v>#REF!</v>
      </c>
      <c r="AQ647" s="189"/>
      <c r="AR647" s="2" t="e">
        <f>VLOOKUP(CLEAN(H647),#REF!,2,FALSE)</f>
        <v>#REF!</v>
      </c>
      <c r="AT647" s="2" t="e">
        <f>VLOOKUP(H647,#REF!,13,FALSE)</f>
        <v>#REF!</v>
      </c>
      <c r="AU647" s="2" t="e">
        <f>VLOOKUP(H647,#REF!,13,FALSE)</f>
        <v>#REF!</v>
      </c>
      <c r="AV647" s="2" t="e">
        <f>VLOOKUP(H647,#REF!,13,FALSE)</f>
        <v>#REF!</v>
      </c>
      <c r="AW647" s="2" t="e">
        <f>VLOOKUP(H647,#REF!,13,FALSE)</f>
        <v>#REF!</v>
      </c>
      <c r="AX647" s="2" t="e">
        <f>VLOOKUP(H647,#REF!,9,FALSE)</f>
        <v>#REF!</v>
      </c>
      <c r="AZ647" s="2" t="e">
        <f>VLOOKUP(H647,#REF!,2,FALSE)</f>
        <v>#REF!</v>
      </c>
      <c r="BF647" s="189" t="e">
        <f>VLOOKUP(CLEAN(H647),#REF!,2,FALSE)</f>
        <v>#REF!</v>
      </c>
      <c r="BG647" s="189" t="e">
        <f>T647-BF647</f>
        <v>#REF!</v>
      </c>
      <c r="BO647" s="2" t="e">
        <f>VLOOKUP(H647,#REF!,13,FALSE)</f>
        <v>#REF!</v>
      </c>
      <c r="BP647" s="2" t="e">
        <f>VLOOKUP(H647,#REF!,2,FALSE)</f>
        <v>#REF!</v>
      </c>
      <c r="BQ647" s="2" t="e">
        <f>VLOOKUP(H647,#REF!,13,FALSE)</f>
        <v>#REF!</v>
      </c>
      <c r="BR647" s="2" t="e">
        <f>VLOOKUP(H647,#REF!,3,FALSE)</f>
        <v>#REF!</v>
      </c>
    </row>
    <row r="648" spans="1:70" ht="15" customHeight="1" outlineLevel="2">
      <c r="A648" s="7"/>
      <c r="B648" s="7"/>
      <c r="C648" s="7"/>
      <c r="D648" s="7"/>
      <c r="E648" s="7"/>
      <c r="F648" s="7"/>
      <c r="G648" s="7"/>
      <c r="H648" s="11"/>
      <c r="I648" s="11"/>
      <c r="J648" s="11"/>
      <c r="K648" s="11"/>
      <c r="L648" s="17" t="s">
        <v>693</v>
      </c>
      <c r="M648" s="27">
        <f t="shared" ref="M648:X648" si="382">SUBTOTAL(9,M645:M647)</f>
        <v>410091000</v>
      </c>
      <c r="N648" s="27">
        <f t="shared" si="382"/>
        <v>0</v>
      </c>
      <c r="O648" s="27">
        <f t="shared" si="382"/>
        <v>91094488</v>
      </c>
      <c r="P648" s="24">
        <f t="shared" si="382"/>
        <v>0</v>
      </c>
      <c r="Q648" s="24">
        <f t="shared" si="382"/>
        <v>0</v>
      </c>
      <c r="R648" s="24">
        <f t="shared" si="382"/>
        <v>0</v>
      </c>
      <c r="S648" s="27">
        <f t="shared" si="382"/>
        <v>0</v>
      </c>
      <c r="T648" s="27">
        <f t="shared" si="382"/>
        <v>0</v>
      </c>
      <c r="U648" s="27">
        <f t="shared" si="382"/>
        <v>0</v>
      </c>
      <c r="V648" s="27">
        <f t="shared" si="382"/>
        <v>0</v>
      </c>
      <c r="W648" s="27">
        <f t="shared" si="382"/>
        <v>91094488</v>
      </c>
      <c r="X648" s="27">
        <f t="shared" si="382"/>
        <v>318996512</v>
      </c>
      <c r="Y648" s="47"/>
      <c r="Z648" s="47"/>
      <c r="AM648" s="185" t="e">
        <f>VLOOKUP(CLEAN(H648),#REF!,7,FALSE)</f>
        <v>#REF!</v>
      </c>
      <c r="AO648"/>
      <c r="AP648"/>
      <c r="AQ648"/>
      <c r="AR648" s="2" t="e">
        <f>VLOOKUP(CLEAN(H648),#REF!,2,FALSE)</f>
        <v>#REF!</v>
      </c>
      <c r="AZ648" s="2" t="e">
        <f>VLOOKUP(H648,#REF!,2,FALSE)</f>
        <v>#REF!</v>
      </c>
      <c r="BO648" s="2" t="e">
        <f>VLOOKUP(H648,#REF!,13,FALSE)</f>
        <v>#REF!</v>
      </c>
      <c r="BQ648" s="2" t="e">
        <f>VLOOKUP(H648,#REF!,13,FALSE)</f>
        <v>#REF!</v>
      </c>
    </row>
    <row r="649" spans="1:70" ht="15" customHeight="1" outlineLevel="2">
      <c r="A649" s="7"/>
      <c r="B649" s="7"/>
      <c r="C649" s="7"/>
      <c r="D649" s="7"/>
      <c r="E649" s="7"/>
      <c r="F649" s="7"/>
      <c r="G649" s="7"/>
      <c r="H649" s="11"/>
      <c r="I649" s="11"/>
      <c r="J649" s="11"/>
      <c r="K649" s="11"/>
      <c r="L649" s="292"/>
      <c r="M649" s="22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47"/>
      <c r="Z649" s="47"/>
      <c r="AM649" s="185" t="e">
        <f>VLOOKUP(CLEAN(H649),#REF!,7,FALSE)</f>
        <v>#REF!</v>
      </c>
      <c r="AO649"/>
      <c r="AP649"/>
      <c r="AQ649"/>
      <c r="AR649" s="2" t="e">
        <f>VLOOKUP(CLEAN(H649),#REF!,2,FALSE)</f>
        <v>#REF!</v>
      </c>
      <c r="AZ649" s="2" t="e">
        <f>VLOOKUP(H649,#REF!,2,FALSE)</f>
        <v>#REF!</v>
      </c>
      <c r="BO649" s="2" t="e">
        <f>VLOOKUP(H649,#REF!,13,FALSE)</f>
        <v>#REF!</v>
      </c>
      <c r="BP649" s="293"/>
      <c r="BQ649" s="2" t="e">
        <f>VLOOKUP(H649,#REF!,13,FALSE)</f>
        <v>#REF!</v>
      </c>
    </row>
    <row r="650" spans="1:70" ht="18.75" customHeight="1" outlineLevel="1">
      <c r="A650" s="7"/>
      <c r="B650" s="7"/>
      <c r="C650" s="7"/>
      <c r="D650" s="7"/>
      <c r="E650" s="8"/>
      <c r="F650" s="7"/>
      <c r="G650" s="7"/>
      <c r="H650" s="11"/>
      <c r="I650" s="11"/>
      <c r="J650" s="11"/>
      <c r="K650" s="11"/>
      <c r="L650" s="45" t="s">
        <v>168</v>
      </c>
      <c r="M650" s="46">
        <f>M638+M648+M642</f>
        <v>4118272605</v>
      </c>
      <c r="N650" s="46">
        <f t="shared" ref="N650:O650" si="383">N638+N648+N642</f>
        <v>1931852792</v>
      </c>
      <c r="O650" s="46">
        <f t="shared" si="383"/>
        <v>1787391377</v>
      </c>
      <c r="P650" s="46">
        <f t="shared" ref="P650:X650" si="384">P638+P648+P642</f>
        <v>176294160</v>
      </c>
      <c r="Q650" s="46">
        <f t="shared" si="384"/>
        <v>234125658</v>
      </c>
      <c r="R650" s="46">
        <f t="shared" si="384"/>
        <v>337138442</v>
      </c>
      <c r="S650" s="46">
        <f t="shared" si="384"/>
        <v>747558260</v>
      </c>
      <c r="T650" s="46">
        <f t="shared" si="384"/>
        <v>109391780</v>
      </c>
      <c r="U650" s="46">
        <f t="shared" si="384"/>
        <v>65450883</v>
      </c>
      <c r="V650" s="46">
        <f t="shared" si="384"/>
        <v>922400923</v>
      </c>
      <c r="W650" s="46">
        <f t="shared" si="384"/>
        <v>864990454</v>
      </c>
      <c r="X650" s="46">
        <f t="shared" si="384"/>
        <v>399028436</v>
      </c>
      <c r="Y650" s="47"/>
      <c r="Z650" s="47"/>
      <c r="AM650" s="185" t="e">
        <f>VLOOKUP(CLEAN(H650),#REF!,7,FALSE)</f>
        <v>#REF!</v>
      </c>
      <c r="AO650"/>
      <c r="AP650"/>
      <c r="AQ650"/>
      <c r="AR650" s="2" t="e">
        <f>VLOOKUP(CLEAN(H650),#REF!,2,FALSE)</f>
        <v>#REF!</v>
      </c>
      <c r="AZ650" s="2" t="e">
        <f>VLOOKUP(H650,#REF!,2,FALSE)</f>
        <v>#REF!</v>
      </c>
      <c r="BO650" s="2" t="e">
        <f>VLOOKUP(H650,#REF!,13,FALSE)</f>
        <v>#REF!</v>
      </c>
      <c r="BQ650" s="2" t="e">
        <f>VLOOKUP(H650,#REF!,13,FALSE)</f>
        <v>#REF!</v>
      </c>
    </row>
    <row r="651" spans="1:70" s="3" customFormat="1" ht="15" customHeight="1" outlineLevel="1">
      <c r="A651" s="7"/>
      <c r="B651" s="7"/>
      <c r="C651" s="7"/>
      <c r="D651" s="7"/>
      <c r="E651" s="8"/>
      <c r="F651" s="7"/>
      <c r="G651" s="7"/>
      <c r="H651" s="11"/>
      <c r="I651" s="11"/>
      <c r="J651" s="11"/>
      <c r="K651" s="11"/>
      <c r="L651" s="294"/>
      <c r="M651" s="26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47"/>
      <c r="Z651" s="47"/>
      <c r="AJ651" s="186"/>
      <c r="AK651" s="186"/>
      <c r="AL651" s="186"/>
      <c r="AM651" s="185" t="e">
        <f>VLOOKUP(CLEAN(H651),#REF!,7,FALSE)</f>
        <v>#REF!</v>
      </c>
      <c r="AR651" s="2" t="e">
        <f>VLOOKUP(CLEAN(H651),#REF!,2,FALSE)</f>
        <v>#REF!</v>
      </c>
      <c r="AZ651" s="2" t="e">
        <f>VLOOKUP(H651,#REF!,2,FALSE)</f>
        <v>#REF!</v>
      </c>
      <c r="BF651" s="193"/>
      <c r="BO651" s="2" t="e">
        <f>VLOOKUP(H651,#REF!,13,FALSE)</f>
        <v>#REF!</v>
      </c>
      <c r="BP651" s="7"/>
      <c r="BQ651" s="2" t="e">
        <f>VLOOKUP(H651,#REF!,13,FALSE)</f>
        <v>#REF!</v>
      </c>
    </row>
    <row r="652" spans="1:70" ht="26.25" customHeight="1" outlineLevel="1">
      <c r="A652" s="7"/>
      <c r="B652" s="7"/>
      <c r="C652" s="7"/>
      <c r="D652" s="7"/>
      <c r="E652" s="8"/>
      <c r="F652" s="7"/>
      <c r="G652" s="7"/>
      <c r="H652" s="11"/>
      <c r="I652" s="11"/>
      <c r="J652" s="11"/>
      <c r="K652" s="11"/>
      <c r="L652" s="57" t="s">
        <v>202</v>
      </c>
      <c r="M652" s="26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47"/>
      <c r="Z652" s="47"/>
      <c r="AM652" s="185" t="e">
        <f>VLOOKUP(CLEAN(H652),#REF!,7,FALSE)</f>
        <v>#REF!</v>
      </c>
      <c r="AO652"/>
      <c r="AP652"/>
      <c r="AQ652"/>
      <c r="AR652" s="2" t="e">
        <f>VLOOKUP(CLEAN(H652),#REF!,2,FALSE)</f>
        <v>#REF!</v>
      </c>
      <c r="AZ652" s="2" t="e">
        <f>VLOOKUP(H652,#REF!,2,FALSE)</f>
        <v>#REF!</v>
      </c>
      <c r="BO652" s="2" t="e">
        <f>VLOOKUP(H652,#REF!,13,FALSE)</f>
        <v>#REF!</v>
      </c>
      <c r="BQ652" s="2" t="e">
        <f>VLOOKUP(H652,#REF!,13,FALSE)</f>
        <v>#REF!</v>
      </c>
    </row>
    <row r="653" spans="1:70" ht="15" customHeight="1" outlineLevel="1">
      <c r="A653" s="7"/>
      <c r="B653" s="7"/>
      <c r="C653" s="7"/>
      <c r="D653" s="7"/>
      <c r="E653" s="8"/>
      <c r="F653" s="7"/>
      <c r="G653" s="7"/>
      <c r="H653" s="11"/>
      <c r="I653" s="11"/>
      <c r="J653" s="11"/>
      <c r="K653" s="11"/>
      <c r="L653" s="18" t="s">
        <v>695</v>
      </c>
      <c r="M653" s="26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47"/>
      <c r="Z653" s="47"/>
      <c r="AM653" s="185" t="e">
        <f>VLOOKUP(CLEAN(H653),#REF!,7,FALSE)</f>
        <v>#REF!</v>
      </c>
      <c r="AO653"/>
      <c r="AP653"/>
      <c r="AQ653"/>
      <c r="AR653" s="2" t="e">
        <f>VLOOKUP(CLEAN(H653),#REF!,2,FALSE)</f>
        <v>#REF!</v>
      </c>
      <c r="AZ653" s="2" t="e">
        <f>VLOOKUP(H653,#REF!,2,FALSE)</f>
        <v>#REF!</v>
      </c>
      <c r="BO653" s="2" t="e">
        <f>VLOOKUP(H653,#REF!,13,FALSE)</f>
        <v>#REF!</v>
      </c>
      <c r="BQ653" s="2" t="e">
        <f>VLOOKUP(H653,#REF!,13,FALSE)</f>
        <v>#REF!</v>
      </c>
    </row>
    <row r="654" spans="1:70" s="2" customFormat="1" ht="15" customHeight="1" outlineLevel="2">
      <c r="A654" s="5">
        <v>31</v>
      </c>
      <c r="B654" s="5" t="s">
        <v>54</v>
      </c>
      <c r="C654" s="5" t="s">
        <v>241</v>
      </c>
      <c r="D654" s="5" t="s">
        <v>30</v>
      </c>
      <c r="E654" s="5" t="s">
        <v>39</v>
      </c>
      <c r="F654" s="5" t="s">
        <v>15</v>
      </c>
      <c r="G654" s="5" t="s">
        <v>144</v>
      </c>
      <c r="H654" s="12">
        <v>30428525</v>
      </c>
      <c r="I654" s="42" t="str">
        <f>CONCATENATE(H654,"-",G654)</f>
        <v>30428525-EJECUCION</v>
      </c>
      <c r="J654" s="12"/>
      <c r="K654" s="307" t="str">
        <f>CLEAN(H654)</f>
        <v>30428525</v>
      </c>
      <c r="L654" s="15" t="s">
        <v>286</v>
      </c>
      <c r="M654" s="23">
        <v>460050000</v>
      </c>
      <c r="N654" s="34">
        <v>0</v>
      </c>
      <c r="O654" s="34">
        <v>460050000</v>
      </c>
      <c r="P654" s="310">
        <v>0</v>
      </c>
      <c r="Q654" s="34">
        <v>82343181</v>
      </c>
      <c r="R654" s="308">
        <v>109322152</v>
      </c>
      <c r="S654" s="34">
        <f>P654+Q654+R654</f>
        <v>191665333</v>
      </c>
      <c r="T654" s="34">
        <v>103554276</v>
      </c>
      <c r="U654" s="34">
        <v>0</v>
      </c>
      <c r="V654" s="34">
        <f>P654+Q654+R654+T654+U654</f>
        <v>295219609</v>
      </c>
      <c r="W654" s="34">
        <f>O654-V654</f>
        <v>164830391</v>
      </c>
      <c r="X654" s="34">
        <f>M654-(N654+O654)</f>
        <v>0</v>
      </c>
      <c r="Y654" s="48" t="s">
        <v>239</v>
      </c>
      <c r="Z654" s="48" t="s">
        <v>10</v>
      </c>
      <c r="AA654" s="2" t="s">
        <v>845</v>
      </c>
      <c r="AB654" s="2" t="e">
        <f>VLOOKUP(H654,#REF!,2,FALSE)</f>
        <v>#REF!</v>
      </c>
      <c r="AC654" s="2" t="e">
        <f>VLOOKUP(I654,#REF!,2,FALSE)</f>
        <v>#REF!</v>
      </c>
      <c r="AD654" s="2" t="e">
        <f>VLOOKUP(H654,#REF!,13,FALSE)</f>
        <v>#REF!</v>
      </c>
      <c r="AE654" s="2" t="e">
        <f>VLOOKUP(I654,#REF!,7,FALSE)</f>
        <v>#REF!</v>
      </c>
      <c r="AG654" s="2" t="e">
        <f>VLOOKUP(H654,#REF!,13,FALSE)</f>
        <v>#REF!</v>
      </c>
      <c r="AH654" s="2" t="e">
        <f>VLOOKUP(I654,#REF!,2,FALSE)</f>
        <v>#REF!</v>
      </c>
      <c r="AJ654" s="185" t="e">
        <f>VLOOKUP(H654,#REF!,3,FALSE)</f>
        <v>#REF!</v>
      </c>
      <c r="AK654" s="185"/>
      <c r="AL654" s="185" t="e">
        <f>VLOOKUP(H654,#REF!,13,FALSE)</f>
        <v>#REF!</v>
      </c>
      <c r="AM654" s="185" t="e">
        <f>VLOOKUP(CLEAN(H654),#REF!,7,FALSE)</f>
        <v>#REF!</v>
      </c>
      <c r="AN654" s="2" t="e">
        <f>VLOOKUP(H654,#REF!,8,FALSE)</f>
        <v>#REF!</v>
      </c>
      <c r="AO654" s="189" t="e">
        <f>VLOOKUP(H654,#REF!,2,FALSE)</f>
        <v>#REF!</v>
      </c>
      <c r="AP654" s="189" t="e">
        <f>VLOOKUP(H654,#REF!,2,FALSE)</f>
        <v>#REF!</v>
      </c>
      <c r="AQ654" s="189" t="e">
        <f>AO654-AP654</f>
        <v>#REF!</v>
      </c>
      <c r="AR654" s="189" t="e">
        <f>VLOOKUP(CLEAN(H654),#REF!,2,FALSE)</f>
        <v>#REF!</v>
      </c>
      <c r="AS654" s="189" t="e">
        <f>T654-AR654</f>
        <v>#REF!</v>
      </c>
      <c r="AT654" s="2" t="e">
        <f>VLOOKUP(H654,#REF!,13,FALSE)</f>
        <v>#REF!</v>
      </c>
      <c r="AU654" s="2" t="e">
        <f>VLOOKUP(H654,#REF!,13,FALSE)</f>
        <v>#REF!</v>
      </c>
      <c r="AV654" s="2" t="e">
        <f>VLOOKUP(H654,#REF!,13,FALSE)</f>
        <v>#REF!</v>
      </c>
      <c r="AW654" s="2" t="e">
        <f>VLOOKUP(H654,#REF!,13,FALSE)</f>
        <v>#REF!</v>
      </c>
      <c r="AX654" s="2" t="e">
        <f>VLOOKUP(H654,#REF!,9,FALSE)</f>
        <v>#REF!</v>
      </c>
      <c r="AZ654" s="189" t="e">
        <f>VLOOKUP(H654,#REF!,2,FALSE)</f>
        <v>#REF!</v>
      </c>
      <c r="BF654" s="189" t="e">
        <f>VLOOKUP(CLEAN(H654),#REF!,2,FALSE)</f>
        <v>#REF!</v>
      </c>
      <c r="BG654" s="189" t="e">
        <f>T654-BF654</f>
        <v>#REF!</v>
      </c>
      <c r="BO654" s="2" t="e">
        <f>VLOOKUP(H654,#REF!,13,FALSE)</f>
        <v>#REF!</v>
      </c>
      <c r="BP654" s="2" t="e">
        <f>VLOOKUP(H654,#REF!,2,FALSE)</f>
        <v>#REF!</v>
      </c>
      <c r="BQ654" s="2" t="e">
        <f>VLOOKUP(H654,#REF!,13,FALSE)</f>
        <v>#REF!</v>
      </c>
      <c r="BR654" s="2" t="e">
        <f>VLOOKUP(H654,#REF!,3,FALSE)</f>
        <v>#REF!</v>
      </c>
    </row>
    <row r="655" spans="1:70" ht="15" customHeight="1" outlineLevel="2">
      <c r="A655" s="7"/>
      <c r="B655" s="7"/>
      <c r="C655" s="7"/>
      <c r="D655" s="7"/>
      <c r="E655" s="7"/>
      <c r="F655" s="7"/>
      <c r="G655" s="7"/>
      <c r="H655" s="11"/>
      <c r="I655" s="11"/>
      <c r="J655" s="11"/>
      <c r="K655" s="11"/>
      <c r="L655" s="17" t="s">
        <v>691</v>
      </c>
      <c r="M655" s="27">
        <f>SUBTOTAL(9,M654)</f>
        <v>460050000</v>
      </c>
      <c r="N655" s="27">
        <f t="shared" ref="N655:O655" si="385">SUBTOTAL(9,N654)</f>
        <v>0</v>
      </c>
      <c r="O655" s="27">
        <f t="shared" si="385"/>
        <v>460050000</v>
      </c>
      <c r="P655" s="24">
        <f t="shared" ref="P655:X655" si="386">SUBTOTAL(9,P654)</f>
        <v>0</v>
      </c>
      <c r="Q655" s="24">
        <f t="shared" si="386"/>
        <v>82343181</v>
      </c>
      <c r="R655" s="24">
        <f t="shared" si="386"/>
        <v>109322152</v>
      </c>
      <c r="S655" s="27">
        <f t="shared" si="386"/>
        <v>191665333</v>
      </c>
      <c r="T655" s="27">
        <f t="shared" si="386"/>
        <v>103554276</v>
      </c>
      <c r="U655" s="27">
        <f t="shared" si="386"/>
        <v>0</v>
      </c>
      <c r="V655" s="27">
        <f t="shared" si="386"/>
        <v>295219609</v>
      </c>
      <c r="W655" s="27">
        <f t="shared" si="386"/>
        <v>164830391</v>
      </c>
      <c r="X655" s="27">
        <f t="shared" si="386"/>
        <v>0</v>
      </c>
      <c r="Y655" s="47"/>
      <c r="Z655" s="47"/>
      <c r="AM655" s="185" t="e">
        <f>VLOOKUP(CLEAN(H655),#REF!,7,FALSE)</f>
        <v>#REF!</v>
      </c>
      <c r="AO655"/>
      <c r="AP655"/>
      <c r="AQ655"/>
      <c r="AR655" s="2" t="e">
        <f>VLOOKUP(CLEAN(H655),#REF!,2,FALSE)</f>
        <v>#REF!</v>
      </c>
      <c r="AZ655" s="2" t="e">
        <f>VLOOKUP(H655,#REF!,2,FALSE)</f>
        <v>#REF!</v>
      </c>
      <c r="BO655" s="2" t="e">
        <f>VLOOKUP(H655,#REF!,13,FALSE)</f>
        <v>#REF!</v>
      </c>
      <c r="BQ655" s="2" t="e">
        <f>VLOOKUP(H655,#REF!,13,FALSE)</f>
        <v>#REF!</v>
      </c>
    </row>
    <row r="656" spans="1:70" ht="15" customHeight="1" outlineLevel="2">
      <c r="A656" s="7"/>
      <c r="B656" s="7"/>
      <c r="C656" s="7"/>
      <c r="D656" s="7"/>
      <c r="E656" s="7"/>
      <c r="F656" s="7"/>
      <c r="G656" s="7"/>
      <c r="H656" s="11"/>
      <c r="I656" s="11"/>
      <c r="J656" s="11"/>
      <c r="K656" s="11"/>
      <c r="L656" s="292"/>
      <c r="M656" s="22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47"/>
      <c r="Z656" s="47"/>
      <c r="AM656" s="185" t="e">
        <f>VLOOKUP(CLEAN(H656),#REF!,7,FALSE)</f>
        <v>#REF!</v>
      </c>
      <c r="AO656"/>
      <c r="AP656"/>
      <c r="AQ656"/>
      <c r="AR656" s="2" t="e">
        <f>VLOOKUP(CLEAN(H656),#REF!,2,FALSE)</f>
        <v>#REF!</v>
      </c>
      <c r="AZ656" s="2" t="e">
        <f>VLOOKUP(H656,#REF!,2,FALSE)</f>
        <v>#REF!</v>
      </c>
      <c r="BO656" s="2" t="e">
        <f>VLOOKUP(H656,#REF!,13,FALSE)</f>
        <v>#REF!</v>
      </c>
      <c r="BP656" s="293"/>
      <c r="BQ656" s="2" t="e">
        <f>VLOOKUP(H656,#REF!,13,FALSE)</f>
        <v>#REF!</v>
      </c>
    </row>
    <row r="657" spans="1:70" ht="15" customHeight="1" outlineLevel="2">
      <c r="A657" s="7"/>
      <c r="B657" s="7"/>
      <c r="C657" s="7"/>
      <c r="D657" s="7"/>
      <c r="E657" s="7"/>
      <c r="F657" s="7"/>
      <c r="G657" s="7"/>
      <c r="H657" s="11"/>
      <c r="I657" s="11"/>
      <c r="J657" s="11"/>
      <c r="K657" s="11"/>
      <c r="L657" s="18" t="s">
        <v>697</v>
      </c>
      <c r="M657" s="22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47"/>
      <c r="Z657" s="47"/>
      <c r="AO657"/>
      <c r="AP657"/>
      <c r="AQ657"/>
      <c r="AR657" s="2" t="e">
        <f>VLOOKUP(CLEAN(H657),#REF!,2,FALSE)</f>
        <v>#REF!</v>
      </c>
      <c r="AZ657" s="2" t="e">
        <f>VLOOKUP(H657,#REF!,2,FALSE)</f>
        <v>#REF!</v>
      </c>
      <c r="BO657" s="2" t="e">
        <f>VLOOKUP(H657,#REF!,13,FALSE)</f>
        <v>#REF!</v>
      </c>
      <c r="BQ657" s="2" t="e">
        <f>VLOOKUP(H657,#REF!,13,FALSE)</f>
        <v>#REF!</v>
      </c>
    </row>
    <row r="658" spans="1:70" s="2" customFormat="1" ht="15" customHeight="1" outlineLevel="2">
      <c r="A658" s="5">
        <v>31</v>
      </c>
      <c r="B658" s="5" t="s">
        <v>5</v>
      </c>
      <c r="C658" s="5" t="s">
        <v>311</v>
      </c>
      <c r="D658" s="5" t="s">
        <v>30</v>
      </c>
      <c r="E658" s="5" t="s">
        <v>39</v>
      </c>
      <c r="F658" s="5" t="s">
        <v>457</v>
      </c>
      <c r="G658" s="5" t="s">
        <v>144</v>
      </c>
      <c r="H658" s="12">
        <v>30090907</v>
      </c>
      <c r="I658" s="42" t="str">
        <f>CONCATENATE(H658,"-",G658)</f>
        <v>30090907-EJECUCION</v>
      </c>
      <c r="J658" s="12"/>
      <c r="K658" s="307" t="str">
        <f>CLEAN(H658)</f>
        <v>30090907</v>
      </c>
      <c r="L658" s="15" t="s">
        <v>681</v>
      </c>
      <c r="M658" s="23">
        <v>57000000</v>
      </c>
      <c r="N658" s="34">
        <v>57000000</v>
      </c>
      <c r="O658" s="34">
        <v>0</v>
      </c>
      <c r="P658" s="310">
        <v>0</v>
      </c>
      <c r="Q658" s="34">
        <v>0</v>
      </c>
      <c r="R658" s="308">
        <v>0</v>
      </c>
      <c r="S658" s="34">
        <f t="shared" ref="S658:S659" si="387">P658+Q658+R658</f>
        <v>0</v>
      </c>
      <c r="T658" s="34">
        <v>0</v>
      </c>
      <c r="U658" s="34">
        <v>0</v>
      </c>
      <c r="V658" s="34">
        <f>P658+Q658+R658+T658+U658</f>
        <v>0</v>
      </c>
      <c r="W658" s="34">
        <f>O658-V658</f>
        <v>0</v>
      </c>
      <c r="X658" s="34">
        <f>M658-(N658+O658)</f>
        <v>0</v>
      </c>
      <c r="Y658" s="48" t="s">
        <v>460</v>
      </c>
      <c r="Z658" s="48" t="s">
        <v>8</v>
      </c>
      <c r="AA658" s="2" t="s">
        <v>845</v>
      </c>
      <c r="AB658" s="2" t="e">
        <f>VLOOKUP(H658,#REF!,2,FALSE)</f>
        <v>#REF!</v>
      </c>
      <c r="AC658" s="2" t="e">
        <f>VLOOKUP(I658,#REF!,2,FALSE)</f>
        <v>#REF!</v>
      </c>
      <c r="AD658" s="2" t="e">
        <f>VLOOKUP(H658,#REF!,13,FALSE)</f>
        <v>#REF!</v>
      </c>
      <c r="AE658" s="177" t="e">
        <f>VLOOKUP(I658,#REF!,7,FALSE)</f>
        <v>#REF!</v>
      </c>
      <c r="AG658" s="2" t="e">
        <f>VLOOKUP(H658,#REF!,13,FALSE)</f>
        <v>#REF!</v>
      </c>
      <c r="AH658" s="2" t="e">
        <f>VLOOKUP(I658,#REF!,2,FALSE)</f>
        <v>#REF!</v>
      </c>
      <c r="AJ658" s="185" t="e">
        <f>VLOOKUP(H658,#REF!,3,FALSE)</f>
        <v>#REF!</v>
      </c>
      <c r="AK658" s="185"/>
      <c r="AL658" s="185" t="e">
        <f>VLOOKUP(H658,#REF!,13,FALSE)</f>
        <v>#REF!</v>
      </c>
      <c r="AM658" s="185" t="e">
        <f>VLOOKUP(CLEAN(H658),#REF!,7,FALSE)</f>
        <v>#REF!</v>
      </c>
      <c r="AN658" s="2" t="e">
        <f>VLOOKUP(H658,#REF!,8,FALSE)</f>
        <v>#REF!</v>
      </c>
      <c r="AO658" s="189" t="e">
        <f>VLOOKUP(H658,#REF!,2,FALSE)</f>
        <v>#REF!</v>
      </c>
      <c r="AP658" s="189" t="e">
        <f>VLOOKUP(H658,#REF!,2,FALSE)</f>
        <v>#REF!</v>
      </c>
      <c r="AQ658" s="189"/>
      <c r="AR658" s="2" t="e">
        <f>VLOOKUP(CLEAN(H658),#REF!,2,FALSE)</f>
        <v>#REF!</v>
      </c>
      <c r="AT658" s="2" t="e">
        <f>VLOOKUP(H658,#REF!,13,FALSE)</f>
        <v>#REF!</v>
      </c>
      <c r="AU658" s="2" t="e">
        <f>VLOOKUP(H658,#REF!,13,FALSE)</f>
        <v>#REF!</v>
      </c>
      <c r="AV658" s="2" t="e">
        <f>VLOOKUP(H658,#REF!,13,FALSE)</f>
        <v>#REF!</v>
      </c>
      <c r="AW658" s="2" t="e">
        <f>VLOOKUP(H658,#REF!,13,FALSE)</f>
        <v>#REF!</v>
      </c>
      <c r="AX658" s="2" t="e">
        <f>VLOOKUP(H658,#REF!,9,FALSE)</f>
        <v>#REF!</v>
      </c>
      <c r="AZ658" s="2" t="e">
        <f>VLOOKUP(H658,#REF!,2,FALSE)</f>
        <v>#REF!</v>
      </c>
      <c r="BF658" s="189" t="e">
        <f>VLOOKUP(CLEAN(H658),#REF!,2,FALSE)</f>
        <v>#REF!</v>
      </c>
      <c r="BG658" s="189" t="e">
        <f>T658-BF658</f>
        <v>#REF!</v>
      </c>
      <c r="BO658" s="2" t="e">
        <f>VLOOKUP(H658,#REF!,13,FALSE)</f>
        <v>#REF!</v>
      </c>
      <c r="BP658" s="2" t="e">
        <f>VLOOKUP(H658,#REF!,2,FALSE)</f>
        <v>#REF!</v>
      </c>
      <c r="BQ658" s="2" t="e">
        <f>VLOOKUP(H658,#REF!,13,FALSE)</f>
        <v>#REF!</v>
      </c>
      <c r="BR658" s="2" t="e">
        <f>VLOOKUP(H658,#REF!,3,FALSE)</f>
        <v>#REF!</v>
      </c>
    </row>
    <row r="659" spans="1:70" s="2" customFormat="1" ht="15" customHeight="1" outlineLevel="2">
      <c r="A659" s="5">
        <v>24</v>
      </c>
      <c r="B659" s="5" t="s">
        <v>11</v>
      </c>
      <c r="C659" s="5" t="s">
        <v>576</v>
      </c>
      <c r="D659" s="5" t="s">
        <v>30</v>
      </c>
      <c r="E659" s="5" t="s">
        <v>39</v>
      </c>
      <c r="F659" s="5" t="s">
        <v>75</v>
      </c>
      <c r="G659" s="5" t="s">
        <v>144</v>
      </c>
      <c r="H659" s="12">
        <v>30137134</v>
      </c>
      <c r="I659" s="42" t="str">
        <f t="shared" ref="I659" si="388">CONCATENATE(H659,"-",G659)</f>
        <v>30137134-EJECUCION</v>
      </c>
      <c r="J659" s="14"/>
      <c r="L659" s="15" t="s">
        <v>1009</v>
      </c>
      <c r="M659" s="23">
        <v>28649425</v>
      </c>
      <c r="N659" s="34">
        <v>0</v>
      </c>
      <c r="O659" s="34">
        <v>28649425</v>
      </c>
      <c r="P659" s="310"/>
      <c r="Q659" s="34"/>
      <c r="R659" s="308"/>
      <c r="S659" s="34">
        <f t="shared" si="387"/>
        <v>0</v>
      </c>
      <c r="T659" s="34">
        <v>0</v>
      </c>
      <c r="U659" s="23">
        <v>28649425</v>
      </c>
      <c r="V659" s="34">
        <f>P659+Q659+R659+T659+U659</f>
        <v>28649425</v>
      </c>
      <c r="W659" s="34">
        <f>O659-V659</f>
        <v>0</v>
      </c>
      <c r="X659" s="34">
        <f>M659-(N659+O659)</f>
        <v>0</v>
      </c>
      <c r="Y659" s="48" t="s">
        <v>239</v>
      </c>
      <c r="Z659" s="48" t="s">
        <v>12</v>
      </c>
      <c r="AO659" s="189"/>
      <c r="AP659" s="189"/>
      <c r="AQ659" s="189"/>
      <c r="BF659" s="189"/>
      <c r="BG659" s="189"/>
    </row>
    <row r="660" spans="1:70" ht="15" customHeight="1" outlineLevel="2">
      <c r="A660" s="7"/>
      <c r="B660" s="7"/>
      <c r="C660" s="7"/>
      <c r="D660" s="7"/>
      <c r="E660" s="7"/>
      <c r="F660" s="7"/>
      <c r="G660" s="7"/>
      <c r="H660" s="11"/>
      <c r="I660" s="11"/>
      <c r="J660" s="11"/>
      <c r="K660" s="11"/>
      <c r="L660" s="17" t="s">
        <v>694</v>
      </c>
      <c r="M660" s="27">
        <f>SUBTOTAL(9,M658:M659)</f>
        <v>85649425</v>
      </c>
      <c r="N660" s="27">
        <f t="shared" ref="N660:X660" si="389">SUBTOTAL(9,N658:N659)</f>
        <v>57000000</v>
      </c>
      <c r="O660" s="27">
        <f t="shared" si="389"/>
        <v>28649425</v>
      </c>
      <c r="P660" s="24">
        <f t="shared" si="389"/>
        <v>0</v>
      </c>
      <c r="Q660" s="24">
        <f t="shared" si="389"/>
        <v>0</v>
      </c>
      <c r="R660" s="24">
        <f t="shared" si="389"/>
        <v>0</v>
      </c>
      <c r="S660" s="27">
        <f t="shared" si="389"/>
        <v>0</v>
      </c>
      <c r="T660" s="27">
        <f t="shared" si="389"/>
        <v>0</v>
      </c>
      <c r="U660" s="27">
        <f t="shared" si="389"/>
        <v>28649425</v>
      </c>
      <c r="V660" s="27">
        <f t="shared" si="389"/>
        <v>28649425</v>
      </c>
      <c r="W660" s="27">
        <f t="shared" si="389"/>
        <v>0</v>
      </c>
      <c r="X660" s="27">
        <f t="shared" si="389"/>
        <v>0</v>
      </c>
      <c r="Y660" s="47"/>
      <c r="Z660" s="47"/>
      <c r="AO660"/>
      <c r="AP660"/>
      <c r="AQ660"/>
      <c r="AR660" s="2" t="e">
        <f>VLOOKUP(CLEAN(H660),#REF!,2,FALSE)</f>
        <v>#REF!</v>
      </c>
      <c r="AZ660" s="2" t="e">
        <f>VLOOKUP(H660,#REF!,2,FALSE)</f>
        <v>#REF!</v>
      </c>
      <c r="BO660" s="2" t="e">
        <f>VLOOKUP(H660,#REF!,13,FALSE)</f>
        <v>#REF!</v>
      </c>
      <c r="BQ660" s="2" t="e">
        <f>VLOOKUP(H660,#REF!,13,FALSE)</f>
        <v>#REF!</v>
      </c>
    </row>
    <row r="661" spans="1:70" ht="15" customHeight="1" outlineLevel="2">
      <c r="A661" s="7"/>
      <c r="B661" s="7"/>
      <c r="C661" s="7"/>
      <c r="D661" s="7"/>
      <c r="E661" s="7"/>
      <c r="F661" s="7"/>
      <c r="G661" s="7"/>
      <c r="H661" s="11"/>
      <c r="I661" s="11"/>
      <c r="J661" s="11"/>
      <c r="K661" s="11"/>
      <c r="L661" s="292"/>
      <c r="M661" s="22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47"/>
      <c r="Z661" s="47"/>
      <c r="AO661"/>
      <c r="AP661"/>
      <c r="AQ661"/>
      <c r="AR661" s="2" t="e">
        <f>VLOOKUP(CLEAN(H661),#REF!,2,FALSE)</f>
        <v>#REF!</v>
      </c>
      <c r="AZ661" s="2" t="e">
        <f>VLOOKUP(H661,#REF!,2,FALSE)</f>
        <v>#REF!</v>
      </c>
      <c r="BO661" s="2" t="e">
        <f>VLOOKUP(H661,#REF!,13,FALSE)</f>
        <v>#REF!</v>
      </c>
      <c r="BP661" s="293"/>
      <c r="BQ661" s="2" t="e">
        <f>VLOOKUP(H661,#REF!,13,FALSE)</f>
        <v>#REF!</v>
      </c>
    </row>
    <row r="662" spans="1:70" ht="15" customHeight="1" outlineLevel="2">
      <c r="A662" s="7"/>
      <c r="B662" s="7"/>
      <c r="C662" s="7"/>
      <c r="D662" s="7"/>
      <c r="E662" s="7"/>
      <c r="F662" s="7"/>
      <c r="G662" s="7"/>
      <c r="H662" s="11"/>
      <c r="I662" s="11"/>
      <c r="J662" s="11"/>
      <c r="K662" s="11"/>
      <c r="L662" s="18" t="s">
        <v>698</v>
      </c>
      <c r="M662" s="22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47"/>
      <c r="Z662" s="47"/>
      <c r="AO662"/>
      <c r="AP662"/>
      <c r="AQ662"/>
      <c r="AR662" s="2" t="e">
        <f>VLOOKUP(CLEAN(H662),#REF!,2,FALSE)</f>
        <v>#REF!</v>
      </c>
      <c r="AZ662" s="2" t="e">
        <f>VLOOKUP(H662,#REF!,2,FALSE)</f>
        <v>#REF!</v>
      </c>
      <c r="BO662" s="2" t="e">
        <f>VLOOKUP(H662,#REF!,13,FALSE)</f>
        <v>#REF!</v>
      </c>
      <c r="BQ662" s="2" t="e">
        <f>VLOOKUP(H662,#REF!,13,FALSE)</f>
        <v>#REF!</v>
      </c>
    </row>
    <row r="663" spans="1:70" s="2" customFormat="1" ht="15" customHeight="1" outlineLevel="2">
      <c r="A663" s="5">
        <v>29</v>
      </c>
      <c r="B663" s="5" t="s">
        <v>11</v>
      </c>
      <c r="C663" s="5" t="s">
        <v>251</v>
      </c>
      <c r="D663" s="5" t="s">
        <v>30</v>
      </c>
      <c r="E663" s="5" t="s">
        <v>39</v>
      </c>
      <c r="F663" s="5" t="s">
        <v>457</v>
      </c>
      <c r="G663" s="5" t="s">
        <v>144</v>
      </c>
      <c r="H663" s="12">
        <v>30375772</v>
      </c>
      <c r="I663" s="42" t="str">
        <f t="shared" ref="I663:I664" si="390">CONCATENATE(H663,"-",G663)</f>
        <v>30375772-EJECUCION</v>
      </c>
      <c r="J663" s="12"/>
      <c r="K663" s="307" t="str">
        <f t="shared" ref="K663:K664" si="391">CLEAN(H663)</f>
        <v>30375772</v>
      </c>
      <c r="L663" s="15" t="s">
        <v>762</v>
      </c>
      <c r="M663" s="23">
        <v>359065000</v>
      </c>
      <c r="N663" s="34">
        <v>0</v>
      </c>
      <c r="O663" s="34">
        <v>359065000</v>
      </c>
      <c r="P663" s="310">
        <v>0</v>
      </c>
      <c r="Q663" s="34">
        <v>0</v>
      </c>
      <c r="R663" s="308">
        <v>0</v>
      </c>
      <c r="S663" s="34">
        <f t="shared" ref="S663:S664" si="392">P663+Q663+R663</f>
        <v>0</v>
      </c>
      <c r="T663" s="34">
        <v>0</v>
      </c>
      <c r="U663" s="34">
        <v>0</v>
      </c>
      <c r="V663" s="34">
        <f>P663+Q663+R663+T663+U663</f>
        <v>0</v>
      </c>
      <c r="W663" s="34">
        <f>O663-V663</f>
        <v>359065000</v>
      </c>
      <c r="X663" s="34">
        <f>M663-(N663+O663)</f>
        <v>0</v>
      </c>
      <c r="Y663" s="48" t="s">
        <v>460</v>
      </c>
      <c r="Z663" s="48" t="s">
        <v>10</v>
      </c>
      <c r="AA663" s="2" t="e">
        <v>#N/A</v>
      </c>
      <c r="AB663" s="2" t="e">
        <f>VLOOKUP(H663,#REF!,2,FALSE)</f>
        <v>#REF!</v>
      </c>
      <c r="AC663" s="2" t="e">
        <f>VLOOKUP(I663,#REF!,2,FALSE)</f>
        <v>#REF!</v>
      </c>
      <c r="AD663" s="2" t="e">
        <f>VLOOKUP(H663,#REF!,13,FALSE)</f>
        <v>#REF!</v>
      </c>
      <c r="AE663" s="2" t="e">
        <f>VLOOKUP(I663,#REF!,7,FALSE)</f>
        <v>#REF!</v>
      </c>
      <c r="AG663" s="2" t="e">
        <f>VLOOKUP(H663,#REF!,13,FALSE)</f>
        <v>#REF!</v>
      </c>
      <c r="AH663" s="2" t="e">
        <f>VLOOKUP(I663,#REF!,2,FALSE)</f>
        <v>#REF!</v>
      </c>
      <c r="AJ663" s="185" t="e">
        <f>VLOOKUP(H663,#REF!,3,FALSE)</f>
        <v>#REF!</v>
      </c>
      <c r="AK663" s="185"/>
      <c r="AL663" s="185" t="e">
        <f>VLOOKUP(H663,#REF!,13,FALSE)</f>
        <v>#REF!</v>
      </c>
      <c r="AM663" s="185" t="e">
        <f>VLOOKUP(CLEAN(H663),#REF!,7,FALSE)</f>
        <v>#REF!</v>
      </c>
      <c r="AN663" s="2" t="e">
        <f>VLOOKUP(H663,#REF!,8,FALSE)</f>
        <v>#REF!</v>
      </c>
      <c r="AO663" s="189" t="e">
        <f>VLOOKUP(H663,#REF!,2,FALSE)</f>
        <v>#REF!</v>
      </c>
      <c r="AP663" s="189" t="e">
        <f>VLOOKUP(H663,#REF!,2,FALSE)</f>
        <v>#REF!</v>
      </c>
      <c r="AQ663" s="189"/>
      <c r="AR663" s="2" t="e">
        <f>VLOOKUP(CLEAN(H663),#REF!,2,FALSE)</f>
        <v>#REF!</v>
      </c>
      <c r="AT663" s="2" t="e">
        <f>VLOOKUP(H663,#REF!,13,FALSE)</f>
        <v>#REF!</v>
      </c>
      <c r="AU663" s="2" t="e">
        <f>VLOOKUP(H663,#REF!,13,FALSE)</f>
        <v>#REF!</v>
      </c>
      <c r="AV663" s="2" t="e">
        <f>VLOOKUP(H663,#REF!,13,FALSE)</f>
        <v>#REF!</v>
      </c>
      <c r="AW663" s="2" t="e">
        <f>VLOOKUP(H663,#REF!,13,FALSE)</f>
        <v>#REF!</v>
      </c>
      <c r="AX663" s="2" t="e">
        <f>VLOOKUP(H663,#REF!,9,FALSE)</f>
        <v>#REF!</v>
      </c>
      <c r="AZ663" s="189" t="e">
        <f>VLOOKUP(H663,#REF!,2,FALSE)</f>
        <v>#REF!</v>
      </c>
      <c r="BF663" s="189" t="e">
        <f>VLOOKUP(CLEAN(H663),#REF!,2,FALSE)</f>
        <v>#REF!</v>
      </c>
      <c r="BG663" s="189" t="e">
        <f>T663-BF663</f>
        <v>#REF!</v>
      </c>
      <c r="BO663" s="2" t="e">
        <f>VLOOKUP(H663,#REF!,13,FALSE)</f>
        <v>#REF!</v>
      </c>
      <c r="BP663" s="2" t="e">
        <f>VLOOKUP(H663,#REF!,2,FALSE)</f>
        <v>#REF!</v>
      </c>
      <c r="BQ663" s="2" t="e">
        <f>VLOOKUP(H663,#REF!,13,FALSE)</f>
        <v>#REF!</v>
      </c>
      <c r="BR663" s="2" t="e">
        <f>VLOOKUP(H663,#REF!,3,FALSE)</f>
        <v>#REF!</v>
      </c>
    </row>
    <row r="664" spans="1:70" s="2" customFormat="1" ht="15" customHeight="1" outlineLevel="2">
      <c r="A664" s="5">
        <v>31</v>
      </c>
      <c r="B664" s="5" t="s">
        <v>54</v>
      </c>
      <c r="C664" s="5" t="s">
        <v>238</v>
      </c>
      <c r="D664" s="5" t="s">
        <v>30</v>
      </c>
      <c r="E664" s="5" t="s">
        <v>39</v>
      </c>
      <c r="F664" s="5" t="s">
        <v>89</v>
      </c>
      <c r="G664" s="5" t="s">
        <v>144</v>
      </c>
      <c r="H664" s="12">
        <v>30472589</v>
      </c>
      <c r="I664" s="42" t="str">
        <f t="shared" si="390"/>
        <v>30472589-EJECUCION</v>
      </c>
      <c r="J664" s="12"/>
      <c r="K664" s="307" t="str">
        <f t="shared" si="391"/>
        <v>30472589</v>
      </c>
      <c r="L664" s="15" t="s">
        <v>113</v>
      </c>
      <c r="M664" s="23">
        <v>2492785000</v>
      </c>
      <c r="N664" s="34">
        <v>25770000</v>
      </c>
      <c r="O664" s="34">
        <v>100000000</v>
      </c>
      <c r="P664" s="310">
        <v>0</v>
      </c>
      <c r="Q664" s="34">
        <v>0</v>
      </c>
      <c r="R664" s="308">
        <v>0</v>
      </c>
      <c r="S664" s="34">
        <f t="shared" si="392"/>
        <v>0</v>
      </c>
      <c r="T664" s="34">
        <v>0</v>
      </c>
      <c r="U664" s="34">
        <v>0</v>
      </c>
      <c r="V664" s="34">
        <f>P664+Q664+R664+T664+U664</f>
        <v>0</v>
      </c>
      <c r="W664" s="34">
        <f>O664-V664</f>
        <v>100000000</v>
      </c>
      <c r="X664" s="34">
        <f>M664-(N664+O664)</f>
        <v>2367015000</v>
      </c>
      <c r="Y664" s="48" t="s">
        <v>85</v>
      </c>
      <c r="Z664" s="48" t="s">
        <v>8</v>
      </c>
      <c r="AA664" s="2" t="s">
        <v>844</v>
      </c>
      <c r="AB664" s="2" t="e">
        <f>VLOOKUP(H664,#REF!,2,FALSE)</f>
        <v>#REF!</v>
      </c>
      <c r="AC664" s="2" t="e">
        <f>VLOOKUP(I664,#REF!,2,FALSE)</f>
        <v>#REF!</v>
      </c>
      <c r="AD664" s="2" t="e">
        <f>VLOOKUP(H664,#REF!,13,FALSE)</f>
        <v>#REF!</v>
      </c>
      <c r="AE664" s="2" t="e">
        <f>VLOOKUP(I664,#REF!,7,FALSE)</f>
        <v>#REF!</v>
      </c>
      <c r="AG664" s="2" t="e">
        <f>VLOOKUP(H664,#REF!,13,FALSE)</f>
        <v>#REF!</v>
      </c>
      <c r="AH664" s="2" t="e">
        <f>VLOOKUP(I664,#REF!,2,FALSE)</f>
        <v>#REF!</v>
      </c>
      <c r="AJ664" s="185" t="e">
        <f>VLOOKUP(H664,#REF!,3,FALSE)</f>
        <v>#REF!</v>
      </c>
      <c r="AK664" s="185"/>
      <c r="AL664" s="185" t="e">
        <f>VLOOKUP(H664,#REF!,13,FALSE)</f>
        <v>#REF!</v>
      </c>
      <c r="AM664" s="185" t="e">
        <f>VLOOKUP(CLEAN(H664),#REF!,7,FALSE)</f>
        <v>#REF!</v>
      </c>
      <c r="AN664" s="2" t="e">
        <f>VLOOKUP(H664,#REF!,8,FALSE)</f>
        <v>#REF!</v>
      </c>
      <c r="AO664" s="189" t="e">
        <f>VLOOKUP(H664,#REF!,2,FALSE)</f>
        <v>#REF!</v>
      </c>
      <c r="AP664" s="189" t="e">
        <f>VLOOKUP(H664,#REF!,2,FALSE)</f>
        <v>#REF!</v>
      </c>
      <c r="AQ664" s="189"/>
      <c r="AR664" s="2" t="e">
        <f>VLOOKUP(CLEAN(H664),#REF!,2,FALSE)</f>
        <v>#REF!</v>
      </c>
      <c r="AT664" s="2" t="e">
        <f>VLOOKUP(H664,#REF!,13,FALSE)</f>
        <v>#REF!</v>
      </c>
      <c r="AU664" s="2" t="e">
        <f>VLOOKUP(H664,#REF!,13,FALSE)</f>
        <v>#REF!</v>
      </c>
      <c r="AV664" s="2" t="e">
        <f>VLOOKUP(H664,#REF!,13,FALSE)</f>
        <v>#REF!</v>
      </c>
      <c r="AW664" s="2" t="e">
        <f>VLOOKUP(H664,#REF!,13,FALSE)</f>
        <v>#REF!</v>
      </c>
      <c r="AX664" s="2" t="e">
        <f>VLOOKUP(H664,#REF!,9,FALSE)</f>
        <v>#REF!</v>
      </c>
      <c r="AZ664" s="189" t="e">
        <f>VLOOKUP(H664,#REF!,2,FALSE)</f>
        <v>#REF!</v>
      </c>
      <c r="BF664" s="189" t="e">
        <f>VLOOKUP(CLEAN(H664),#REF!,2,FALSE)</f>
        <v>#REF!</v>
      </c>
      <c r="BG664" s="189" t="e">
        <f>T664-BF664</f>
        <v>#REF!</v>
      </c>
      <c r="BO664" s="2" t="e">
        <f>VLOOKUP(H664,#REF!,13,FALSE)</f>
        <v>#REF!</v>
      </c>
      <c r="BP664" s="2" t="e">
        <f>VLOOKUP(H664,#REF!,2,FALSE)</f>
        <v>#REF!</v>
      </c>
      <c r="BQ664" s="2" t="e">
        <f>VLOOKUP(H664,#REF!,13,FALSE)</f>
        <v>#REF!</v>
      </c>
      <c r="BR664" s="2" t="e">
        <f>VLOOKUP(H664,#REF!,3,FALSE)</f>
        <v>#REF!</v>
      </c>
    </row>
    <row r="665" spans="1:70" ht="15" customHeight="1" outlineLevel="2">
      <c r="A665" s="7"/>
      <c r="B665" s="7"/>
      <c r="C665" s="7"/>
      <c r="D665" s="7"/>
      <c r="E665" s="7"/>
      <c r="F665" s="7"/>
      <c r="G665" s="7"/>
      <c r="H665" s="11"/>
      <c r="I665" s="11"/>
      <c r="J665" s="11"/>
      <c r="K665" s="11"/>
      <c r="L665" s="17" t="s">
        <v>692</v>
      </c>
      <c r="M665" s="27">
        <f>SUBTOTAL(9,M663:M664)</f>
        <v>2851850000</v>
      </c>
      <c r="N665" s="27">
        <f t="shared" ref="N665:O665" si="393">SUBTOTAL(9,N663:N664)</f>
        <v>25770000</v>
      </c>
      <c r="O665" s="27">
        <f t="shared" si="393"/>
        <v>459065000</v>
      </c>
      <c r="P665" s="24">
        <f t="shared" ref="P665:X665" si="394">SUBTOTAL(9,P663:P664)</f>
        <v>0</v>
      </c>
      <c r="Q665" s="24">
        <f t="shared" si="394"/>
        <v>0</v>
      </c>
      <c r="R665" s="24">
        <f t="shared" si="394"/>
        <v>0</v>
      </c>
      <c r="S665" s="27">
        <f t="shared" si="394"/>
        <v>0</v>
      </c>
      <c r="T665" s="27">
        <f t="shared" si="394"/>
        <v>0</v>
      </c>
      <c r="U665" s="27">
        <f t="shared" si="394"/>
        <v>0</v>
      </c>
      <c r="V665" s="27">
        <f t="shared" si="394"/>
        <v>0</v>
      </c>
      <c r="W665" s="27">
        <f t="shared" si="394"/>
        <v>459065000</v>
      </c>
      <c r="X665" s="27">
        <f t="shared" si="394"/>
        <v>2367015000</v>
      </c>
      <c r="Y665" s="47"/>
      <c r="Z665" s="47"/>
      <c r="AO665"/>
      <c r="AP665"/>
      <c r="AQ665"/>
      <c r="AR665" s="2" t="e">
        <f>VLOOKUP(CLEAN(H665),#REF!,2,FALSE)</f>
        <v>#REF!</v>
      </c>
      <c r="AZ665" s="2" t="e">
        <f>VLOOKUP(H665,#REF!,2,FALSE)</f>
        <v>#REF!</v>
      </c>
      <c r="BO665" s="2" t="e">
        <f>VLOOKUP(H665,#REF!,13,FALSE)</f>
        <v>#REF!</v>
      </c>
      <c r="BQ665" s="2" t="e">
        <f>VLOOKUP(H665,#REF!,13,FALSE)</f>
        <v>#REF!</v>
      </c>
    </row>
    <row r="666" spans="1:70" ht="15" customHeight="1" outlineLevel="2">
      <c r="A666" s="7"/>
      <c r="B666" s="7"/>
      <c r="C666" s="7"/>
      <c r="D666" s="7"/>
      <c r="E666" s="7"/>
      <c r="F666" s="7"/>
      <c r="G666" s="7"/>
      <c r="H666" s="11"/>
      <c r="I666" s="11"/>
      <c r="J666" s="11"/>
      <c r="K666" s="11"/>
      <c r="L666" s="292"/>
      <c r="M666" s="22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47"/>
      <c r="Z666" s="47"/>
      <c r="AO666"/>
      <c r="AP666"/>
      <c r="AQ666"/>
      <c r="AR666" s="2" t="e">
        <f>VLOOKUP(CLEAN(H666),#REF!,2,FALSE)</f>
        <v>#REF!</v>
      </c>
      <c r="AZ666" s="2" t="e">
        <f>VLOOKUP(H666,#REF!,2,FALSE)</f>
        <v>#REF!</v>
      </c>
      <c r="BO666" s="2" t="e">
        <f>VLOOKUP(H666,#REF!,13,FALSE)</f>
        <v>#REF!</v>
      </c>
      <c r="BP666" s="293"/>
      <c r="BQ666" s="2" t="e">
        <f>VLOOKUP(H666,#REF!,13,FALSE)</f>
        <v>#REF!</v>
      </c>
    </row>
    <row r="667" spans="1:70" ht="15" customHeight="1" outlineLevel="2">
      <c r="A667" s="7"/>
      <c r="B667" s="7"/>
      <c r="C667" s="7"/>
      <c r="D667" s="7"/>
      <c r="E667" s="7"/>
      <c r="F667" s="7"/>
      <c r="G667" s="7"/>
      <c r="H667" s="11"/>
      <c r="I667" s="11"/>
      <c r="J667" s="11"/>
      <c r="K667" s="11"/>
      <c r="L667" s="18" t="s">
        <v>701</v>
      </c>
      <c r="M667" s="22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47"/>
      <c r="Z667" s="47"/>
      <c r="AM667" s="185" t="e">
        <f>VLOOKUP(CLEAN(H667),#REF!,7,FALSE)</f>
        <v>#REF!</v>
      </c>
      <c r="AO667"/>
      <c r="AP667"/>
      <c r="AQ667"/>
      <c r="AR667" s="2" t="e">
        <f>VLOOKUP(CLEAN(H667),#REF!,2,FALSE)</f>
        <v>#REF!</v>
      </c>
      <c r="AZ667" s="2" t="e">
        <f>VLOOKUP(H667,#REF!,2,FALSE)</f>
        <v>#REF!</v>
      </c>
      <c r="BO667" s="2" t="e">
        <f>VLOOKUP(H667,#REF!,13,FALSE)</f>
        <v>#REF!</v>
      </c>
      <c r="BQ667" s="2" t="e">
        <f>VLOOKUP(H667,#REF!,13,FALSE)</f>
        <v>#REF!</v>
      </c>
    </row>
    <row r="668" spans="1:70" s="2" customFormat="1" ht="15" customHeight="1" outlineLevel="2">
      <c r="A668" s="5">
        <v>31</v>
      </c>
      <c r="B668" s="5" t="s">
        <v>54</v>
      </c>
      <c r="C668" s="5" t="s">
        <v>252</v>
      </c>
      <c r="D668" s="5" t="s">
        <v>30</v>
      </c>
      <c r="E668" s="5" t="s">
        <v>39</v>
      </c>
      <c r="F668" s="5" t="s">
        <v>75</v>
      </c>
      <c r="G668" s="5" t="s">
        <v>144</v>
      </c>
      <c r="H668" s="12">
        <v>30118591</v>
      </c>
      <c r="I668" s="42" t="str">
        <f>CONCATENATE(H668,"-",G668)</f>
        <v>30118591-EJECUCION</v>
      </c>
      <c r="J668" s="12"/>
      <c r="K668" s="307" t="str">
        <f>CLEAN(H668)</f>
        <v>30118591</v>
      </c>
      <c r="L668" s="15" t="s">
        <v>800</v>
      </c>
      <c r="M668" s="23">
        <v>237928000</v>
      </c>
      <c r="N668" s="34">
        <v>0</v>
      </c>
      <c r="O668" s="34">
        <v>237928000</v>
      </c>
      <c r="P668" s="310">
        <v>0</v>
      </c>
      <c r="Q668" s="34">
        <v>0</v>
      </c>
      <c r="R668" s="308">
        <v>0</v>
      </c>
      <c r="S668" s="34">
        <f>P668+Q668+R668</f>
        <v>0</v>
      </c>
      <c r="T668" s="34">
        <v>0</v>
      </c>
      <c r="U668" s="34">
        <v>0</v>
      </c>
      <c r="V668" s="34">
        <f>P668+Q668+R668+T668+U668</f>
        <v>0</v>
      </c>
      <c r="W668" s="34">
        <f>O668-V668</f>
        <v>237928000</v>
      </c>
      <c r="X668" s="34">
        <f>M668-(N668+O668)</f>
        <v>0</v>
      </c>
      <c r="Y668" s="48" t="s">
        <v>418</v>
      </c>
      <c r="Z668" s="48" t="s">
        <v>8</v>
      </c>
      <c r="AA668" s="2" t="e">
        <v>#N/A</v>
      </c>
      <c r="AB668" s="2" t="e">
        <f>VLOOKUP(H668,#REF!,2,FALSE)</f>
        <v>#REF!</v>
      </c>
      <c r="AC668" s="2" t="e">
        <f>VLOOKUP(I668,#REF!,2,FALSE)</f>
        <v>#REF!</v>
      </c>
      <c r="AD668" s="2" t="e">
        <f>VLOOKUP(H668,#REF!,13,FALSE)</f>
        <v>#REF!</v>
      </c>
      <c r="AE668" s="2" t="e">
        <f>VLOOKUP(I668,#REF!,7,FALSE)</f>
        <v>#REF!</v>
      </c>
      <c r="AG668" s="2" t="e">
        <f>VLOOKUP(H668,#REF!,13,FALSE)</f>
        <v>#REF!</v>
      </c>
      <c r="AH668" s="2" t="e">
        <f>VLOOKUP(I668,#REF!,2,FALSE)</f>
        <v>#REF!</v>
      </c>
      <c r="AJ668" s="185" t="e">
        <f>VLOOKUP(H668,#REF!,3,FALSE)</f>
        <v>#REF!</v>
      </c>
      <c r="AK668" s="185"/>
      <c r="AL668" s="185" t="e">
        <f>VLOOKUP(H668,#REF!,13,FALSE)</f>
        <v>#REF!</v>
      </c>
      <c r="AM668" s="185" t="e">
        <f>VLOOKUP(CLEAN(H668),#REF!,7,FALSE)</f>
        <v>#REF!</v>
      </c>
      <c r="AN668" s="2" t="e">
        <f>VLOOKUP(H668,#REF!,8,FALSE)</f>
        <v>#REF!</v>
      </c>
      <c r="AO668" s="189" t="e">
        <f>VLOOKUP(H668,#REF!,2,FALSE)</f>
        <v>#REF!</v>
      </c>
      <c r="AP668" s="189" t="e">
        <f>VLOOKUP(H668,#REF!,2,FALSE)</f>
        <v>#REF!</v>
      </c>
      <c r="AQ668" s="189"/>
      <c r="AR668" s="2" t="e">
        <f>VLOOKUP(CLEAN(H668),#REF!,2,FALSE)</f>
        <v>#REF!</v>
      </c>
      <c r="AT668" s="2" t="e">
        <f>VLOOKUP(H668,#REF!,13,FALSE)</f>
        <v>#REF!</v>
      </c>
      <c r="AU668" s="2" t="e">
        <f>VLOOKUP(H668,#REF!,13,FALSE)</f>
        <v>#REF!</v>
      </c>
      <c r="AV668" s="2" t="e">
        <f>VLOOKUP(H668,#REF!,13,FALSE)</f>
        <v>#REF!</v>
      </c>
      <c r="AW668" s="2" t="e">
        <f>VLOOKUP(H668,#REF!,13,FALSE)</f>
        <v>#REF!</v>
      </c>
      <c r="AX668" s="2" t="e">
        <f>VLOOKUP(H668,#REF!,9,FALSE)</f>
        <v>#REF!</v>
      </c>
      <c r="AZ668" s="189" t="e">
        <f>VLOOKUP(H668,#REF!,2,FALSE)</f>
        <v>#REF!</v>
      </c>
      <c r="BF668" s="189" t="e">
        <f>VLOOKUP(CLEAN(H668),#REF!,2,FALSE)</f>
        <v>#REF!</v>
      </c>
      <c r="BG668" s="189" t="e">
        <f>T668-BF668</f>
        <v>#REF!</v>
      </c>
      <c r="BO668" s="2" t="e">
        <f>VLOOKUP(H668,#REF!,13,FALSE)</f>
        <v>#REF!</v>
      </c>
      <c r="BP668" s="2" t="e">
        <f>VLOOKUP(H668,#REF!,2,FALSE)</f>
        <v>#REF!</v>
      </c>
      <c r="BQ668" s="2" t="e">
        <f>VLOOKUP(H668,#REF!,13,FALSE)</f>
        <v>#REF!</v>
      </c>
      <c r="BR668" s="2" t="e">
        <f>VLOOKUP(H668,#REF!,3,FALSE)</f>
        <v>#REF!</v>
      </c>
    </row>
    <row r="669" spans="1:70" ht="15" customHeight="1" outlineLevel="2">
      <c r="A669" s="7"/>
      <c r="B669" s="7"/>
      <c r="C669" s="7"/>
      <c r="D669" s="7"/>
      <c r="E669" s="7"/>
      <c r="F669" s="7"/>
      <c r="G669" s="7"/>
      <c r="H669" s="11"/>
      <c r="I669" s="11"/>
      <c r="J669" s="11"/>
      <c r="K669" s="11"/>
      <c r="L669" s="17" t="s">
        <v>702</v>
      </c>
      <c r="M669" s="27">
        <f>SUBTOTAL(9,M668)</f>
        <v>237928000</v>
      </c>
      <c r="N669" s="27">
        <f t="shared" ref="N669:O669" si="395">SUBTOTAL(9,N668)</f>
        <v>0</v>
      </c>
      <c r="O669" s="27">
        <f t="shared" si="395"/>
        <v>237928000</v>
      </c>
      <c r="P669" s="24">
        <f t="shared" ref="P669:X669" si="396">SUBTOTAL(9,P668)</f>
        <v>0</v>
      </c>
      <c r="Q669" s="24">
        <f t="shared" si="396"/>
        <v>0</v>
      </c>
      <c r="R669" s="24">
        <f t="shared" si="396"/>
        <v>0</v>
      </c>
      <c r="S669" s="27">
        <f t="shared" si="396"/>
        <v>0</v>
      </c>
      <c r="T669" s="27">
        <f t="shared" si="396"/>
        <v>0</v>
      </c>
      <c r="U669" s="27">
        <f t="shared" si="396"/>
        <v>0</v>
      </c>
      <c r="V669" s="27">
        <f t="shared" si="396"/>
        <v>0</v>
      </c>
      <c r="W669" s="27">
        <f t="shared" si="396"/>
        <v>237928000</v>
      </c>
      <c r="X669" s="27">
        <f t="shared" si="396"/>
        <v>0</v>
      </c>
      <c r="Y669" s="47"/>
      <c r="Z669" s="47"/>
      <c r="AM669" s="185" t="e">
        <f>VLOOKUP(CLEAN(H669),#REF!,7,FALSE)</f>
        <v>#REF!</v>
      </c>
      <c r="AO669"/>
      <c r="AP669"/>
      <c r="AQ669"/>
      <c r="AR669" s="2" t="e">
        <f>VLOOKUP(CLEAN(H669),#REF!,2,FALSE)</f>
        <v>#REF!</v>
      </c>
      <c r="AZ669" s="2" t="e">
        <f>VLOOKUP(H669,#REF!,2,FALSE)</f>
        <v>#REF!</v>
      </c>
      <c r="BO669" s="2" t="e">
        <f>VLOOKUP(H669,#REF!,13,FALSE)</f>
        <v>#REF!</v>
      </c>
      <c r="BQ669" s="2" t="e">
        <f>VLOOKUP(H669,#REF!,13,FALSE)</f>
        <v>#REF!</v>
      </c>
    </row>
    <row r="670" spans="1:70" ht="15" customHeight="1" outlineLevel="2">
      <c r="A670" s="7"/>
      <c r="B670" s="7"/>
      <c r="C670" s="7"/>
      <c r="D670" s="7"/>
      <c r="E670" s="7"/>
      <c r="F670" s="7"/>
      <c r="G670" s="7"/>
      <c r="H670" s="11"/>
      <c r="I670" s="11"/>
      <c r="J670" s="11"/>
      <c r="K670" s="11"/>
      <c r="L670" s="292"/>
      <c r="M670" s="22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47"/>
      <c r="Z670" s="47"/>
      <c r="AM670" s="185" t="e">
        <f>VLOOKUP(CLEAN(H670),#REF!,7,FALSE)</f>
        <v>#REF!</v>
      </c>
      <c r="AO670"/>
      <c r="AP670"/>
      <c r="AQ670"/>
      <c r="AR670" s="2" t="e">
        <f>VLOOKUP(CLEAN(H670),#REF!,2,FALSE)</f>
        <v>#REF!</v>
      </c>
      <c r="AZ670" s="2" t="e">
        <f>VLOOKUP(H670,#REF!,2,FALSE)</f>
        <v>#REF!</v>
      </c>
      <c r="BO670" s="2" t="e">
        <f>VLOOKUP(H670,#REF!,13,FALSE)</f>
        <v>#REF!</v>
      </c>
      <c r="BP670" s="293"/>
      <c r="BQ670" s="2" t="e">
        <f>VLOOKUP(H670,#REF!,13,FALSE)</f>
        <v>#REF!</v>
      </c>
    </row>
    <row r="671" spans="1:70" ht="15" customHeight="1" outlineLevel="2">
      <c r="A671" s="7"/>
      <c r="B671" s="7"/>
      <c r="C671" s="7"/>
      <c r="D671" s="7"/>
      <c r="E671" s="7"/>
      <c r="F671" s="7"/>
      <c r="G671" s="7"/>
      <c r="H671" s="11"/>
      <c r="I671" s="11"/>
      <c r="J671" s="11"/>
      <c r="K671" s="11"/>
      <c r="L671" s="18" t="s">
        <v>696</v>
      </c>
      <c r="M671" s="22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47"/>
      <c r="Z671" s="47"/>
      <c r="AM671" s="185" t="e">
        <f>VLOOKUP(CLEAN(H671),#REF!,7,FALSE)</f>
        <v>#REF!</v>
      </c>
      <c r="AO671"/>
      <c r="AP671"/>
      <c r="AQ671"/>
      <c r="AR671" s="2" t="e">
        <f>VLOOKUP(CLEAN(H671),#REF!,2,FALSE)</f>
        <v>#REF!</v>
      </c>
      <c r="AZ671" s="2" t="e">
        <f>VLOOKUP(H671,#REF!,2,FALSE)</f>
        <v>#REF!</v>
      </c>
      <c r="BO671" s="2" t="e">
        <f>VLOOKUP(H671,#REF!,13,FALSE)</f>
        <v>#REF!</v>
      </c>
      <c r="BQ671" s="2" t="e">
        <f>VLOOKUP(H671,#REF!,13,FALSE)</f>
        <v>#REF!</v>
      </c>
    </row>
    <row r="672" spans="1:70" s="2" customFormat="1" ht="15" customHeight="1" outlineLevel="2">
      <c r="A672" s="5">
        <v>31</v>
      </c>
      <c r="B672" s="5" t="s">
        <v>11</v>
      </c>
      <c r="C672" s="5" t="s">
        <v>238</v>
      </c>
      <c r="D672" s="5" t="s">
        <v>30</v>
      </c>
      <c r="E672" s="5" t="s">
        <v>39</v>
      </c>
      <c r="F672" s="5" t="s">
        <v>6</v>
      </c>
      <c r="G672" s="5" t="s">
        <v>144</v>
      </c>
      <c r="H672" s="12">
        <v>30069919</v>
      </c>
      <c r="I672" s="42" t="str">
        <f t="shared" ref="I672:I674" si="397">CONCATENATE(H672,"-",G672)</f>
        <v>30069919-EJECUCION</v>
      </c>
      <c r="J672" s="12"/>
      <c r="K672" s="307" t="str">
        <f t="shared" ref="K672:K674" si="398">CLEAN(H672)</f>
        <v>30069919</v>
      </c>
      <c r="L672" s="15" t="s">
        <v>763</v>
      </c>
      <c r="M672" s="23">
        <v>1080359000</v>
      </c>
      <c r="N672" s="34">
        <v>0</v>
      </c>
      <c r="O672" s="34">
        <v>0</v>
      </c>
      <c r="P672" s="310">
        <v>0</v>
      </c>
      <c r="Q672" s="34">
        <v>0</v>
      </c>
      <c r="R672" s="308">
        <v>0</v>
      </c>
      <c r="S672" s="34">
        <f t="shared" ref="S672:S674" si="399">P672+Q672+R672</f>
        <v>0</v>
      </c>
      <c r="T672" s="34">
        <v>0</v>
      </c>
      <c r="U672" s="34">
        <v>0</v>
      </c>
      <c r="V672" s="34">
        <f>P672+Q672+R672+T672+U672</f>
        <v>0</v>
      </c>
      <c r="W672" s="34">
        <f>O672-V672</f>
        <v>0</v>
      </c>
      <c r="X672" s="34">
        <f>M672-(N672+O672)</f>
        <v>1080359000</v>
      </c>
      <c r="Y672" s="48" t="s">
        <v>246</v>
      </c>
      <c r="Z672" s="48" t="s">
        <v>259</v>
      </c>
      <c r="AA672" s="2" t="e">
        <v>#N/A</v>
      </c>
      <c r="AB672" s="2" t="e">
        <f>VLOOKUP(H672,#REF!,2,FALSE)</f>
        <v>#REF!</v>
      </c>
      <c r="AC672" s="2" t="e">
        <f>VLOOKUP(I672,#REF!,2,FALSE)</f>
        <v>#REF!</v>
      </c>
      <c r="AD672" s="2" t="e">
        <f>VLOOKUP(H672,#REF!,13,FALSE)</f>
        <v>#REF!</v>
      </c>
      <c r="AE672" s="2" t="e">
        <f>VLOOKUP(I672,#REF!,7,FALSE)</f>
        <v>#REF!</v>
      </c>
      <c r="AG672" s="2" t="e">
        <f>VLOOKUP(H672,#REF!,13,FALSE)</f>
        <v>#REF!</v>
      </c>
      <c r="AH672" s="2" t="e">
        <f>VLOOKUP(I672,#REF!,2,FALSE)</f>
        <v>#REF!</v>
      </c>
      <c r="AJ672" s="185" t="e">
        <f>VLOOKUP(H672,#REF!,3,FALSE)</f>
        <v>#REF!</v>
      </c>
      <c r="AK672" s="185"/>
      <c r="AL672" s="185" t="e">
        <f>VLOOKUP(H672,#REF!,13,FALSE)</f>
        <v>#REF!</v>
      </c>
      <c r="AM672" s="185" t="e">
        <f>VLOOKUP(CLEAN(H672),#REF!,7,FALSE)</f>
        <v>#REF!</v>
      </c>
      <c r="AN672" s="2" t="e">
        <f>VLOOKUP(H672,#REF!,8,FALSE)</f>
        <v>#REF!</v>
      </c>
      <c r="AO672" s="189" t="e">
        <f>VLOOKUP(H672,#REF!,2,FALSE)</f>
        <v>#REF!</v>
      </c>
      <c r="AP672" s="189" t="e">
        <f>VLOOKUP(H672,#REF!,2,FALSE)</f>
        <v>#REF!</v>
      </c>
      <c r="AQ672" s="189"/>
      <c r="AR672" s="2" t="e">
        <f>VLOOKUP(CLEAN(H672),#REF!,2,FALSE)</f>
        <v>#REF!</v>
      </c>
      <c r="AT672" s="2" t="e">
        <f>VLOOKUP(H672,#REF!,13,FALSE)</f>
        <v>#REF!</v>
      </c>
      <c r="AU672" s="2" t="e">
        <f>VLOOKUP(H672,#REF!,13,FALSE)</f>
        <v>#REF!</v>
      </c>
      <c r="AV672" s="2" t="e">
        <f>VLOOKUP(H672,#REF!,13,FALSE)</f>
        <v>#REF!</v>
      </c>
      <c r="AW672" s="2" t="e">
        <f>VLOOKUP(H672,#REF!,13,FALSE)</f>
        <v>#REF!</v>
      </c>
      <c r="AX672" s="2" t="e">
        <f>VLOOKUP(H672,#REF!,9,FALSE)</f>
        <v>#REF!</v>
      </c>
      <c r="AZ672" s="2" t="e">
        <f>VLOOKUP(H672,#REF!,2,FALSE)</f>
        <v>#REF!</v>
      </c>
      <c r="BF672" s="189" t="e">
        <f>VLOOKUP(CLEAN(H672),#REF!,2,FALSE)</f>
        <v>#REF!</v>
      </c>
      <c r="BG672" s="189" t="e">
        <f>T672-BF672</f>
        <v>#REF!</v>
      </c>
      <c r="BO672" s="2" t="e">
        <f>VLOOKUP(H672,#REF!,13,FALSE)</f>
        <v>#REF!</v>
      </c>
      <c r="BP672" s="2" t="e">
        <f>VLOOKUP(H672,#REF!,2,FALSE)</f>
        <v>#REF!</v>
      </c>
      <c r="BQ672" s="2" t="e">
        <f>VLOOKUP(H672,#REF!,13,FALSE)</f>
        <v>#REF!</v>
      </c>
      <c r="BR672" s="2" t="e">
        <f>VLOOKUP(H672,#REF!,3,FALSE)</f>
        <v>#REF!</v>
      </c>
    </row>
    <row r="673" spans="1:70" s="2" customFormat="1" ht="15" customHeight="1" outlineLevel="2">
      <c r="A673" s="5">
        <v>31</v>
      </c>
      <c r="B673" s="5" t="s">
        <v>11</v>
      </c>
      <c r="C673" s="5" t="s">
        <v>238</v>
      </c>
      <c r="D673" s="5" t="s">
        <v>30</v>
      </c>
      <c r="E673" s="5" t="s">
        <v>39</v>
      </c>
      <c r="F673" s="5" t="s">
        <v>6</v>
      </c>
      <c r="G673" s="5" t="s">
        <v>144</v>
      </c>
      <c r="H673" s="12">
        <v>30135630</v>
      </c>
      <c r="I673" s="42" t="str">
        <f t="shared" si="397"/>
        <v>30135630-EJECUCION</v>
      </c>
      <c r="J673" s="12"/>
      <c r="K673" s="307" t="str">
        <f t="shared" si="398"/>
        <v>30135630</v>
      </c>
      <c r="L673" s="15" t="s">
        <v>353</v>
      </c>
      <c r="M673" s="23">
        <v>1143510000</v>
      </c>
      <c r="N673" s="34">
        <v>0</v>
      </c>
      <c r="O673" s="34">
        <v>10000000</v>
      </c>
      <c r="P673" s="310">
        <v>0</v>
      </c>
      <c r="Q673" s="34">
        <v>0</v>
      </c>
      <c r="R673" s="308">
        <v>0</v>
      </c>
      <c r="S673" s="34">
        <f t="shared" si="399"/>
        <v>0</v>
      </c>
      <c r="T673" s="34">
        <v>0</v>
      </c>
      <c r="U673" s="34">
        <v>0</v>
      </c>
      <c r="V673" s="34">
        <f>P673+Q673+R673+T673+U673</f>
        <v>0</v>
      </c>
      <c r="W673" s="34">
        <f>O673-V673</f>
        <v>10000000</v>
      </c>
      <c r="X673" s="34">
        <f>M673-(N673+O673)</f>
        <v>1133510000</v>
      </c>
      <c r="Y673" s="48" t="s">
        <v>246</v>
      </c>
      <c r="Z673" s="48" t="s">
        <v>270</v>
      </c>
      <c r="AA673" s="2" t="e">
        <v>#N/A</v>
      </c>
      <c r="AB673" s="2" t="e">
        <f>VLOOKUP(H673,#REF!,2,FALSE)</f>
        <v>#REF!</v>
      </c>
      <c r="AC673" s="2" t="e">
        <f>VLOOKUP(I673,#REF!,2,FALSE)</f>
        <v>#REF!</v>
      </c>
      <c r="AD673" s="2" t="e">
        <f>VLOOKUP(H673,#REF!,13,FALSE)</f>
        <v>#REF!</v>
      </c>
      <c r="AE673" s="2" t="e">
        <f>VLOOKUP(I673,#REF!,7,FALSE)</f>
        <v>#REF!</v>
      </c>
      <c r="AG673" s="2" t="e">
        <f>VLOOKUP(H673,#REF!,13,FALSE)</f>
        <v>#REF!</v>
      </c>
      <c r="AH673" s="2" t="e">
        <f>VLOOKUP(I673,#REF!,2,FALSE)</f>
        <v>#REF!</v>
      </c>
      <c r="AJ673" s="185" t="e">
        <f>VLOOKUP(H673,#REF!,3,FALSE)</f>
        <v>#REF!</v>
      </c>
      <c r="AK673" s="185"/>
      <c r="AL673" s="185" t="e">
        <f>VLOOKUP(H673,#REF!,13,FALSE)</f>
        <v>#REF!</v>
      </c>
      <c r="AM673" s="185" t="e">
        <f>VLOOKUP(CLEAN(H673),#REF!,7,FALSE)</f>
        <v>#REF!</v>
      </c>
      <c r="AN673" s="2" t="e">
        <f>VLOOKUP(H673,#REF!,8,FALSE)</f>
        <v>#REF!</v>
      </c>
      <c r="AO673" s="189" t="e">
        <f>VLOOKUP(H673,#REF!,2,FALSE)</f>
        <v>#REF!</v>
      </c>
      <c r="AP673" s="189" t="e">
        <f>VLOOKUP(H673,#REF!,2,FALSE)</f>
        <v>#REF!</v>
      </c>
      <c r="AQ673" s="189"/>
      <c r="AR673" s="2" t="e">
        <f>VLOOKUP(CLEAN(H673),#REF!,2,FALSE)</f>
        <v>#REF!</v>
      </c>
      <c r="AT673" s="2" t="e">
        <f>VLOOKUP(H673,#REF!,13,FALSE)</f>
        <v>#REF!</v>
      </c>
      <c r="AU673" s="2" t="e">
        <f>VLOOKUP(H673,#REF!,13,FALSE)</f>
        <v>#REF!</v>
      </c>
      <c r="AV673" s="2" t="e">
        <f>VLOOKUP(H673,#REF!,13,FALSE)</f>
        <v>#REF!</v>
      </c>
      <c r="AW673" s="2" t="e">
        <f>VLOOKUP(H673,#REF!,13,FALSE)</f>
        <v>#REF!</v>
      </c>
      <c r="AX673" s="2" t="e">
        <f>VLOOKUP(H673,#REF!,9,FALSE)</f>
        <v>#REF!</v>
      </c>
      <c r="AZ673" s="2" t="e">
        <f>VLOOKUP(H673,#REF!,2,FALSE)</f>
        <v>#REF!</v>
      </c>
      <c r="BF673" s="189" t="e">
        <f>VLOOKUP(CLEAN(H673),#REF!,2,FALSE)</f>
        <v>#REF!</v>
      </c>
      <c r="BG673" s="189" t="e">
        <f>T673-BF673</f>
        <v>#REF!</v>
      </c>
      <c r="BO673" s="2" t="e">
        <f>VLOOKUP(H673,#REF!,13,FALSE)</f>
        <v>#REF!</v>
      </c>
      <c r="BP673" s="2" t="e">
        <f>VLOOKUP(H673,#REF!,2,FALSE)</f>
        <v>#REF!</v>
      </c>
      <c r="BQ673" s="2" t="e">
        <f>VLOOKUP(H673,#REF!,13,FALSE)</f>
        <v>#REF!</v>
      </c>
      <c r="BR673" s="2" t="e">
        <f>VLOOKUP(H673,#REF!,3,FALSE)</f>
        <v>#REF!</v>
      </c>
    </row>
    <row r="674" spans="1:70" s="2" customFormat="1" ht="15" customHeight="1" outlineLevel="2">
      <c r="A674" s="5">
        <v>31</v>
      </c>
      <c r="B674" s="5" t="s">
        <v>11</v>
      </c>
      <c r="C674" s="5" t="s">
        <v>253</v>
      </c>
      <c r="D674" s="5" t="s">
        <v>30</v>
      </c>
      <c r="E674" s="5" t="s">
        <v>39</v>
      </c>
      <c r="F674" s="5" t="s">
        <v>457</v>
      </c>
      <c r="G674" s="5" t="s">
        <v>144</v>
      </c>
      <c r="H674" s="12">
        <v>30125850</v>
      </c>
      <c r="I674" s="42" t="str">
        <f t="shared" si="397"/>
        <v>30125850-EJECUCION</v>
      </c>
      <c r="J674" s="12"/>
      <c r="K674" s="307" t="str">
        <f t="shared" si="398"/>
        <v>30125850</v>
      </c>
      <c r="L674" s="15" t="s">
        <v>764</v>
      </c>
      <c r="M674" s="23">
        <v>295030000</v>
      </c>
      <c r="N674" s="34">
        <v>0</v>
      </c>
      <c r="O674" s="34">
        <f>40000000-28649425</f>
        <v>11350575</v>
      </c>
      <c r="P674" s="310">
        <v>0</v>
      </c>
      <c r="Q674" s="34">
        <v>0</v>
      </c>
      <c r="R674" s="308">
        <v>0</v>
      </c>
      <c r="S674" s="34">
        <f t="shared" si="399"/>
        <v>0</v>
      </c>
      <c r="T674" s="34">
        <v>0</v>
      </c>
      <c r="U674" s="34">
        <v>0</v>
      </c>
      <c r="V674" s="34">
        <f>P674+Q674+R674+T674+U674</f>
        <v>0</v>
      </c>
      <c r="W674" s="34">
        <f>O674-V674</f>
        <v>11350575</v>
      </c>
      <c r="X674" s="34">
        <f>M674-(N674+O674)</f>
        <v>283679425</v>
      </c>
      <c r="Y674" s="48" t="s">
        <v>246</v>
      </c>
      <c r="Z674" s="48" t="s">
        <v>270</v>
      </c>
      <c r="AA674" s="2" t="e">
        <v>#N/A</v>
      </c>
      <c r="AB674" s="2" t="e">
        <f>VLOOKUP(H674,#REF!,2,FALSE)</f>
        <v>#REF!</v>
      </c>
      <c r="AC674" s="2" t="e">
        <f>VLOOKUP(I674,#REF!,2,FALSE)</f>
        <v>#REF!</v>
      </c>
      <c r="AD674" s="2" t="e">
        <f>VLOOKUP(H674,#REF!,13,FALSE)</f>
        <v>#REF!</v>
      </c>
      <c r="AE674" s="2" t="e">
        <f>VLOOKUP(I674,#REF!,7,FALSE)</f>
        <v>#REF!</v>
      </c>
      <c r="AG674" s="2" t="e">
        <f>VLOOKUP(H674,#REF!,13,FALSE)</f>
        <v>#REF!</v>
      </c>
      <c r="AH674" s="2" t="e">
        <f>VLOOKUP(I674,#REF!,2,FALSE)</f>
        <v>#REF!</v>
      </c>
      <c r="AJ674" s="185" t="e">
        <f>VLOOKUP(H674,#REF!,3,FALSE)</f>
        <v>#REF!</v>
      </c>
      <c r="AK674" s="185"/>
      <c r="AL674" s="185" t="e">
        <f>VLOOKUP(H674,#REF!,13,FALSE)</f>
        <v>#REF!</v>
      </c>
      <c r="AM674" s="185" t="e">
        <f>VLOOKUP(CLEAN(H674),#REF!,7,FALSE)</f>
        <v>#REF!</v>
      </c>
      <c r="AN674" s="2" t="e">
        <f>VLOOKUP(H674,#REF!,8,FALSE)</f>
        <v>#REF!</v>
      </c>
      <c r="AO674" s="189" t="e">
        <f>VLOOKUP(H674,#REF!,2,FALSE)</f>
        <v>#REF!</v>
      </c>
      <c r="AP674" s="189" t="e">
        <f>VLOOKUP(H674,#REF!,2,FALSE)</f>
        <v>#REF!</v>
      </c>
      <c r="AQ674" s="189"/>
      <c r="AR674" s="2" t="e">
        <f>VLOOKUP(CLEAN(H674),#REF!,2,FALSE)</f>
        <v>#REF!</v>
      </c>
      <c r="AT674" s="2" t="e">
        <f>VLOOKUP(H674,#REF!,13,FALSE)</f>
        <v>#REF!</v>
      </c>
      <c r="AU674" s="2" t="e">
        <f>VLOOKUP(H674,#REF!,13,FALSE)</f>
        <v>#REF!</v>
      </c>
      <c r="AV674" s="2" t="e">
        <f>VLOOKUP(H674,#REF!,13,FALSE)</f>
        <v>#REF!</v>
      </c>
      <c r="AW674" s="2" t="e">
        <f>VLOOKUP(H674,#REF!,13,FALSE)</f>
        <v>#REF!</v>
      </c>
      <c r="AX674" s="2" t="e">
        <f>VLOOKUP(H674,#REF!,9,FALSE)</f>
        <v>#REF!</v>
      </c>
      <c r="AZ674" s="2" t="e">
        <f>VLOOKUP(H674,#REF!,2,FALSE)</f>
        <v>#REF!</v>
      </c>
      <c r="BF674" s="189" t="e">
        <f>VLOOKUP(CLEAN(H674),#REF!,2,FALSE)</f>
        <v>#REF!</v>
      </c>
      <c r="BG674" s="189" t="e">
        <f>T674-BF674</f>
        <v>#REF!</v>
      </c>
      <c r="BO674" s="2" t="e">
        <f>VLOOKUP(H674,#REF!,13,FALSE)</f>
        <v>#REF!</v>
      </c>
      <c r="BP674" s="2" t="e">
        <f>VLOOKUP(H674,#REF!,2,FALSE)</f>
        <v>#REF!</v>
      </c>
      <c r="BQ674" s="2" t="e">
        <f>VLOOKUP(H674,#REF!,13,FALSE)</f>
        <v>#REF!</v>
      </c>
      <c r="BR674" s="2" t="e">
        <f>VLOOKUP(H674,#REF!,3,FALSE)</f>
        <v>#REF!</v>
      </c>
    </row>
    <row r="675" spans="1:70" ht="15" customHeight="1" outlineLevel="2">
      <c r="A675" s="7"/>
      <c r="B675" s="7"/>
      <c r="C675" s="7"/>
      <c r="D675" s="7"/>
      <c r="E675" s="7"/>
      <c r="F675" s="7"/>
      <c r="G675" s="7"/>
      <c r="H675" s="11"/>
      <c r="I675" s="11"/>
      <c r="J675" s="11"/>
      <c r="K675" s="11"/>
      <c r="L675" s="17" t="s">
        <v>693</v>
      </c>
      <c r="M675" s="27">
        <f t="shared" ref="M675:X675" si="400">SUBTOTAL(9,M672:M674)</f>
        <v>2518899000</v>
      </c>
      <c r="N675" s="27">
        <f t="shared" si="400"/>
        <v>0</v>
      </c>
      <c r="O675" s="27">
        <f t="shared" si="400"/>
        <v>21350575</v>
      </c>
      <c r="P675" s="24">
        <f t="shared" si="400"/>
        <v>0</v>
      </c>
      <c r="Q675" s="24">
        <f t="shared" si="400"/>
        <v>0</v>
      </c>
      <c r="R675" s="24">
        <f t="shared" si="400"/>
        <v>0</v>
      </c>
      <c r="S675" s="27">
        <f t="shared" si="400"/>
        <v>0</v>
      </c>
      <c r="T675" s="27">
        <f t="shared" si="400"/>
        <v>0</v>
      </c>
      <c r="U675" s="27">
        <f t="shared" si="400"/>
        <v>0</v>
      </c>
      <c r="V675" s="27">
        <f t="shared" si="400"/>
        <v>0</v>
      </c>
      <c r="W675" s="27">
        <f t="shared" si="400"/>
        <v>21350575</v>
      </c>
      <c r="X675" s="27">
        <f t="shared" si="400"/>
        <v>2497548425</v>
      </c>
      <c r="Y675" s="47"/>
      <c r="Z675" s="47"/>
      <c r="AM675" s="185" t="e">
        <f>VLOOKUP(CLEAN(H675),#REF!,7,FALSE)</f>
        <v>#REF!</v>
      </c>
      <c r="AO675"/>
      <c r="AP675"/>
      <c r="AQ675"/>
      <c r="AR675" s="2" t="e">
        <f>VLOOKUP(CLEAN(H675),#REF!,2,FALSE)</f>
        <v>#REF!</v>
      </c>
      <c r="AZ675" s="2" t="e">
        <f>VLOOKUP(H675,#REF!,2,FALSE)</f>
        <v>#REF!</v>
      </c>
      <c r="BO675" s="2" t="e">
        <f>VLOOKUP(H675,#REF!,13,FALSE)</f>
        <v>#REF!</v>
      </c>
      <c r="BQ675" s="2" t="e">
        <f>VLOOKUP(H675,#REF!,13,FALSE)</f>
        <v>#REF!</v>
      </c>
    </row>
    <row r="676" spans="1:70" ht="15" customHeight="1" outlineLevel="2">
      <c r="A676" s="7"/>
      <c r="B676" s="7"/>
      <c r="C676" s="7"/>
      <c r="D676" s="7"/>
      <c r="E676" s="7"/>
      <c r="F676" s="7"/>
      <c r="G676" s="7"/>
      <c r="H676" s="11"/>
      <c r="I676" s="11"/>
      <c r="J676" s="11"/>
      <c r="K676" s="11"/>
      <c r="L676" s="292"/>
      <c r="M676" s="22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47"/>
      <c r="Z676" s="47"/>
      <c r="AM676" s="185" t="e">
        <f>VLOOKUP(CLEAN(H676),#REF!,7,FALSE)</f>
        <v>#REF!</v>
      </c>
      <c r="AO676"/>
      <c r="AP676"/>
      <c r="AQ676"/>
      <c r="AR676" s="2" t="e">
        <f>VLOOKUP(CLEAN(H676),#REF!,2,FALSE)</f>
        <v>#REF!</v>
      </c>
      <c r="AZ676" s="2" t="e">
        <f>VLOOKUP(H676,#REF!,2,FALSE)</f>
        <v>#REF!</v>
      </c>
      <c r="BO676" s="2" t="e">
        <f>VLOOKUP(H676,#REF!,13,FALSE)</f>
        <v>#REF!</v>
      </c>
      <c r="BP676" s="293"/>
      <c r="BQ676" s="2" t="e">
        <f>VLOOKUP(H676,#REF!,13,FALSE)</f>
        <v>#REF!</v>
      </c>
    </row>
    <row r="677" spans="1:70" ht="18.75" customHeight="1" outlineLevel="1">
      <c r="A677" s="7"/>
      <c r="B677" s="7"/>
      <c r="C677" s="7"/>
      <c r="D677" s="7"/>
      <c r="E677" s="8"/>
      <c r="F677" s="7"/>
      <c r="G677" s="7"/>
      <c r="H677" s="11"/>
      <c r="I677" s="11"/>
      <c r="J677" s="11"/>
      <c r="K677" s="11"/>
      <c r="L677" s="45" t="s">
        <v>169</v>
      </c>
      <c r="M677" s="46">
        <f t="shared" ref="M677:X677" si="401">M675+M669+M655+M660+M665</f>
        <v>6154376425</v>
      </c>
      <c r="N677" s="46">
        <f t="shared" si="401"/>
        <v>82770000</v>
      </c>
      <c r="O677" s="46">
        <f t="shared" si="401"/>
        <v>1207043000</v>
      </c>
      <c r="P677" s="46">
        <f t="shared" si="401"/>
        <v>0</v>
      </c>
      <c r="Q677" s="46">
        <f t="shared" si="401"/>
        <v>82343181</v>
      </c>
      <c r="R677" s="46">
        <f t="shared" si="401"/>
        <v>109322152</v>
      </c>
      <c r="S677" s="46">
        <f t="shared" si="401"/>
        <v>191665333</v>
      </c>
      <c r="T677" s="46">
        <f t="shared" si="401"/>
        <v>103554276</v>
      </c>
      <c r="U677" s="46">
        <f t="shared" si="401"/>
        <v>28649425</v>
      </c>
      <c r="V677" s="46">
        <f t="shared" si="401"/>
        <v>323869034</v>
      </c>
      <c r="W677" s="46">
        <f t="shared" si="401"/>
        <v>883173966</v>
      </c>
      <c r="X677" s="46">
        <f t="shared" si="401"/>
        <v>4864563425</v>
      </c>
      <c r="Y677" s="47"/>
      <c r="Z677" s="47"/>
      <c r="AM677" s="185" t="e">
        <f>VLOOKUP(CLEAN(H677),#REF!,7,FALSE)</f>
        <v>#REF!</v>
      </c>
      <c r="AO677"/>
      <c r="AP677"/>
      <c r="AQ677"/>
      <c r="AR677" s="2" t="e">
        <f>VLOOKUP(CLEAN(H677),#REF!,2,FALSE)</f>
        <v>#REF!</v>
      </c>
      <c r="AZ677" s="2" t="e">
        <f>VLOOKUP(H677,#REF!,2,FALSE)</f>
        <v>#REF!</v>
      </c>
      <c r="BO677" s="2" t="e">
        <f>VLOOKUP(H677,#REF!,13,FALSE)</f>
        <v>#REF!</v>
      </c>
      <c r="BQ677" s="2" t="e">
        <f>VLOOKUP(H677,#REF!,13,FALSE)</f>
        <v>#REF!</v>
      </c>
    </row>
    <row r="678" spans="1:70" s="3" customFormat="1" ht="15" customHeight="1" outlineLevel="1">
      <c r="A678" s="7"/>
      <c r="B678" s="7"/>
      <c r="C678" s="7"/>
      <c r="D678" s="7"/>
      <c r="E678" s="8"/>
      <c r="F678" s="7"/>
      <c r="G678" s="7"/>
      <c r="H678" s="11"/>
      <c r="I678" s="11"/>
      <c r="J678" s="11"/>
      <c r="K678" s="11"/>
      <c r="L678" s="294"/>
      <c r="M678" s="26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47"/>
      <c r="Z678" s="47"/>
      <c r="AJ678" s="186"/>
      <c r="AK678" s="186"/>
      <c r="AL678" s="186"/>
      <c r="AM678" s="185" t="e">
        <f>VLOOKUP(CLEAN(H678),#REF!,7,FALSE)</f>
        <v>#REF!</v>
      </c>
      <c r="AR678" s="2" t="e">
        <f>VLOOKUP(CLEAN(H678),#REF!,2,FALSE)</f>
        <v>#REF!</v>
      </c>
      <c r="AZ678" s="2" t="e">
        <f>VLOOKUP(H678,#REF!,2,FALSE)</f>
        <v>#REF!</v>
      </c>
      <c r="BF678" s="193"/>
      <c r="BO678" s="2" t="e">
        <f>VLOOKUP(H678,#REF!,13,FALSE)</f>
        <v>#REF!</v>
      </c>
      <c r="BP678" s="7"/>
      <c r="BQ678" s="2" t="e">
        <f>VLOOKUP(H678,#REF!,13,FALSE)</f>
        <v>#REF!</v>
      </c>
    </row>
    <row r="679" spans="1:70" ht="26.25" customHeight="1" outlineLevel="1">
      <c r="A679" s="7"/>
      <c r="B679" s="7"/>
      <c r="C679" s="7"/>
      <c r="D679" s="7"/>
      <c r="E679" s="8"/>
      <c r="F679" s="7"/>
      <c r="G679" s="7"/>
      <c r="H679" s="11"/>
      <c r="I679" s="11"/>
      <c r="J679" s="11"/>
      <c r="K679" s="11"/>
      <c r="L679" s="57" t="s">
        <v>203</v>
      </c>
      <c r="M679" s="26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47"/>
      <c r="Z679" s="47"/>
      <c r="AM679" s="185" t="e">
        <f>VLOOKUP(CLEAN(H679),#REF!,7,FALSE)</f>
        <v>#REF!</v>
      </c>
      <c r="AO679"/>
      <c r="AP679"/>
      <c r="AQ679"/>
      <c r="AR679" s="2" t="e">
        <f>VLOOKUP(CLEAN(H679),#REF!,2,FALSE)</f>
        <v>#REF!</v>
      </c>
      <c r="AZ679" s="2" t="e">
        <f>VLOOKUP(H679,#REF!,2,FALSE)</f>
        <v>#REF!</v>
      </c>
      <c r="BO679" s="2" t="e">
        <f>VLOOKUP(H679,#REF!,13,FALSE)</f>
        <v>#REF!</v>
      </c>
      <c r="BQ679" s="2" t="e">
        <f>VLOOKUP(H679,#REF!,13,FALSE)</f>
        <v>#REF!</v>
      </c>
    </row>
    <row r="680" spans="1:70" ht="15" customHeight="1" outlineLevel="1">
      <c r="A680" s="7"/>
      <c r="B680" s="7"/>
      <c r="C680" s="7"/>
      <c r="D680" s="7"/>
      <c r="E680" s="8"/>
      <c r="F680" s="7"/>
      <c r="G680" s="7"/>
      <c r="H680" s="11"/>
      <c r="I680" s="11"/>
      <c r="J680" s="11"/>
      <c r="K680" s="11"/>
      <c r="L680" s="18" t="s">
        <v>695</v>
      </c>
      <c r="M680" s="26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47"/>
      <c r="Z680" s="47"/>
      <c r="AM680" s="185" t="e">
        <f>VLOOKUP(CLEAN(H680),#REF!,7,FALSE)</f>
        <v>#REF!</v>
      </c>
      <c r="AO680"/>
      <c r="AP680"/>
      <c r="AQ680"/>
      <c r="AR680" s="2" t="e">
        <f>VLOOKUP(CLEAN(H680),#REF!,2,FALSE)</f>
        <v>#REF!</v>
      </c>
      <c r="AZ680" s="2" t="e">
        <f>VLOOKUP(H680,#REF!,2,FALSE)</f>
        <v>#REF!</v>
      </c>
      <c r="BO680" s="2" t="e">
        <f>VLOOKUP(H680,#REF!,13,FALSE)</f>
        <v>#REF!</v>
      </c>
      <c r="BQ680" s="2" t="e">
        <f>VLOOKUP(H680,#REF!,13,FALSE)</f>
        <v>#REF!</v>
      </c>
    </row>
    <row r="681" spans="1:70" s="2" customFormat="1" ht="15" customHeight="1" outlineLevel="2">
      <c r="A681" s="5">
        <v>31</v>
      </c>
      <c r="B681" s="5" t="s">
        <v>5</v>
      </c>
      <c r="C681" s="5" t="s">
        <v>238</v>
      </c>
      <c r="D681" s="5" t="s">
        <v>30</v>
      </c>
      <c r="E681" s="5" t="s">
        <v>38</v>
      </c>
      <c r="F681" s="5" t="s">
        <v>6</v>
      </c>
      <c r="G681" s="5" t="s">
        <v>144</v>
      </c>
      <c r="H681" s="12">
        <v>30343540</v>
      </c>
      <c r="I681" s="42" t="str">
        <f>CONCATENATE(H681,"-",G681)</f>
        <v>30343540-EJECUCION</v>
      </c>
      <c r="J681" s="12"/>
      <c r="K681" s="307" t="str">
        <f>CLEAN(H681)</f>
        <v>30343540</v>
      </c>
      <c r="L681" s="15" t="s">
        <v>104</v>
      </c>
      <c r="M681" s="23">
        <v>1125337000</v>
      </c>
      <c r="N681" s="34">
        <v>196238450</v>
      </c>
      <c r="O681" s="34">
        <v>900337000</v>
      </c>
      <c r="P681" s="310">
        <v>52183058</v>
      </c>
      <c r="Q681" s="34">
        <v>72633349</v>
      </c>
      <c r="R681" s="308">
        <v>121953178</v>
      </c>
      <c r="S681" s="34">
        <f>P681+Q681+R681</f>
        <v>246769585</v>
      </c>
      <c r="T681" s="34">
        <f>80120091+1341583</f>
        <v>81461674</v>
      </c>
      <c r="U681" s="34">
        <v>72454805</v>
      </c>
      <c r="V681" s="34">
        <f>P681+Q681+R681+T681+U681</f>
        <v>400686064</v>
      </c>
      <c r="W681" s="34">
        <f>O681-V681</f>
        <v>499650936</v>
      </c>
      <c r="X681" s="34">
        <f>M681-(N681+O681)</f>
        <v>28761550</v>
      </c>
      <c r="Y681" s="48" t="s">
        <v>239</v>
      </c>
      <c r="Z681" s="48" t="s">
        <v>8</v>
      </c>
      <c r="AA681" s="2" t="s">
        <v>845</v>
      </c>
      <c r="AB681" s="2" t="e">
        <f>VLOOKUP(H681,#REF!,2,FALSE)</f>
        <v>#REF!</v>
      </c>
      <c r="AC681" s="2" t="e">
        <f>VLOOKUP(I681,#REF!,2,FALSE)</f>
        <v>#REF!</v>
      </c>
      <c r="AD681" s="2" t="e">
        <f>VLOOKUP(H681,#REF!,13,FALSE)</f>
        <v>#REF!</v>
      </c>
      <c r="AE681" s="2" t="e">
        <f>VLOOKUP(I681,#REF!,7,FALSE)</f>
        <v>#REF!</v>
      </c>
      <c r="AG681" s="2" t="e">
        <f>VLOOKUP(H681,#REF!,13,FALSE)</f>
        <v>#REF!</v>
      </c>
      <c r="AH681" s="2" t="e">
        <f>VLOOKUP(I681,#REF!,2,FALSE)</f>
        <v>#REF!</v>
      </c>
      <c r="AJ681" s="185" t="e">
        <f>VLOOKUP(H681,#REF!,3,FALSE)</f>
        <v>#REF!</v>
      </c>
      <c r="AK681" s="185"/>
      <c r="AL681" s="185" t="e">
        <f>VLOOKUP(H681,#REF!,13,FALSE)</f>
        <v>#REF!</v>
      </c>
      <c r="AM681" s="185" t="e">
        <f>VLOOKUP(CLEAN(H681),#REF!,7,FALSE)</f>
        <v>#REF!</v>
      </c>
      <c r="AN681" s="2" t="e">
        <f>VLOOKUP(H681,#REF!,8,FALSE)</f>
        <v>#REF!</v>
      </c>
      <c r="AO681" s="189" t="e">
        <f>VLOOKUP(H681,#REF!,2,FALSE)</f>
        <v>#REF!</v>
      </c>
      <c r="AP681" s="189" t="e">
        <f>VLOOKUP(H681,#REF!,2,FALSE)</f>
        <v>#REF!</v>
      </c>
      <c r="AQ681" s="189"/>
      <c r="AR681" s="2" t="e">
        <f>VLOOKUP(CLEAN(H681),#REF!,2,FALSE)</f>
        <v>#REF!</v>
      </c>
      <c r="AT681" s="2" t="e">
        <f>VLOOKUP(H681,#REF!,13,FALSE)</f>
        <v>#REF!</v>
      </c>
      <c r="AU681" s="2" t="e">
        <f>VLOOKUP(H681,#REF!,13,FALSE)</f>
        <v>#REF!</v>
      </c>
      <c r="AV681" s="2" t="e">
        <f>VLOOKUP(H681,#REF!,13,FALSE)</f>
        <v>#REF!</v>
      </c>
      <c r="AW681" s="2" t="e">
        <f>VLOOKUP(H681,#REF!,13,FALSE)</f>
        <v>#REF!</v>
      </c>
      <c r="AX681" s="2" t="e">
        <f>VLOOKUP(H681,#REF!,9,FALSE)</f>
        <v>#REF!</v>
      </c>
      <c r="AZ681" s="189" t="e">
        <f>VLOOKUP(H681,#REF!,2,FALSE)</f>
        <v>#REF!</v>
      </c>
      <c r="BF681" s="189" t="e">
        <f>VLOOKUP(CLEAN(H681),#REF!,2,FALSE)</f>
        <v>#REF!</v>
      </c>
      <c r="BG681" s="189" t="e">
        <f>T681-BF681</f>
        <v>#REF!</v>
      </c>
      <c r="BO681" s="2" t="e">
        <f>VLOOKUP(H681,#REF!,13,FALSE)</f>
        <v>#REF!</v>
      </c>
      <c r="BP681" s="2" t="e">
        <f>VLOOKUP(H681,#REF!,2,FALSE)</f>
        <v>#REF!</v>
      </c>
      <c r="BQ681" s="2" t="e">
        <f>VLOOKUP(H681,#REF!,13,FALSE)</f>
        <v>#REF!</v>
      </c>
      <c r="BR681" s="2" t="e">
        <f>VLOOKUP(H681,#REF!,3,FALSE)</f>
        <v>#REF!</v>
      </c>
    </row>
    <row r="682" spans="1:70" ht="15" customHeight="1" outlineLevel="2">
      <c r="A682" s="7"/>
      <c r="B682" s="7"/>
      <c r="C682" s="7"/>
      <c r="D682" s="7"/>
      <c r="E682" s="7"/>
      <c r="F682" s="7"/>
      <c r="G682" s="7"/>
      <c r="H682" s="11"/>
      <c r="I682" s="11"/>
      <c r="J682" s="11"/>
      <c r="K682" s="11"/>
      <c r="L682" s="17" t="s">
        <v>691</v>
      </c>
      <c r="M682" s="27">
        <f t="shared" ref="M682:X682" si="402">SUBTOTAL(9,M681)</f>
        <v>1125337000</v>
      </c>
      <c r="N682" s="27">
        <f t="shared" si="402"/>
        <v>196238450</v>
      </c>
      <c r="O682" s="27">
        <f t="shared" si="402"/>
        <v>900337000</v>
      </c>
      <c r="P682" s="24">
        <f t="shared" si="402"/>
        <v>52183058</v>
      </c>
      <c r="Q682" s="24">
        <f t="shared" si="402"/>
        <v>72633349</v>
      </c>
      <c r="R682" s="24">
        <f t="shared" si="402"/>
        <v>121953178</v>
      </c>
      <c r="S682" s="27">
        <f t="shared" si="402"/>
        <v>246769585</v>
      </c>
      <c r="T682" s="27">
        <f t="shared" si="402"/>
        <v>81461674</v>
      </c>
      <c r="U682" s="27">
        <f t="shared" si="402"/>
        <v>72454805</v>
      </c>
      <c r="V682" s="27">
        <f t="shared" si="402"/>
        <v>400686064</v>
      </c>
      <c r="W682" s="27">
        <f t="shared" si="402"/>
        <v>499650936</v>
      </c>
      <c r="X682" s="27">
        <f t="shared" si="402"/>
        <v>28761550</v>
      </c>
      <c r="Y682" s="47"/>
      <c r="Z682" s="47"/>
      <c r="AM682" s="185" t="e">
        <f>VLOOKUP(CLEAN(H682),#REF!,7,FALSE)</f>
        <v>#REF!</v>
      </c>
      <c r="AO682"/>
      <c r="AP682"/>
      <c r="AQ682"/>
      <c r="AR682" s="2" t="e">
        <f>VLOOKUP(CLEAN(H682),#REF!,2,FALSE)</f>
        <v>#REF!</v>
      </c>
      <c r="AZ682" s="2" t="e">
        <f>VLOOKUP(H682,#REF!,2,FALSE)</f>
        <v>#REF!</v>
      </c>
      <c r="BO682" s="2" t="e">
        <f>VLOOKUP(H682,#REF!,13,FALSE)</f>
        <v>#REF!</v>
      </c>
      <c r="BQ682" s="2" t="e">
        <f>VLOOKUP(H682,#REF!,13,FALSE)</f>
        <v>#REF!</v>
      </c>
    </row>
    <row r="683" spans="1:70" s="2" customFormat="1" ht="15" customHeight="1" outlineLevel="2">
      <c r="A683" s="7"/>
      <c r="B683" s="7"/>
      <c r="C683" s="7"/>
      <c r="D683" s="7"/>
      <c r="E683" s="7"/>
      <c r="F683" s="7"/>
      <c r="G683" s="7"/>
      <c r="H683" s="11"/>
      <c r="I683" s="14"/>
      <c r="J683" s="14"/>
      <c r="K683" s="14"/>
      <c r="L683" s="294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47"/>
      <c r="Z683" s="47"/>
      <c r="AJ683" s="185"/>
      <c r="AK683" s="185"/>
      <c r="AL683" s="185"/>
      <c r="AM683" s="185"/>
      <c r="AR683" s="2" t="e">
        <f>VLOOKUP(CLEAN(H683),#REF!,2,FALSE)</f>
        <v>#REF!</v>
      </c>
      <c r="AZ683" s="2" t="e">
        <f>VLOOKUP(H683,#REF!,2,FALSE)</f>
        <v>#REF!</v>
      </c>
      <c r="BF683" s="189"/>
      <c r="BO683" s="2" t="e">
        <f>VLOOKUP(H683,#REF!,13,FALSE)</f>
        <v>#REF!</v>
      </c>
      <c r="BP683" s="293"/>
      <c r="BQ683" s="2" t="e">
        <f>VLOOKUP(H683,#REF!,13,FALSE)</f>
        <v>#REF!</v>
      </c>
    </row>
    <row r="684" spans="1:70" ht="15" customHeight="1" outlineLevel="2">
      <c r="A684" s="7"/>
      <c r="B684" s="7"/>
      <c r="C684" s="7"/>
      <c r="D684" s="7"/>
      <c r="E684" s="7"/>
      <c r="F684" s="7"/>
      <c r="G684" s="7"/>
      <c r="H684" s="11"/>
      <c r="I684" s="11"/>
      <c r="J684" s="11"/>
      <c r="K684" s="11"/>
      <c r="L684" s="18" t="s">
        <v>701</v>
      </c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47"/>
      <c r="Z684" s="47"/>
      <c r="AO684"/>
      <c r="AP684"/>
      <c r="AQ684"/>
      <c r="AR684" s="2" t="e">
        <f>VLOOKUP(CLEAN(H684),#REF!,2,FALSE)</f>
        <v>#REF!</v>
      </c>
      <c r="AZ684" s="2" t="e">
        <f>VLOOKUP(H684,#REF!,2,FALSE)</f>
        <v>#REF!</v>
      </c>
      <c r="BO684" s="2" t="e">
        <f>VLOOKUP(H684,#REF!,13,FALSE)</f>
        <v>#REF!</v>
      </c>
      <c r="BQ684" s="2" t="e">
        <f>VLOOKUP(H684,#REF!,13,FALSE)</f>
        <v>#REF!</v>
      </c>
    </row>
    <row r="685" spans="1:70" s="2" customFormat="1" ht="15" customHeight="1" outlineLevel="2">
      <c r="A685" s="5">
        <v>31</v>
      </c>
      <c r="B685" s="5" t="s">
        <v>11</v>
      </c>
      <c r="C685" s="5" t="s">
        <v>252</v>
      </c>
      <c r="D685" s="5" t="s">
        <v>30</v>
      </c>
      <c r="E685" s="5" t="s">
        <v>38</v>
      </c>
      <c r="F685" s="5" t="s">
        <v>75</v>
      </c>
      <c r="G685" s="5" t="s">
        <v>144</v>
      </c>
      <c r="H685" s="12">
        <v>30388222</v>
      </c>
      <c r="I685" s="42" t="str">
        <f>CONCATENATE(H685,"-",G685)</f>
        <v>30388222-EJECUCION</v>
      </c>
      <c r="J685" s="12"/>
      <c r="K685" s="307" t="str">
        <f>CLEAN(H685)</f>
        <v>30388222</v>
      </c>
      <c r="L685" s="15" t="s">
        <v>801</v>
      </c>
      <c r="M685" s="23">
        <v>103744000</v>
      </c>
      <c r="N685" s="34">
        <v>0</v>
      </c>
      <c r="O685" s="23">
        <v>103744000</v>
      </c>
      <c r="P685" s="310">
        <v>0</v>
      </c>
      <c r="Q685" s="34">
        <v>0</v>
      </c>
      <c r="R685" s="308">
        <v>0</v>
      </c>
      <c r="S685" s="34">
        <f>P685+Q685+R685</f>
        <v>0</v>
      </c>
      <c r="T685" s="34">
        <v>0</v>
      </c>
      <c r="U685" s="34">
        <v>0</v>
      </c>
      <c r="V685" s="34">
        <f>P685+Q685+R685+T685+U685</f>
        <v>0</v>
      </c>
      <c r="W685" s="34">
        <f>O685-V685</f>
        <v>103744000</v>
      </c>
      <c r="X685" s="34">
        <f>M685-(N685+O685)</f>
        <v>0</v>
      </c>
      <c r="Y685" s="48" t="s">
        <v>418</v>
      </c>
      <c r="Z685" s="48" t="s">
        <v>8</v>
      </c>
      <c r="AA685" s="2" t="e">
        <v>#N/A</v>
      </c>
      <c r="AB685" s="2" t="e">
        <f>VLOOKUP(H685,#REF!,2,FALSE)</f>
        <v>#REF!</v>
      </c>
      <c r="AC685" s="2" t="e">
        <f>VLOOKUP(I685,#REF!,2,FALSE)</f>
        <v>#REF!</v>
      </c>
      <c r="AD685" s="2" t="e">
        <f>VLOOKUP(H685,#REF!,13,FALSE)</f>
        <v>#REF!</v>
      </c>
      <c r="AE685" s="2" t="e">
        <f>VLOOKUP(I685,#REF!,7,FALSE)</f>
        <v>#REF!</v>
      </c>
      <c r="AG685" s="2" t="e">
        <f>VLOOKUP(H685,#REF!,13,FALSE)</f>
        <v>#REF!</v>
      </c>
      <c r="AH685" s="2" t="e">
        <f>VLOOKUP(I685,#REF!,2,FALSE)</f>
        <v>#REF!</v>
      </c>
      <c r="AJ685" s="185" t="e">
        <f>VLOOKUP(H685,#REF!,3,FALSE)</f>
        <v>#REF!</v>
      </c>
      <c r="AK685" s="185"/>
      <c r="AL685" s="185" t="e">
        <f>VLOOKUP(H685,#REF!,13,FALSE)</f>
        <v>#REF!</v>
      </c>
      <c r="AM685" s="185" t="e">
        <f>VLOOKUP(CLEAN(H685),#REF!,7,FALSE)</f>
        <v>#REF!</v>
      </c>
      <c r="AN685" s="2" t="e">
        <f>VLOOKUP(H685,#REF!,8,FALSE)</f>
        <v>#REF!</v>
      </c>
      <c r="AO685" s="189" t="e">
        <f>VLOOKUP(H685,#REF!,2,FALSE)</f>
        <v>#REF!</v>
      </c>
      <c r="AP685" s="189" t="e">
        <f>VLOOKUP(H685,#REF!,2,FALSE)</f>
        <v>#REF!</v>
      </c>
      <c r="AQ685" s="189"/>
      <c r="AR685" s="2" t="e">
        <f>VLOOKUP(CLEAN(H685),#REF!,2,FALSE)</f>
        <v>#REF!</v>
      </c>
      <c r="AT685" s="2" t="e">
        <f>VLOOKUP(H685,#REF!,13,FALSE)</f>
        <v>#REF!</v>
      </c>
      <c r="AU685" s="2" t="e">
        <f>VLOOKUP(H685,#REF!,13,FALSE)</f>
        <v>#REF!</v>
      </c>
      <c r="AV685" s="2" t="e">
        <f>VLOOKUP(H685,#REF!,13,FALSE)</f>
        <v>#REF!</v>
      </c>
      <c r="AW685" s="2" t="e">
        <f>VLOOKUP(H685,#REF!,13,FALSE)</f>
        <v>#REF!</v>
      </c>
      <c r="AX685" s="2" t="e">
        <f>VLOOKUP(H685,#REF!,9,FALSE)</f>
        <v>#REF!</v>
      </c>
      <c r="AZ685" s="189" t="e">
        <f>VLOOKUP(H685,#REF!,2,FALSE)</f>
        <v>#REF!</v>
      </c>
      <c r="BF685" s="189" t="e">
        <f>VLOOKUP(CLEAN(H685),#REF!,2,FALSE)</f>
        <v>#REF!</v>
      </c>
      <c r="BG685" s="189" t="e">
        <f>T685-BF685</f>
        <v>#REF!</v>
      </c>
      <c r="BO685" s="2" t="e">
        <f>VLOOKUP(H685,#REF!,13,FALSE)</f>
        <v>#REF!</v>
      </c>
      <c r="BP685" s="2" t="e">
        <f>VLOOKUP(H685,#REF!,2,FALSE)</f>
        <v>#REF!</v>
      </c>
      <c r="BQ685" s="2" t="e">
        <f>VLOOKUP(H685,#REF!,13,FALSE)</f>
        <v>#REF!</v>
      </c>
      <c r="BR685" s="2" t="e">
        <f>VLOOKUP(H685,#REF!,3,FALSE)</f>
        <v>#REF!</v>
      </c>
    </row>
    <row r="686" spans="1:70" s="2" customFormat="1" ht="15" customHeight="1" outlineLevel="2">
      <c r="A686" s="7"/>
      <c r="B686" s="7"/>
      <c r="C686" s="7"/>
      <c r="D686" s="7"/>
      <c r="E686" s="7"/>
      <c r="F686" s="7"/>
      <c r="G686" s="7"/>
      <c r="H686" s="11"/>
      <c r="I686" s="14"/>
      <c r="J686" s="14"/>
      <c r="K686" s="14"/>
      <c r="L686" s="17" t="s">
        <v>702</v>
      </c>
      <c r="M686" s="27">
        <f>SUBTOTAL(9,M685)</f>
        <v>103744000</v>
      </c>
      <c r="N686" s="27">
        <f t="shared" ref="N686:O686" si="403">SUBTOTAL(9,N685)</f>
        <v>0</v>
      </c>
      <c r="O686" s="27">
        <f t="shared" si="403"/>
        <v>103744000</v>
      </c>
      <c r="P686" s="24">
        <f t="shared" ref="P686:X686" si="404">SUBTOTAL(9,P685)</f>
        <v>0</v>
      </c>
      <c r="Q686" s="24">
        <f t="shared" si="404"/>
        <v>0</v>
      </c>
      <c r="R686" s="24">
        <f t="shared" si="404"/>
        <v>0</v>
      </c>
      <c r="S686" s="27">
        <f t="shared" si="404"/>
        <v>0</v>
      </c>
      <c r="T686" s="27">
        <f t="shared" si="404"/>
        <v>0</v>
      </c>
      <c r="U686" s="27">
        <f t="shared" si="404"/>
        <v>0</v>
      </c>
      <c r="V686" s="27">
        <f t="shared" si="404"/>
        <v>0</v>
      </c>
      <c r="W686" s="27">
        <f t="shared" si="404"/>
        <v>103744000</v>
      </c>
      <c r="X686" s="27">
        <f t="shared" si="404"/>
        <v>0</v>
      </c>
      <c r="Y686" s="50"/>
      <c r="Z686" s="50"/>
      <c r="AJ686" s="185"/>
      <c r="AK686" s="185"/>
      <c r="AL686" s="185"/>
      <c r="AM686" s="185"/>
      <c r="AR686" s="2" t="e">
        <f>VLOOKUP(CLEAN(H686),#REF!,2,FALSE)</f>
        <v>#REF!</v>
      </c>
      <c r="AZ686" s="2" t="e">
        <f>VLOOKUP(H686,#REF!,2,FALSE)</f>
        <v>#REF!</v>
      </c>
      <c r="BF686" s="189"/>
      <c r="BO686" s="2" t="e">
        <f>VLOOKUP(H686,#REF!,13,FALSE)</f>
        <v>#REF!</v>
      </c>
      <c r="BQ686" s="2" t="e">
        <f>VLOOKUP(H686,#REF!,13,FALSE)</f>
        <v>#REF!</v>
      </c>
    </row>
    <row r="687" spans="1:70" ht="15" customHeight="1" outlineLevel="2">
      <c r="A687" s="7"/>
      <c r="B687" s="7"/>
      <c r="C687" s="7"/>
      <c r="D687" s="7"/>
      <c r="E687" s="7"/>
      <c r="F687" s="7"/>
      <c r="G687" s="7"/>
      <c r="H687" s="11"/>
      <c r="I687" s="11"/>
      <c r="J687" s="11"/>
      <c r="K687" s="11"/>
      <c r="L687" s="292"/>
      <c r="M687" s="22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47"/>
      <c r="Z687" s="47"/>
      <c r="AM687" s="185" t="e">
        <f>VLOOKUP(CLEAN(H687),#REF!,7,FALSE)</f>
        <v>#REF!</v>
      </c>
      <c r="AO687"/>
      <c r="AP687"/>
      <c r="AQ687"/>
      <c r="AR687" s="2" t="e">
        <f>VLOOKUP(CLEAN(H687),#REF!,2,FALSE)</f>
        <v>#REF!</v>
      </c>
      <c r="AZ687" s="2" t="e">
        <f>VLOOKUP(H687,#REF!,2,FALSE)</f>
        <v>#REF!</v>
      </c>
      <c r="BO687" s="2" t="e">
        <f>VLOOKUP(H687,#REF!,13,FALSE)</f>
        <v>#REF!</v>
      </c>
      <c r="BP687" s="293"/>
      <c r="BQ687" s="2" t="e">
        <f>VLOOKUP(H687,#REF!,13,FALSE)</f>
        <v>#REF!</v>
      </c>
    </row>
    <row r="688" spans="1:70" ht="15" customHeight="1" outlineLevel="2">
      <c r="A688" s="7"/>
      <c r="B688" s="7"/>
      <c r="C688" s="7"/>
      <c r="D688" s="7"/>
      <c r="E688" s="7"/>
      <c r="F688" s="7"/>
      <c r="G688" s="7"/>
      <c r="H688" s="11"/>
      <c r="I688" s="11"/>
      <c r="J688" s="11"/>
      <c r="K688" s="11"/>
      <c r="L688" s="18" t="s">
        <v>696</v>
      </c>
      <c r="M688" s="22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47"/>
      <c r="Z688" s="47"/>
      <c r="AM688" s="185" t="e">
        <f>VLOOKUP(CLEAN(H688),#REF!,7,FALSE)</f>
        <v>#REF!</v>
      </c>
      <c r="AO688"/>
      <c r="AP688"/>
      <c r="AQ688"/>
      <c r="AR688" s="2" t="e">
        <f>VLOOKUP(CLEAN(H688),#REF!,2,FALSE)</f>
        <v>#REF!</v>
      </c>
      <c r="AZ688" s="2" t="e">
        <f>VLOOKUP(H688,#REF!,2,FALSE)</f>
        <v>#REF!</v>
      </c>
      <c r="BO688" s="2" t="e">
        <f>VLOOKUP(H688,#REF!,13,FALSE)</f>
        <v>#REF!</v>
      </c>
      <c r="BQ688" s="2" t="e">
        <f>VLOOKUP(H688,#REF!,13,FALSE)</f>
        <v>#REF!</v>
      </c>
    </row>
    <row r="689" spans="1:70" s="2" customFormat="1" ht="15" customHeight="1" outlineLevel="2">
      <c r="A689" s="5">
        <v>31</v>
      </c>
      <c r="B689" s="5" t="s">
        <v>11</v>
      </c>
      <c r="C689" s="5" t="s">
        <v>253</v>
      </c>
      <c r="D689" s="5" t="s">
        <v>30</v>
      </c>
      <c r="E689" s="5" t="s">
        <v>38</v>
      </c>
      <c r="F689" s="5" t="s">
        <v>457</v>
      </c>
      <c r="G689" s="5" t="s">
        <v>9</v>
      </c>
      <c r="H689" s="12">
        <v>30135053</v>
      </c>
      <c r="I689" s="42" t="str">
        <f t="shared" ref="I689:I694" si="405">CONCATENATE(H689,"-",G689)</f>
        <v>30135053-DISEÑO</v>
      </c>
      <c r="J689" s="12"/>
      <c r="K689" s="307" t="str">
        <f t="shared" ref="K689:K694" si="406">CLEAN(H689)</f>
        <v>30135053</v>
      </c>
      <c r="L689" s="15" t="s">
        <v>329</v>
      </c>
      <c r="M689" s="23">
        <v>74568000</v>
      </c>
      <c r="N689" s="34">
        <v>0</v>
      </c>
      <c r="O689" s="34">
        <v>10000000</v>
      </c>
      <c r="P689" s="310">
        <v>0</v>
      </c>
      <c r="Q689" s="34">
        <v>0</v>
      </c>
      <c r="R689" s="308">
        <v>0</v>
      </c>
      <c r="S689" s="34">
        <f t="shared" ref="S689:S694" si="407">P689+Q689+R689</f>
        <v>0</v>
      </c>
      <c r="T689" s="34">
        <v>0</v>
      </c>
      <c r="U689" s="34">
        <v>0</v>
      </c>
      <c r="V689" s="34">
        <f>P689+Q689+R689+T689+U689</f>
        <v>0</v>
      </c>
      <c r="W689" s="34">
        <f>O689-V689</f>
        <v>10000000</v>
      </c>
      <c r="X689" s="34">
        <f>M689-(N689+O689)</f>
        <v>64568000</v>
      </c>
      <c r="Y689" s="48" t="s">
        <v>246</v>
      </c>
      <c r="Z689" s="48" t="s">
        <v>357</v>
      </c>
      <c r="AA689" s="2" t="e">
        <v>#N/A</v>
      </c>
      <c r="AB689" s="2" t="e">
        <f>VLOOKUP(H689,#REF!,2,FALSE)</f>
        <v>#REF!</v>
      </c>
      <c r="AC689" s="2" t="e">
        <f>VLOOKUP(I689,#REF!,2,FALSE)</f>
        <v>#REF!</v>
      </c>
      <c r="AD689" s="2" t="e">
        <f>VLOOKUP(H689,#REF!,13,FALSE)</f>
        <v>#REF!</v>
      </c>
      <c r="AE689" s="2" t="e">
        <f>VLOOKUP(I689,#REF!,7,FALSE)</f>
        <v>#REF!</v>
      </c>
      <c r="AG689" s="2" t="e">
        <f>VLOOKUP(H689,#REF!,13,FALSE)</f>
        <v>#REF!</v>
      </c>
      <c r="AH689" s="2" t="e">
        <f>VLOOKUP(I689,#REF!,2,FALSE)</f>
        <v>#REF!</v>
      </c>
      <c r="AJ689" s="185" t="e">
        <f>VLOOKUP(H689,#REF!,3,FALSE)</f>
        <v>#REF!</v>
      </c>
      <c r="AK689" s="185"/>
      <c r="AL689" s="185" t="e">
        <f>VLOOKUP(H689,#REF!,13,FALSE)</f>
        <v>#REF!</v>
      </c>
      <c r="AM689" s="185" t="e">
        <f>VLOOKUP(CLEAN(H689),#REF!,7,FALSE)</f>
        <v>#REF!</v>
      </c>
      <c r="AN689" s="2" t="e">
        <f>VLOOKUP(H689,#REF!,8,FALSE)</f>
        <v>#REF!</v>
      </c>
      <c r="AO689" s="189" t="e">
        <f>VLOOKUP(H689,#REF!,2,FALSE)</f>
        <v>#REF!</v>
      </c>
      <c r="AP689" s="189" t="e">
        <f>VLOOKUP(H689,#REF!,2,FALSE)</f>
        <v>#REF!</v>
      </c>
      <c r="AQ689" s="189"/>
      <c r="AR689" s="2" t="e">
        <f>VLOOKUP(CLEAN(H689),#REF!,2,FALSE)</f>
        <v>#REF!</v>
      </c>
      <c r="AT689" s="2" t="e">
        <f>VLOOKUP(H689,#REF!,13,FALSE)</f>
        <v>#REF!</v>
      </c>
      <c r="AU689" s="2" t="e">
        <f>VLOOKUP(H689,#REF!,13,FALSE)</f>
        <v>#REF!</v>
      </c>
      <c r="AV689" s="2" t="e">
        <f>VLOOKUP(H689,#REF!,13,FALSE)</f>
        <v>#REF!</v>
      </c>
      <c r="AW689" s="2" t="e">
        <f>VLOOKUP(H689,#REF!,13,FALSE)</f>
        <v>#REF!</v>
      </c>
      <c r="AX689" s="2" t="e">
        <f>VLOOKUP(H689,#REF!,9,FALSE)</f>
        <v>#REF!</v>
      </c>
      <c r="AZ689" s="2" t="e">
        <f>VLOOKUP(H689,#REF!,2,FALSE)</f>
        <v>#REF!</v>
      </c>
      <c r="BF689" s="189" t="e">
        <f>VLOOKUP(CLEAN(H689),#REF!,2,FALSE)</f>
        <v>#REF!</v>
      </c>
      <c r="BG689" s="189" t="e">
        <f>T689-BF689</f>
        <v>#REF!</v>
      </c>
      <c r="BO689" s="2" t="e">
        <f>VLOOKUP(H689,#REF!,13,FALSE)</f>
        <v>#REF!</v>
      </c>
      <c r="BP689" s="2" t="e">
        <f>VLOOKUP(H689,#REF!,2,FALSE)</f>
        <v>#REF!</v>
      </c>
      <c r="BQ689" s="2" t="e">
        <f>VLOOKUP(H689,#REF!,13,FALSE)</f>
        <v>#REF!</v>
      </c>
      <c r="BR689" s="2" t="e">
        <f>VLOOKUP(H689,#REF!,3,FALSE)</f>
        <v>#REF!</v>
      </c>
    </row>
    <row r="690" spans="1:70" s="2" customFormat="1" ht="15" customHeight="1" outlineLevel="2">
      <c r="A690" s="5">
        <v>31</v>
      </c>
      <c r="B690" s="5" t="s">
        <v>11</v>
      </c>
      <c r="C690" s="5" t="s">
        <v>240</v>
      </c>
      <c r="D690" s="5" t="s">
        <v>30</v>
      </c>
      <c r="E690" s="5" t="s">
        <v>38</v>
      </c>
      <c r="F690" s="5" t="s">
        <v>457</v>
      </c>
      <c r="G690" s="5" t="s">
        <v>144</v>
      </c>
      <c r="H690" s="12">
        <v>30078798</v>
      </c>
      <c r="I690" s="42" t="str">
        <f t="shared" si="405"/>
        <v>30078798-EJECUCION</v>
      </c>
      <c r="J690" s="12" t="s">
        <v>732</v>
      </c>
      <c r="K690" s="307" t="str">
        <f t="shared" si="406"/>
        <v>30078798</v>
      </c>
      <c r="L690" s="15" t="s">
        <v>333</v>
      </c>
      <c r="M690" s="23">
        <v>450505000</v>
      </c>
      <c r="N690" s="34">
        <v>0</v>
      </c>
      <c r="O690" s="34">
        <v>10000000</v>
      </c>
      <c r="P690" s="310">
        <v>0</v>
      </c>
      <c r="Q690" s="34">
        <v>0</v>
      </c>
      <c r="R690" s="308">
        <v>0</v>
      </c>
      <c r="S690" s="34">
        <f t="shared" si="407"/>
        <v>0</v>
      </c>
      <c r="T690" s="34">
        <v>0</v>
      </c>
      <c r="U690" s="34">
        <v>0</v>
      </c>
      <c r="V690" s="34">
        <f>P690+Q690+R690+T690+U690</f>
        <v>0</v>
      </c>
      <c r="W690" s="34">
        <f>O690-V690</f>
        <v>10000000</v>
      </c>
      <c r="X690" s="34">
        <f>M690-(N690+O690)</f>
        <v>440505000</v>
      </c>
      <c r="Y690" s="48" t="s">
        <v>246</v>
      </c>
      <c r="Z690" s="48" t="s">
        <v>270</v>
      </c>
      <c r="AA690" s="2" t="e">
        <v>#N/A</v>
      </c>
      <c r="AB690" s="2" t="e">
        <f>VLOOKUP(H690,#REF!,2,FALSE)</f>
        <v>#REF!</v>
      </c>
      <c r="AC690" s="2" t="e">
        <f>VLOOKUP(I690,#REF!,2,FALSE)</f>
        <v>#REF!</v>
      </c>
      <c r="AD690" s="2" t="e">
        <f>VLOOKUP(H690,#REF!,13,FALSE)</f>
        <v>#REF!</v>
      </c>
      <c r="AE690" s="2" t="e">
        <f>VLOOKUP(I690,#REF!,7,FALSE)</f>
        <v>#REF!</v>
      </c>
      <c r="AG690" s="2" t="e">
        <f>VLOOKUP(H690,#REF!,13,FALSE)</f>
        <v>#REF!</v>
      </c>
      <c r="AH690" s="2" t="e">
        <f>VLOOKUP(I690,#REF!,2,FALSE)</f>
        <v>#REF!</v>
      </c>
      <c r="AJ690" s="185" t="e">
        <f>VLOOKUP(H690,#REF!,3,FALSE)</f>
        <v>#REF!</v>
      </c>
      <c r="AK690" s="185"/>
      <c r="AL690" s="185" t="e">
        <f>VLOOKUP(H690,#REF!,13,FALSE)</f>
        <v>#REF!</v>
      </c>
      <c r="AM690" s="185" t="e">
        <f>VLOOKUP(CLEAN(H690),#REF!,7,FALSE)</f>
        <v>#REF!</v>
      </c>
      <c r="AN690" s="2" t="e">
        <f>VLOOKUP(H690,#REF!,8,FALSE)</f>
        <v>#REF!</v>
      </c>
      <c r="AO690" s="189" t="e">
        <f>VLOOKUP(H690,#REF!,2,FALSE)</f>
        <v>#REF!</v>
      </c>
      <c r="AP690" s="189" t="e">
        <f>VLOOKUP(H690,#REF!,2,FALSE)</f>
        <v>#REF!</v>
      </c>
      <c r="AQ690" s="189"/>
      <c r="AR690" s="2" t="e">
        <f>VLOOKUP(CLEAN(H690),#REF!,2,FALSE)</f>
        <v>#REF!</v>
      </c>
      <c r="AT690" s="2" t="e">
        <f>VLOOKUP(H690,#REF!,13,FALSE)</f>
        <v>#REF!</v>
      </c>
      <c r="AU690" s="2" t="e">
        <f>VLOOKUP(H690,#REF!,13,FALSE)</f>
        <v>#REF!</v>
      </c>
      <c r="AV690" s="2" t="e">
        <f>VLOOKUP(H690,#REF!,13,FALSE)</f>
        <v>#REF!</v>
      </c>
      <c r="AW690" s="2" t="e">
        <f>VLOOKUP(H690,#REF!,13,FALSE)</f>
        <v>#REF!</v>
      </c>
      <c r="AX690" s="2" t="e">
        <f>VLOOKUP(H690,#REF!,9,FALSE)</f>
        <v>#REF!</v>
      </c>
      <c r="AZ690" s="2" t="e">
        <f>VLOOKUP(H690,#REF!,2,FALSE)</f>
        <v>#REF!</v>
      </c>
      <c r="BF690" s="189" t="e">
        <f>VLOOKUP(CLEAN(H690),#REF!,2,FALSE)</f>
        <v>#REF!</v>
      </c>
      <c r="BG690" s="189" t="e">
        <f>T690-BF690</f>
        <v>#REF!</v>
      </c>
      <c r="BO690" s="2" t="e">
        <f>VLOOKUP(H690,#REF!,13,FALSE)</f>
        <v>#REF!</v>
      </c>
      <c r="BP690" s="2" t="e">
        <f>VLOOKUP(H690,#REF!,2,FALSE)</f>
        <v>#REF!</v>
      </c>
      <c r="BQ690" s="2" t="e">
        <f>VLOOKUP(H690,#REF!,13,FALSE)</f>
        <v>#REF!</v>
      </c>
      <c r="BR690" s="2" t="e">
        <f>VLOOKUP(H690,#REF!,3,FALSE)</f>
        <v>#REF!</v>
      </c>
    </row>
    <row r="691" spans="1:70" s="2" customFormat="1" ht="15" customHeight="1" outlineLevel="2">
      <c r="A691" s="5">
        <v>31</v>
      </c>
      <c r="B691" s="5" t="s">
        <v>11</v>
      </c>
      <c r="C691" s="5" t="s">
        <v>253</v>
      </c>
      <c r="D691" s="5" t="s">
        <v>30</v>
      </c>
      <c r="E691" s="5" t="s">
        <v>38</v>
      </c>
      <c r="F691" s="5" t="s">
        <v>457</v>
      </c>
      <c r="G691" s="5" t="s">
        <v>144</v>
      </c>
      <c r="H691" s="12">
        <v>30480757</v>
      </c>
      <c r="I691" s="42" t="str">
        <f t="shared" si="405"/>
        <v>30480757-EJECUCION</v>
      </c>
      <c r="J691" s="12"/>
      <c r="K691" s="307" t="str">
        <f t="shared" si="406"/>
        <v>30480757</v>
      </c>
      <c r="L691" s="15" t="s">
        <v>415</v>
      </c>
      <c r="M691" s="23">
        <v>314000000</v>
      </c>
      <c r="N691" s="34">
        <v>0</v>
      </c>
      <c r="O691" s="34">
        <v>10000000</v>
      </c>
      <c r="P691" s="310">
        <v>0</v>
      </c>
      <c r="Q691" s="34">
        <v>0</v>
      </c>
      <c r="R691" s="308">
        <v>0</v>
      </c>
      <c r="S691" s="34">
        <f t="shared" si="407"/>
        <v>0</v>
      </c>
      <c r="T691" s="34">
        <v>0</v>
      </c>
      <c r="U691" s="34">
        <v>0</v>
      </c>
      <c r="V691" s="34">
        <f>P691+Q691+R691+T691+U691</f>
        <v>0</v>
      </c>
      <c r="W691" s="34">
        <f>O691-V691</f>
        <v>10000000</v>
      </c>
      <c r="X691" s="34">
        <f>M691-(N691+O691)</f>
        <v>304000000</v>
      </c>
      <c r="Y691" s="48" t="s">
        <v>246</v>
      </c>
      <c r="Z691" s="48" t="s">
        <v>421</v>
      </c>
      <c r="AA691" s="2" t="e">
        <v>#N/A</v>
      </c>
      <c r="AB691" s="2" t="e">
        <f>VLOOKUP(H691,#REF!,2,FALSE)</f>
        <v>#REF!</v>
      </c>
      <c r="AC691" s="2" t="e">
        <f>VLOOKUP(I691,#REF!,2,FALSE)</f>
        <v>#REF!</v>
      </c>
      <c r="AD691" s="2" t="e">
        <f>VLOOKUP(H691,#REF!,13,FALSE)</f>
        <v>#REF!</v>
      </c>
      <c r="AE691" s="2" t="e">
        <f>VLOOKUP(I691,#REF!,7,FALSE)</f>
        <v>#REF!</v>
      </c>
      <c r="AG691" s="2" t="e">
        <f>VLOOKUP(H691,#REF!,13,FALSE)</f>
        <v>#REF!</v>
      </c>
      <c r="AH691" s="2" t="e">
        <f>VLOOKUP(I691,#REF!,2,FALSE)</f>
        <v>#REF!</v>
      </c>
      <c r="AJ691" s="185" t="e">
        <f>VLOOKUP(H691,#REF!,3,FALSE)</f>
        <v>#REF!</v>
      </c>
      <c r="AK691" s="185"/>
      <c r="AL691" s="185" t="e">
        <f>VLOOKUP(H691,#REF!,13,FALSE)</f>
        <v>#REF!</v>
      </c>
      <c r="AM691" s="185" t="e">
        <f>VLOOKUP(CLEAN(H691),#REF!,7,FALSE)</f>
        <v>#REF!</v>
      </c>
      <c r="AN691" s="2" t="e">
        <f>VLOOKUP(H691,#REF!,8,FALSE)</f>
        <v>#REF!</v>
      </c>
      <c r="AO691" s="189" t="e">
        <f>VLOOKUP(H691,#REF!,2,FALSE)</f>
        <v>#REF!</v>
      </c>
      <c r="AP691" s="189" t="e">
        <f>VLOOKUP(H691,#REF!,2,FALSE)</f>
        <v>#REF!</v>
      </c>
      <c r="AQ691" s="189"/>
      <c r="AR691" s="2" t="e">
        <f>VLOOKUP(CLEAN(H691),#REF!,2,FALSE)</f>
        <v>#REF!</v>
      </c>
      <c r="AT691" s="2" t="e">
        <f>VLOOKUP(H691,#REF!,13,FALSE)</f>
        <v>#REF!</v>
      </c>
      <c r="AU691" s="2" t="e">
        <f>VLOOKUP(H691,#REF!,13,FALSE)</f>
        <v>#REF!</v>
      </c>
      <c r="AV691" s="2" t="e">
        <f>VLOOKUP(H691,#REF!,13,FALSE)</f>
        <v>#REF!</v>
      </c>
      <c r="AW691" s="2" t="e">
        <f>VLOOKUP(H691,#REF!,13,FALSE)</f>
        <v>#REF!</v>
      </c>
      <c r="AX691" s="2" t="e">
        <f>VLOOKUP(H691,#REF!,9,FALSE)</f>
        <v>#REF!</v>
      </c>
      <c r="AZ691" s="2" t="e">
        <f>VLOOKUP(H691,#REF!,2,FALSE)</f>
        <v>#REF!</v>
      </c>
      <c r="BF691" s="189" t="e">
        <f>VLOOKUP(CLEAN(H691),#REF!,2,FALSE)</f>
        <v>#REF!</v>
      </c>
      <c r="BG691" s="189" t="e">
        <f>T691-BF691</f>
        <v>#REF!</v>
      </c>
      <c r="BO691" s="2" t="e">
        <f>VLOOKUP(H691,#REF!,13,FALSE)</f>
        <v>#REF!</v>
      </c>
      <c r="BP691" s="2" t="e">
        <f>VLOOKUP(H691,#REF!,2,FALSE)</f>
        <v>#REF!</v>
      </c>
      <c r="BQ691" s="2" t="e">
        <f>VLOOKUP(H691,#REF!,13,FALSE)</f>
        <v>#REF!</v>
      </c>
      <c r="BR691" s="2" t="e">
        <f>VLOOKUP(H691,#REF!,3,FALSE)</f>
        <v>#REF!</v>
      </c>
    </row>
    <row r="692" spans="1:70" s="2" customFormat="1" ht="15" customHeight="1" outlineLevel="2">
      <c r="A692" s="5">
        <v>31</v>
      </c>
      <c r="B692" s="5" t="s">
        <v>11</v>
      </c>
      <c r="C692" s="5" t="s">
        <v>252</v>
      </c>
      <c r="D692" s="5" t="s">
        <v>30</v>
      </c>
      <c r="E692" s="5" t="s">
        <v>38</v>
      </c>
      <c r="F692" s="5" t="s">
        <v>457</v>
      </c>
      <c r="G692" s="5" t="s">
        <v>144</v>
      </c>
      <c r="H692" s="12">
        <v>40001184</v>
      </c>
      <c r="I692" s="42" t="str">
        <f t="shared" si="405"/>
        <v>40001184-EJECUCION</v>
      </c>
      <c r="J692" s="12"/>
      <c r="K692" s="307" t="str">
        <f t="shared" si="406"/>
        <v>40001184</v>
      </c>
      <c r="L692" s="15" t="s">
        <v>802</v>
      </c>
      <c r="M692" s="23">
        <v>109664000</v>
      </c>
      <c r="N692" s="34">
        <v>0</v>
      </c>
      <c r="O692" s="34">
        <v>10000000</v>
      </c>
      <c r="P692" s="310">
        <v>0</v>
      </c>
      <c r="Q692" s="34">
        <v>0</v>
      </c>
      <c r="R692" s="308">
        <v>0</v>
      </c>
      <c r="S692" s="34">
        <f t="shared" si="407"/>
        <v>0</v>
      </c>
      <c r="T692" s="34">
        <v>0</v>
      </c>
      <c r="U692" s="34">
        <v>0</v>
      </c>
      <c r="V692" s="34">
        <f>P692+Q692+R692+T692+U692</f>
        <v>0</v>
      </c>
      <c r="W692" s="34">
        <f>O692-V692</f>
        <v>10000000</v>
      </c>
      <c r="X692" s="34">
        <f>M692-(N692+O692)</f>
        <v>99664000</v>
      </c>
      <c r="Y692" s="48" t="s">
        <v>646</v>
      </c>
      <c r="Z692" s="48" t="s">
        <v>259</v>
      </c>
      <c r="AA692" s="2" t="e">
        <v>#N/A</v>
      </c>
      <c r="AB692" s="2" t="e">
        <f>VLOOKUP(H692,#REF!,2,FALSE)</f>
        <v>#REF!</v>
      </c>
      <c r="AD692" s="2" t="e">
        <f>VLOOKUP(H692,#REF!,13,FALSE)</f>
        <v>#REF!</v>
      </c>
      <c r="AE692" s="2" t="e">
        <f>VLOOKUP(I692,#REF!,7,FALSE)</f>
        <v>#REF!</v>
      </c>
      <c r="AG692" s="2" t="e">
        <f>VLOOKUP(H692,#REF!,13,FALSE)</f>
        <v>#REF!</v>
      </c>
      <c r="AH692" s="2" t="e">
        <f>VLOOKUP(I692,#REF!,2,FALSE)</f>
        <v>#REF!</v>
      </c>
      <c r="AJ692" s="185" t="e">
        <f>VLOOKUP(H692,#REF!,3,FALSE)</f>
        <v>#REF!</v>
      </c>
      <c r="AK692" s="185"/>
      <c r="AL692" s="185" t="e">
        <f>VLOOKUP(H692,#REF!,13,FALSE)</f>
        <v>#REF!</v>
      </c>
      <c r="AM692" s="185" t="e">
        <f>VLOOKUP(CLEAN(H692),#REF!,7,FALSE)</f>
        <v>#REF!</v>
      </c>
      <c r="AN692" s="2" t="e">
        <f>VLOOKUP(H692,#REF!,8,FALSE)</f>
        <v>#REF!</v>
      </c>
      <c r="AO692" s="189" t="e">
        <f>VLOOKUP(H692,#REF!,2,FALSE)</f>
        <v>#REF!</v>
      </c>
      <c r="AP692" s="189" t="e">
        <f>VLOOKUP(H692,#REF!,2,FALSE)</f>
        <v>#REF!</v>
      </c>
      <c r="AQ692" s="189"/>
      <c r="AR692" s="2" t="e">
        <f>VLOOKUP(CLEAN(H692),#REF!,2,FALSE)</f>
        <v>#REF!</v>
      </c>
      <c r="AT692" s="2" t="e">
        <f>VLOOKUP(H692,#REF!,13,FALSE)</f>
        <v>#REF!</v>
      </c>
      <c r="AU692" s="2" t="e">
        <f>VLOOKUP(H692,#REF!,13,FALSE)</f>
        <v>#REF!</v>
      </c>
      <c r="AV692" s="2" t="e">
        <f>VLOOKUP(H692,#REF!,13,FALSE)</f>
        <v>#REF!</v>
      </c>
      <c r="AW692" s="2" t="e">
        <f>VLOOKUP(H692,#REF!,13,FALSE)</f>
        <v>#REF!</v>
      </c>
      <c r="AX692" s="2" t="e">
        <f>VLOOKUP(H692,#REF!,9,FALSE)</f>
        <v>#REF!</v>
      </c>
      <c r="AZ692" s="189" t="e">
        <f>VLOOKUP(H692,#REF!,2,FALSE)</f>
        <v>#REF!</v>
      </c>
      <c r="BF692" s="189" t="e">
        <f>VLOOKUP(CLEAN(H692),#REF!,2,FALSE)</f>
        <v>#REF!</v>
      </c>
      <c r="BG692" s="189" t="e">
        <f>T692-BF692</f>
        <v>#REF!</v>
      </c>
      <c r="BO692" s="2" t="e">
        <f>VLOOKUP(H692,#REF!,13,FALSE)</f>
        <v>#REF!</v>
      </c>
      <c r="BP692" s="2" t="e">
        <f>VLOOKUP(H692,#REF!,2,FALSE)</f>
        <v>#REF!</v>
      </c>
      <c r="BQ692" s="2" t="e">
        <f>VLOOKUP(H692,#REF!,13,FALSE)</f>
        <v>#REF!</v>
      </c>
      <c r="BR692" s="2" t="e">
        <f>VLOOKUP(H692,#REF!,3,FALSE)</f>
        <v>#REF!</v>
      </c>
    </row>
    <row r="693" spans="1:70" s="2" customFormat="1" ht="15" customHeight="1" outlineLevel="2">
      <c r="A693" s="5">
        <v>31</v>
      </c>
      <c r="B693" s="5" t="s">
        <v>11</v>
      </c>
      <c r="C693" s="5" t="s">
        <v>252</v>
      </c>
      <c r="D693" s="5" t="s">
        <v>30</v>
      </c>
      <c r="E693" s="5" t="s">
        <v>38</v>
      </c>
      <c r="F693" s="5" t="s">
        <v>457</v>
      </c>
      <c r="G693" s="5" t="s">
        <v>144</v>
      </c>
      <c r="H693" s="12">
        <v>40002388</v>
      </c>
      <c r="I693" s="42" t="str">
        <f t="shared" si="405"/>
        <v>40002388-EJECUCION</v>
      </c>
      <c r="J693" s="12"/>
      <c r="K693" s="307" t="str">
        <f t="shared" si="406"/>
        <v>40002388</v>
      </c>
      <c r="L693" s="15" t="s">
        <v>803</v>
      </c>
      <c r="M693" s="23">
        <v>160100000</v>
      </c>
      <c r="N693" s="34">
        <v>0</v>
      </c>
      <c r="O693" s="34">
        <f>20000000-5000000</f>
        <v>15000000</v>
      </c>
      <c r="P693" s="310">
        <v>0</v>
      </c>
      <c r="Q693" s="34">
        <v>0</v>
      </c>
      <c r="R693" s="308">
        <v>0</v>
      </c>
      <c r="S693" s="34">
        <f t="shared" si="407"/>
        <v>0</v>
      </c>
      <c r="T693" s="34">
        <v>0</v>
      </c>
      <c r="U693" s="34">
        <v>0</v>
      </c>
      <c r="V693" s="34">
        <f>P693+Q693+R693+T693+U693</f>
        <v>0</v>
      </c>
      <c r="W693" s="34">
        <f>O693-V693</f>
        <v>15000000</v>
      </c>
      <c r="X693" s="34">
        <f>M693-(N693+O693)</f>
        <v>145100000</v>
      </c>
      <c r="Y693" s="48" t="s">
        <v>646</v>
      </c>
      <c r="Z693" s="48" t="s">
        <v>357</v>
      </c>
      <c r="AA693" s="2" t="e">
        <v>#N/A</v>
      </c>
      <c r="AB693" s="2" t="e">
        <f>VLOOKUP(H693,#REF!,2,FALSE)</f>
        <v>#REF!</v>
      </c>
      <c r="AD693" s="2" t="e">
        <f>VLOOKUP(H693,#REF!,13,FALSE)</f>
        <v>#REF!</v>
      </c>
      <c r="AE693" s="2" t="e">
        <f>VLOOKUP(I693,#REF!,7,FALSE)</f>
        <v>#REF!</v>
      </c>
      <c r="AG693" s="2" t="e">
        <f>VLOOKUP(H693,#REF!,13,FALSE)</f>
        <v>#REF!</v>
      </c>
      <c r="AH693" s="2" t="e">
        <f>VLOOKUP(I693,#REF!,2,FALSE)</f>
        <v>#REF!</v>
      </c>
      <c r="AJ693" s="185" t="e">
        <f>VLOOKUP(H693,#REF!,3,FALSE)</f>
        <v>#REF!</v>
      </c>
      <c r="AK693" s="185"/>
      <c r="AL693" s="185" t="e">
        <f>VLOOKUP(H693,#REF!,13,FALSE)</f>
        <v>#REF!</v>
      </c>
      <c r="AM693" s="185" t="e">
        <f>VLOOKUP(CLEAN(H693),#REF!,7,FALSE)</f>
        <v>#REF!</v>
      </c>
      <c r="AN693" s="2" t="e">
        <f>VLOOKUP(H693,#REF!,8,FALSE)</f>
        <v>#REF!</v>
      </c>
      <c r="AO693" s="189" t="e">
        <f>VLOOKUP(H693,#REF!,2,FALSE)</f>
        <v>#REF!</v>
      </c>
      <c r="AP693" s="189" t="e">
        <f>VLOOKUP(H693,#REF!,2,FALSE)</f>
        <v>#REF!</v>
      </c>
      <c r="AQ693" s="189"/>
      <c r="AR693" s="2" t="e">
        <f>VLOOKUP(CLEAN(H693),#REF!,2,FALSE)</f>
        <v>#REF!</v>
      </c>
      <c r="AT693" s="2" t="e">
        <f>VLOOKUP(H693,#REF!,13,FALSE)</f>
        <v>#REF!</v>
      </c>
      <c r="AU693" s="2" t="e">
        <f>VLOOKUP(H693,#REF!,13,FALSE)</f>
        <v>#REF!</v>
      </c>
      <c r="AV693" s="2" t="e">
        <f>VLOOKUP(H693,#REF!,13,FALSE)</f>
        <v>#REF!</v>
      </c>
      <c r="AW693" s="2" t="e">
        <f>VLOOKUP(H693,#REF!,13,FALSE)</f>
        <v>#REF!</v>
      </c>
      <c r="AX693" s="2" t="e">
        <f>VLOOKUP(H693,#REF!,9,FALSE)</f>
        <v>#REF!</v>
      </c>
      <c r="AZ693" s="2" t="e">
        <f>VLOOKUP(H693,#REF!,2,FALSE)</f>
        <v>#REF!</v>
      </c>
      <c r="BF693" s="189" t="e">
        <f>VLOOKUP(CLEAN(H693),#REF!,2,FALSE)</f>
        <v>#REF!</v>
      </c>
      <c r="BG693" s="189" t="e">
        <f>T693-BF693</f>
        <v>#REF!</v>
      </c>
      <c r="BO693" s="2" t="e">
        <f>VLOOKUP(H693,#REF!,13,FALSE)</f>
        <v>#REF!</v>
      </c>
      <c r="BP693" s="2" t="e">
        <f>VLOOKUP(H693,#REF!,2,FALSE)</f>
        <v>#REF!</v>
      </c>
      <c r="BQ693" s="2" t="e">
        <f>VLOOKUP(H693,#REF!,13,FALSE)</f>
        <v>#REF!</v>
      </c>
      <c r="BR693" s="2" t="e">
        <f>VLOOKUP(H693,#REF!,3,FALSE)</f>
        <v>#REF!</v>
      </c>
    </row>
    <row r="694" spans="1:70" s="2" customFormat="1" ht="15" customHeight="1" outlineLevel="2">
      <c r="A694" s="5">
        <v>31</v>
      </c>
      <c r="B694" s="5" t="s">
        <v>11</v>
      </c>
      <c r="C694" s="5" t="s">
        <v>253</v>
      </c>
      <c r="D694" s="5" t="s">
        <v>30</v>
      </c>
      <c r="E694" s="5" t="s">
        <v>38</v>
      </c>
      <c r="F694" s="5" t="s">
        <v>457</v>
      </c>
      <c r="G694" s="5" t="s">
        <v>144</v>
      </c>
      <c r="H694" s="12">
        <v>40002386</v>
      </c>
      <c r="I694" s="42" t="str">
        <f t="shared" si="405"/>
        <v>40002386-EJECUCION</v>
      </c>
      <c r="J694" s="12"/>
      <c r="K694" s="307" t="str">
        <f t="shared" si="406"/>
        <v>40002386</v>
      </c>
      <c r="L694" s="15" t="s">
        <v>632</v>
      </c>
      <c r="M694" s="23">
        <v>438741000</v>
      </c>
      <c r="N694" s="34">
        <v>0</v>
      </c>
      <c r="O694" s="34">
        <v>20000000</v>
      </c>
      <c r="P694" s="310">
        <v>0</v>
      </c>
      <c r="Q694" s="34">
        <v>0</v>
      </c>
      <c r="R694" s="308">
        <v>0</v>
      </c>
      <c r="S694" s="34">
        <f t="shared" si="407"/>
        <v>0</v>
      </c>
      <c r="T694" s="34">
        <v>0</v>
      </c>
      <c r="U694" s="34">
        <v>0</v>
      </c>
      <c r="V694" s="34">
        <f>P694+Q694+R694+T694+U694</f>
        <v>0</v>
      </c>
      <c r="W694" s="34">
        <f>O694-V694</f>
        <v>20000000</v>
      </c>
      <c r="X694" s="34">
        <f>M694-(N694+O694)</f>
        <v>418741000</v>
      </c>
      <c r="Y694" s="48" t="s">
        <v>646</v>
      </c>
      <c r="Z694" s="48" t="s">
        <v>357</v>
      </c>
      <c r="AA694" s="2" t="e">
        <v>#N/A</v>
      </c>
      <c r="AB694" s="2" t="e">
        <f>VLOOKUP(H694,#REF!,2,FALSE)</f>
        <v>#REF!</v>
      </c>
      <c r="AD694" s="2" t="e">
        <f>VLOOKUP(H694,#REF!,13,FALSE)</f>
        <v>#REF!</v>
      </c>
      <c r="AE694" s="2" t="e">
        <f>VLOOKUP(I694,#REF!,7,FALSE)</f>
        <v>#REF!</v>
      </c>
      <c r="AG694" s="2" t="e">
        <f>VLOOKUP(H694,#REF!,13,FALSE)</f>
        <v>#REF!</v>
      </c>
      <c r="AH694" s="2" t="e">
        <f>VLOOKUP(I694,#REF!,2,FALSE)</f>
        <v>#REF!</v>
      </c>
      <c r="AJ694" s="185" t="e">
        <f>VLOOKUP(H694,#REF!,3,FALSE)</f>
        <v>#REF!</v>
      </c>
      <c r="AK694" s="185"/>
      <c r="AL694" s="185" t="e">
        <f>VLOOKUP(H694,#REF!,13,FALSE)</f>
        <v>#REF!</v>
      </c>
      <c r="AM694" s="185" t="e">
        <f>VLOOKUP(CLEAN(H694),#REF!,7,FALSE)</f>
        <v>#REF!</v>
      </c>
      <c r="AN694" s="2" t="e">
        <f>VLOOKUP(H694,#REF!,8,FALSE)</f>
        <v>#REF!</v>
      </c>
      <c r="AO694" s="189" t="e">
        <f>VLOOKUP(H694,#REF!,2,FALSE)</f>
        <v>#REF!</v>
      </c>
      <c r="AP694" s="189" t="e">
        <f>VLOOKUP(H694,#REF!,2,FALSE)</f>
        <v>#REF!</v>
      </c>
      <c r="AQ694" s="189"/>
      <c r="AR694" s="2" t="e">
        <f>VLOOKUP(CLEAN(H694),#REF!,2,FALSE)</f>
        <v>#REF!</v>
      </c>
      <c r="AT694" s="2" t="e">
        <f>VLOOKUP(H694,#REF!,13,FALSE)</f>
        <v>#REF!</v>
      </c>
      <c r="AU694" s="2" t="e">
        <f>VLOOKUP(H694,#REF!,13,FALSE)</f>
        <v>#REF!</v>
      </c>
      <c r="AV694" s="2" t="e">
        <f>VLOOKUP(H694,#REF!,13,FALSE)</f>
        <v>#REF!</v>
      </c>
      <c r="AW694" s="2" t="e">
        <f>VLOOKUP(H694,#REF!,13,FALSE)</f>
        <v>#REF!</v>
      </c>
      <c r="AX694" s="2" t="e">
        <f>VLOOKUP(H694,#REF!,9,FALSE)</f>
        <v>#REF!</v>
      </c>
      <c r="AZ694" s="2" t="e">
        <f>VLOOKUP(H694,#REF!,2,FALSE)</f>
        <v>#REF!</v>
      </c>
      <c r="BF694" s="189" t="e">
        <f>VLOOKUP(CLEAN(H694),#REF!,2,FALSE)</f>
        <v>#REF!</v>
      </c>
      <c r="BG694" s="189" t="e">
        <f>T694-BF694</f>
        <v>#REF!</v>
      </c>
      <c r="BO694" s="2" t="e">
        <f>VLOOKUP(H694,#REF!,13,FALSE)</f>
        <v>#REF!</v>
      </c>
      <c r="BP694" s="2" t="e">
        <f>VLOOKUP(H694,#REF!,2,FALSE)</f>
        <v>#REF!</v>
      </c>
      <c r="BQ694" s="2" t="e">
        <f>VLOOKUP(H694,#REF!,13,FALSE)</f>
        <v>#REF!</v>
      </c>
      <c r="BR694" s="2" t="e">
        <f>VLOOKUP(H694,#REF!,3,FALSE)</f>
        <v>#REF!</v>
      </c>
    </row>
    <row r="695" spans="1:70" ht="15" customHeight="1" outlineLevel="2">
      <c r="A695" s="7"/>
      <c r="B695" s="7"/>
      <c r="C695" s="7"/>
      <c r="D695" s="7"/>
      <c r="E695" s="7"/>
      <c r="F695" s="7"/>
      <c r="G695" s="7"/>
      <c r="H695" s="11"/>
      <c r="I695" s="11"/>
      <c r="J695" s="11"/>
      <c r="K695" s="11"/>
      <c r="L695" s="17" t="s">
        <v>693</v>
      </c>
      <c r="M695" s="27">
        <f t="shared" ref="M695:X695" si="408">SUBTOTAL(9,M689:M694)</f>
        <v>1547578000</v>
      </c>
      <c r="N695" s="27">
        <f t="shared" si="408"/>
        <v>0</v>
      </c>
      <c r="O695" s="27">
        <f t="shared" si="408"/>
        <v>75000000</v>
      </c>
      <c r="P695" s="24">
        <f t="shared" si="408"/>
        <v>0</v>
      </c>
      <c r="Q695" s="24">
        <f t="shared" si="408"/>
        <v>0</v>
      </c>
      <c r="R695" s="24">
        <f t="shared" si="408"/>
        <v>0</v>
      </c>
      <c r="S695" s="27">
        <f t="shared" si="408"/>
        <v>0</v>
      </c>
      <c r="T695" s="27">
        <f t="shared" si="408"/>
        <v>0</v>
      </c>
      <c r="U695" s="27">
        <f t="shared" si="408"/>
        <v>0</v>
      </c>
      <c r="V695" s="27">
        <f t="shared" si="408"/>
        <v>0</v>
      </c>
      <c r="W695" s="27">
        <f t="shared" si="408"/>
        <v>75000000</v>
      </c>
      <c r="X695" s="27">
        <f t="shared" si="408"/>
        <v>1472578000</v>
      </c>
      <c r="Y695" s="47"/>
      <c r="Z695" s="47"/>
      <c r="AM695" s="185" t="e">
        <f>VLOOKUP(CLEAN(H695),#REF!,7,FALSE)</f>
        <v>#REF!</v>
      </c>
      <c r="AO695"/>
      <c r="AP695"/>
      <c r="AQ695"/>
      <c r="AR695" s="2" t="e">
        <f>VLOOKUP(CLEAN(H695),#REF!,2,FALSE)</f>
        <v>#REF!</v>
      </c>
      <c r="AZ695" s="2" t="e">
        <f>VLOOKUP(H695,#REF!,2,FALSE)</f>
        <v>#REF!</v>
      </c>
      <c r="BO695" s="2" t="e">
        <f>VLOOKUP(H695,#REF!,13,FALSE)</f>
        <v>#REF!</v>
      </c>
      <c r="BQ695" s="2" t="e">
        <f>VLOOKUP(H695,#REF!,13,FALSE)</f>
        <v>#REF!</v>
      </c>
    </row>
    <row r="696" spans="1:70" ht="15" customHeight="1" outlineLevel="2">
      <c r="A696" s="7"/>
      <c r="B696" s="7"/>
      <c r="C696" s="7"/>
      <c r="D696" s="7"/>
      <c r="E696" s="7"/>
      <c r="F696" s="7"/>
      <c r="G696" s="7"/>
      <c r="H696" s="11"/>
      <c r="I696" s="11"/>
      <c r="J696" s="11"/>
      <c r="K696" s="11"/>
      <c r="L696" s="292"/>
      <c r="M696" s="22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47"/>
      <c r="Z696" s="47"/>
      <c r="AM696" s="185" t="e">
        <f>VLOOKUP(CLEAN(H696),#REF!,7,FALSE)</f>
        <v>#REF!</v>
      </c>
      <c r="AO696"/>
      <c r="AP696"/>
      <c r="AQ696"/>
      <c r="AR696" s="2" t="e">
        <f>VLOOKUP(CLEAN(H696),#REF!,2,FALSE)</f>
        <v>#REF!</v>
      </c>
      <c r="AZ696" s="2" t="e">
        <f>VLOOKUP(H696,#REF!,2,FALSE)</f>
        <v>#REF!</v>
      </c>
      <c r="BO696" s="2" t="e">
        <f>VLOOKUP(H696,#REF!,13,FALSE)</f>
        <v>#REF!</v>
      </c>
      <c r="BP696" s="293"/>
      <c r="BQ696" s="2" t="e">
        <f>VLOOKUP(H696,#REF!,13,FALSE)</f>
        <v>#REF!</v>
      </c>
    </row>
    <row r="697" spans="1:70" ht="18.75" customHeight="1" outlineLevel="1">
      <c r="A697" s="7"/>
      <c r="B697" s="7"/>
      <c r="C697" s="7"/>
      <c r="D697" s="7"/>
      <c r="E697" s="8"/>
      <c r="F697" s="7"/>
      <c r="G697" s="7"/>
      <c r="H697" s="11"/>
      <c r="I697" s="11"/>
      <c r="J697" s="11"/>
      <c r="K697" s="11"/>
      <c r="L697" s="45" t="s">
        <v>170</v>
      </c>
      <c r="M697" s="46">
        <f t="shared" ref="M697:X697" si="409">M695+M682+M686</f>
        <v>2776659000</v>
      </c>
      <c r="N697" s="46">
        <f t="shared" si="409"/>
        <v>196238450</v>
      </c>
      <c r="O697" s="46">
        <f t="shared" si="409"/>
        <v>1079081000</v>
      </c>
      <c r="P697" s="46">
        <f t="shared" si="409"/>
        <v>52183058</v>
      </c>
      <c r="Q697" s="46">
        <f t="shared" si="409"/>
        <v>72633349</v>
      </c>
      <c r="R697" s="46">
        <f t="shared" si="409"/>
        <v>121953178</v>
      </c>
      <c r="S697" s="46">
        <f t="shared" si="409"/>
        <v>246769585</v>
      </c>
      <c r="T697" s="46">
        <f t="shared" si="409"/>
        <v>81461674</v>
      </c>
      <c r="U697" s="46">
        <f t="shared" si="409"/>
        <v>72454805</v>
      </c>
      <c r="V697" s="46">
        <f t="shared" si="409"/>
        <v>400686064</v>
      </c>
      <c r="W697" s="46">
        <f t="shared" si="409"/>
        <v>678394936</v>
      </c>
      <c r="X697" s="46">
        <f t="shared" si="409"/>
        <v>1501339550</v>
      </c>
      <c r="Y697" s="47"/>
      <c r="Z697" s="47"/>
      <c r="AM697" s="185" t="e">
        <f>VLOOKUP(CLEAN(H697),#REF!,7,FALSE)</f>
        <v>#REF!</v>
      </c>
      <c r="AO697"/>
      <c r="AP697"/>
      <c r="AQ697"/>
      <c r="AR697" s="2" t="e">
        <f>VLOOKUP(CLEAN(H697),#REF!,2,FALSE)</f>
        <v>#REF!</v>
      </c>
      <c r="AZ697" s="2" t="e">
        <f>VLOOKUP(H697,#REF!,2,FALSE)</f>
        <v>#REF!</v>
      </c>
      <c r="BO697" s="2" t="e">
        <f>VLOOKUP(H697,#REF!,13,FALSE)</f>
        <v>#REF!</v>
      </c>
      <c r="BQ697" s="2" t="e">
        <f>VLOOKUP(H697,#REF!,13,FALSE)</f>
        <v>#REF!</v>
      </c>
    </row>
    <row r="698" spans="1:70" s="3" customFormat="1" ht="15" customHeight="1" outlineLevel="1">
      <c r="A698" s="7"/>
      <c r="B698" s="7"/>
      <c r="C698" s="7"/>
      <c r="D698" s="7"/>
      <c r="E698" s="8"/>
      <c r="F698" s="7"/>
      <c r="G698" s="7"/>
      <c r="H698" s="11"/>
      <c r="I698" s="11"/>
      <c r="J698" s="11"/>
      <c r="K698" s="11"/>
      <c r="L698" s="294"/>
      <c r="M698" s="26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47"/>
      <c r="Z698" s="47"/>
      <c r="AJ698" s="186"/>
      <c r="AK698" s="186"/>
      <c r="AL698" s="186"/>
      <c r="AM698" s="185" t="e">
        <f>VLOOKUP(CLEAN(H698),#REF!,7,FALSE)</f>
        <v>#REF!</v>
      </c>
      <c r="AR698" s="2" t="e">
        <f>VLOOKUP(CLEAN(H698),#REF!,2,FALSE)</f>
        <v>#REF!</v>
      </c>
      <c r="AZ698" s="2" t="e">
        <f>VLOOKUP(H698,#REF!,2,FALSE)</f>
        <v>#REF!</v>
      </c>
      <c r="BF698" s="193"/>
      <c r="BO698" s="2" t="e">
        <f>VLOOKUP(H698,#REF!,13,FALSE)</f>
        <v>#REF!</v>
      </c>
      <c r="BP698" s="7"/>
      <c r="BQ698" s="2" t="e">
        <f>VLOOKUP(H698,#REF!,13,FALSE)</f>
        <v>#REF!</v>
      </c>
    </row>
    <row r="699" spans="1:70" ht="26.25" customHeight="1" outlineLevel="1">
      <c r="A699" s="7"/>
      <c r="B699" s="7"/>
      <c r="C699" s="7"/>
      <c r="D699" s="7"/>
      <c r="E699" s="8"/>
      <c r="F699" s="7"/>
      <c r="G699" s="7"/>
      <c r="H699" s="11"/>
      <c r="I699" s="11"/>
      <c r="J699" s="11"/>
      <c r="K699" s="11"/>
      <c r="L699" s="57" t="s">
        <v>204</v>
      </c>
      <c r="M699" s="26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47"/>
      <c r="Z699" s="47"/>
      <c r="AM699" s="185" t="e">
        <f>VLOOKUP(CLEAN(H699),#REF!,7,FALSE)</f>
        <v>#REF!</v>
      </c>
      <c r="AO699"/>
      <c r="AP699"/>
      <c r="AQ699"/>
      <c r="AR699" s="2" t="e">
        <f>VLOOKUP(CLEAN(H699),#REF!,2,FALSE)</f>
        <v>#REF!</v>
      </c>
      <c r="AZ699" s="2" t="e">
        <f>VLOOKUP(H699,#REF!,2,FALSE)</f>
        <v>#REF!</v>
      </c>
      <c r="BO699" s="2" t="e">
        <f>VLOOKUP(H699,#REF!,13,FALSE)</f>
        <v>#REF!</v>
      </c>
      <c r="BQ699" s="2" t="e">
        <f>VLOOKUP(H699,#REF!,13,FALSE)</f>
        <v>#REF!</v>
      </c>
    </row>
    <row r="700" spans="1:70" ht="15" customHeight="1" outlineLevel="1">
      <c r="A700" s="7"/>
      <c r="B700" s="7"/>
      <c r="C700" s="7"/>
      <c r="D700" s="7"/>
      <c r="E700" s="8"/>
      <c r="F700" s="7"/>
      <c r="G700" s="7"/>
      <c r="H700" s="11"/>
      <c r="I700" s="11"/>
      <c r="J700" s="11"/>
      <c r="K700" s="11"/>
      <c r="L700" s="18" t="s">
        <v>695</v>
      </c>
      <c r="M700" s="26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47"/>
      <c r="Z700" s="47"/>
      <c r="AM700" s="185" t="e">
        <f>VLOOKUP(CLEAN(H700),#REF!,7,FALSE)</f>
        <v>#REF!</v>
      </c>
      <c r="AO700"/>
      <c r="AP700"/>
      <c r="AQ700"/>
      <c r="AR700" s="2" t="e">
        <f>VLOOKUP(CLEAN(H700),#REF!,2,FALSE)</f>
        <v>#REF!</v>
      </c>
      <c r="AZ700" s="2" t="e">
        <f>VLOOKUP(H700,#REF!,2,FALSE)</f>
        <v>#REF!</v>
      </c>
      <c r="BO700" s="2" t="e">
        <f>VLOOKUP(H700,#REF!,13,FALSE)</f>
        <v>#REF!</v>
      </c>
      <c r="BQ700" s="2" t="e">
        <f>VLOOKUP(H700,#REF!,13,FALSE)</f>
        <v>#REF!</v>
      </c>
    </row>
    <row r="701" spans="1:70" s="2" customFormat="1" ht="15" customHeight="1" outlineLevel="2">
      <c r="A701" s="5">
        <v>31</v>
      </c>
      <c r="B701" s="5" t="s">
        <v>5</v>
      </c>
      <c r="C701" s="5" t="s">
        <v>253</v>
      </c>
      <c r="D701" s="5" t="s">
        <v>30</v>
      </c>
      <c r="E701" s="5" t="s">
        <v>40</v>
      </c>
      <c r="F701" s="5" t="s">
        <v>89</v>
      </c>
      <c r="G701" s="5" t="s">
        <v>144</v>
      </c>
      <c r="H701" s="12">
        <v>30133125</v>
      </c>
      <c r="I701" s="42" t="str">
        <f t="shared" ref="I701:I702" si="410">CONCATENATE(H701,"-",G701)</f>
        <v>30133125-EJECUCION</v>
      </c>
      <c r="J701" s="12"/>
      <c r="K701" s="307" t="str">
        <f t="shared" ref="K701:K702" si="411">CLEAN(H701)</f>
        <v>30133125</v>
      </c>
      <c r="L701" s="15" t="s">
        <v>114</v>
      </c>
      <c r="M701" s="23">
        <v>1500000000</v>
      </c>
      <c r="N701" s="34">
        <v>1224005772</v>
      </c>
      <c r="O701" s="34">
        <f>250000000/2</f>
        <v>125000000</v>
      </c>
      <c r="P701" s="310">
        <v>0</v>
      </c>
      <c r="Q701" s="34">
        <v>0</v>
      </c>
      <c r="R701" s="308">
        <v>0</v>
      </c>
      <c r="S701" s="34">
        <f t="shared" ref="S701:S702" si="412">P701+Q701+R701</f>
        <v>0</v>
      </c>
      <c r="T701" s="34">
        <v>0</v>
      </c>
      <c r="U701" s="34">
        <v>0</v>
      </c>
      <c r="V701" s="34">
        <f>P701+Q701+R701+T701+U701</f>
        <v>0</v>
      </c>
      <c r="W701" s="34">
        <f>O701-V701</f>
        <v>125000000</v>
      </c>
      <c r="X701" s="34">
        <f>M701-(N701+O701)</f>
        <v>150994228</v>
      </c>
      <c r="Y701" s="48" t="s">
        <v>239</v>
      </c>
      <c r="Z701" s="48" t="s">
        <v>8</v>
      </c>
      <c r="AA701" s="2" t="s">
        <v>845</v>
      </c>
      <c r="AB701" s="2" t="e">
        <f>VLOOKUP(H701,#REF!,2,FALSE)</f>
        <v>#REF!</v>
      </c>
      <c r="AC701" s="2" t="e">
        <f>VLOOKUP(I701,#REF!,2,FALSE)</f>
        <v>#REF!</v>
      </c>
      <c r="AD701" s="2" t="e">
        <f>VLOOKUP(H701,#REF!,13,FALSE)</f>
        <v>#REF!</v>
      </c>
      <c r="AE701" s="2" t="e">
        <f>VLOOKUP(I701,#REF!,7,FALSE)</f>
        <v>#REF!</v>
      </c>
      <c r="AG701" s="2" t="e">
        <f>VLOOKUP(H701,#REF!,13,FALSE)</f>
        <v>#REF!</v>
      </c>
      <c r="AH701" s="2" t="e">
        <f>VLOOKUP(I701,#REF!,2,FALSE)</f>
        <v>#REF!</v>
      </c>
      <c r="AJ701" s="185" t="e">
        <f>VLOOKUP(H701,#REF!,3,FALSE)</f>
        <v>#REF!</v>
      </c>
      <c r="AK701" s="185"/>
      <c r="AL701" s="185" t="e">
        <f>VLOOKUP(H701,#REF!,13,FALSE)</f>
        <v>#REF!</v>
      </c>
      <c r="AM701" s="185" t="e">
        <f>VLOOKUP(CLEAN(H701),#REF!,7,FALSE)</f>
        <v>#REF!</v>
      </c>
      <c r="AN701" s="2" t="e">
        <f>VLOOKUP(H701,#REF!,8,FALSE)</f>
        <v>#REF!</v>
      </c>
      <c r="AO701" s="189" t="e">
        <f>VLOOKUP(H701,#REF!,2,FALSE)</f>
        <v>#REF!</v>
      </c>
      <c r="AP701" s="189" t="e">
        <f>VLOOKUP(H701,#REF!,2,FALSE)</f>
        <v>#REF!</v>
      </c>
      <c r="AQ701" s="189"/>
      <c r="AR701" s="2" t="e">
        <f>VLOOKUP(CLEAN(H701),#REF!,2,FALSE)</f>
        <v>#REF!</v>
      </c>
      <c r="AT701" s="2" t="e">
        <f>VLOOKUP(H701,#REF!,13,FALSE)</f>
        <v>#REF!</v>
      </c>
      <c r="AU701" s="2" t="e">
        <f>VLOOKUP(H701,#REF!,13,FALSE)</f>
        <v>#REF!</v>
      </c>
      <c r="AV701" s="2" t="e">
        <f>VLOOKUP(H701,#REF!,13,FALSE)</f>
        <v>#REF!</v>
      </c>
      <c r="AW701" s="2" t="e">
        <f>VLOOKUP(H701,#REF!,13,FALSE)</f>
        <v>#REF!</v>
      </c>
      <c r="AX701" s="2" t="e">
        <f>VLOOKUP(H701,#REF!,9,FALSE)</f>
        <v>#REF!</v>
      </c>
      <c r="AZ701" s="2" t="e">
        <f>VLOOKUP(H701,#REF!,2,FALSE)</f>
        <v>#REF!</v>
      </c>
      <c r="BF701" s="189" t="e">
        <f>VLOOKUP(CLEAN(H701),#REF!,2,FALSE)</f>
        <v>#REF!</v>
      </c>
      <c r="BG701" s="189" t="e">
        <f>T701-BF701</f>
        <v>#REF!</v>
      </c>
      <c r="BO701" s="2" t="e">
        <f>VLOOKUP(H701,#REF!,13,FALSE)</f>
        <v>#REF!</v>
      </c>
      <c r="BP701" s="2" t="e">
        <f>VLOOKUP(H701,#REF!,2,FALSE)</f>
        <v>#REF!</v>
      </c>
      <c r="BQ701" s="2" t="e">
        <f>VLOOKUP(H701,#REF!,13,FALSE)</f>
        <v>#REF!</v>
      </c>
      <c r="BR701" s="2" t="e">
        <f>VLOOKUP(H701,#REF!,3,FALSE)</f>
        <v>#REF!</v>
      </c>
    </row>
    <row r="702" spans="1:70" s="2" customFormat="1" ht="15" customHeight="1" outlineLevel="2">
      <c r="A702" s="5">
        <v>31</v>
      </c>
      <c r="B702" s="5" t="s">
        <v>54</v>
      </c>
      <c r="C702" s="5" t="s">
        <v>238</v>
      </c>
      <c r="D702" s="5" t="s">
        <v>30</v>
      </c>
      <c r="E702" s="5" t="s">
        <v>40</v>
      </c>
      <c r="F702" s="5" t="s">
        <v>6</v>
      </c>
      <c r="G702" s="5" t="s">
        <v>144</v>
      </c>
      <c r="H702" s="12">
        <v>30185572</v>
      </c>
      <c r="I702" s="311" t="str">
        <f t="shared" si="410"/>
        <v>30185572-EJECUCION</v>
      </c>
      <c r="J702" s="190"/>
      <c r="K702" s="309" t="str">
        <f t="shared" si="411"/>
        <v>30185572</v>
      </c>
      <c r="L702" s="15" t="s">
        <v>289</v>
      </c>
      <c r="M702" s="23">
        <v>2375649000</v>
      </c>
      <c r="N702" s="34">
        <v>0</v>
      </c>
      <c r="O702" s="34">
        <v>411837966</v>
      </c>
      <c r="P702" s="310">
        <v>0</v>
      </c>
      <c r="Q702" s="34">
        <v>0</v>
      </c>
      <c r="R702" s="308">
        <v>165892765</v>
      </c>
      <c r="S702" s="34">
        <f t="shared" si="412"/>
        <v>165892765</v>
      </c>
      <c r="T702" s="34">
        <v>78595013</v>
      </c>
      <c r="U702" s="34">
        <v>142171104</v>
      </c>
      <c r="V702" s="34">
        <f>P702+Q702+R702+T702+U702</f>
        <v>386658882</v>
      </c>
      <c r="W702" s="34">
        <f>O702-V702</f>
        <v>25179084</v>
      </c>
      <c r="X702" s="34">
        <f>M702-(N702+O702)</f>
        <v>1963811034</v>
      </c>
      <c r="Y702" s="48" t="s">
        <v>239</v>
      </c>
      <c r="Z702" s="48" t="s">
        <v>8</v>
      </c>
      <c r="AA702" s="2" t="s">
        <v>844</v>
      </c>
      <c r="AB702" s="2" t="e">
        <f>VLOOKUP(H702,#REF!,2,FALSE)</f>
        <v>#REF!</v>
      </c>
      <c r="AC702" s="2" t="e">
        <f>VLOOKUP(I702,#REF!,2,FALSE)</f>
        <v>#REF!</v>
      </c>
      <c r="AD702" s="2" t="e">
        <f>VLOOKUP(H702,#REF!,13,FALSE)</f>
        <v>#REF!</v>
      </c>
      <c r="AE702" s="2" t="e">
        <f>VLOOKUP(I702,#REF!,7,FALSE)</f>
        <v>#REF!</v>
      </c>
      <c r="AG702" s="2" t="e">
        <f>VLOOKUP(H702,#REF!,13,FALSE)</f>
        <v>#REF!</v>
      </c>
      <c r="AH702" s="2" t="e">
        <f>VLOOKUP(I702,#REF!,2,FALSE)</f>
        <v>#REF!</v>
      </c>
      <c r="AJ702" s="185" t="e">
        <f>VLOOKUP(H702,#REF!,3,FALSE)</f>
        <v>#REF!</v>
      </c>
      <c r="AK702" s="185"/>
      <c r="AL702" s="185" t="e">
        <f>VLOOKUP(H702,#REF!,13,FALSE)</f>
        <v>#REF!</v>
      </c>
      <c r="AM702" s="185" t="e">
        <f>VLOOKUP(CLEAN(H702),#REF!,7,FALSE)</f>
        <v>#REF!</v>
      </c>
      <c r="AN702" s="2" t="e">
        <f>VLOOKUP(H702,#REF!,8,FALSE)</f>
        <v>#REF!</v>
      </c>
      <c r="AO702" s="189" t="e">
        <f>VLOOKUP(H702,#REF!,2,FALSE)</f>
        <v>#REF!</v>
      </c>
      <c r="AP702" s="189" t="e">
        <f>VLOOKUP(H702,#REF!,2,FALSE)</f>
        <v>#REF!</v>
      </c>
      <c r="AQ702" s="189" t="e">
        <f>AO702-AP702</f>
        <v>#REF!</v>
      </c>
      <c r="AR702" s="189" t="e">
        <f>VLOOKUP(CLEAN(H702),#REF!,2,FALSE)</f>
        <v>#REF!</v>
      </c>
      <c r="AS702" s="189" t="e">
        <f>T702-AR702</f>
        <v>#REF!</v>
      </c>
      <c r="AT702" s="2" t="e">
        <f>VLOOKUP(H702,#REF!,13,FALSE)</f>
        <v>#REF!</v>
      </c>
      <c r="AU702" s="2" t="e">
        <f>VLOOKUP(H702,#REF!,13,FALSE)</f>
        <v>#REF!</v>
      </c>
      <c r="AV702" s="2" t="e">
        <f>VLOOKUP(H702,#REF!,13,FALSE)</f>
        <v>#REF!</v>
      </c>
      <c r="AW702" s="2" t="e">
        <f>VLOOKUP(H702,#REF!,13,FALSE)</f>
        <v>#REF!</v>
      </c>
      <c r="AX702" s="2" t="e">
        <f>VLOOKUP(H702,#REF!,9,FALSE)</f>
        <v>#REF!</v>
      </c>
      <c r="AZ702" s="189" t="e">
        <f>VLOOKUP(H702,#REF!,2,FALSE)</f>
        <v>#REF!</v>
      </c>
      <c r="BF702" s="189" t="e">
        <f>VLOOKUP(CLEAN(H702),#REF!,2,FALSE)</f>
        <v>#REF!</v>
      </c>
      <c r="BG702" s="189" t="e">
        <f>T702-BF702</f>
        <v>#REF!</v>
      </c>
      <c r="BO702" s="2" t="e">
        <f>VLOOKUP(H702,#REF!,13,FALSE)</f>
        <v>#REF!</v>
      </c>
      <c r="BP702" s="2" t="e">
        <f>VLOOKUP(H702,#REF!,2,FALSE)</f>
        <v>#REF!</v>
      </c>
      <c r="BQ702" s="2" t="e">
        <f>VLOOKUP(H702,#REF!,13,FALSE)</f>
        <v>#REF!</v>
      </c>
      <c r="BR702" s="2" t="e">
        <f>VLOOKUP(H702,#REF!,3,FALSE)</f>
        <v>#REF!</v>
      </c>
    </row>
    <row r="703" spans="1:70" ht="15" customHeight="1" outlineLevel="2">
      <c r="A703" s="7"/>
      <c r="B703" s="7"/>
      <c r="C703" s="7"/>
      <c r="D703" s="7"/>
      <c r="E703" s="7"/>
      <c r="F703" s="7"/>
      <c r="G703" s="7"/>
      <c r="H703" s="11"/>
      <c r="I703" s="11"/>
      <c r="J703" s="11"/>
      <c r="K703" s="11"/>
      <c r="L703" s="17" t="s">
        <v>691</v>
      </c>
      <c r="M703" s="27">
        <f>SUBTOTAL(9,M701:M702)</f>
        <v>3875649000</v>
      </c>
      <c r="N703" s="27">
        <f t="shared" ref="N703:O703" si="413">SUBTOTAL(9,N701:N702)</f>
        <v>1224005772</v>
      </c>
      <c r="O703" s="27">
        <f t="shared" si="413"/>
        <v>536837966</v>
      </c>
      <c r="P703" s="24">
        <f t="shared" ref="P703:X703" si="414">SUBTOTAL(9,P701:P702)</f>
        <v>0</v>
      </c>
      <c r="Q703" s="24">
        <f t="shared" si="414"/>
        <v>0</v>
      </c>
      <c r="R703" s="24">
        <f t="shared" si="414"/>
        <v>165892765</v>
      </c>
      <c r="S703" s="27">
        <f t="shared" si="414"/>
        <v>165892765</v>
      </c>
      <c r="T703" s="27">
        <f t="shared" si="414"/>
        <v>78595013</v>
      </c>
      <c r="U703" s="27">
        <f t="shared" si="414"/>
        <v>142171104</v>
      </c>
      <c r="V703" s="27">
        <f t="shared" si="414"/>
        <v>386658882</v>
      </c>
      <c r="W703" s="27">
        <f t="shared" si="414"/>
        <v>150179084</v>
      </c>
      <c r="X703" s="27">
        <f t="shared" si="414"/>
        <v>2114805262</v>
      </c>
      <c r="Y703" s="47"/>
      <c r="Z703" s="47"/>
      <c r="AM703" s="185" t="e">
        <f>VLOOKUP(CLEAN(H703),#REF!,7,FALSE)</f>
        <v>#REF!</v>
      </c>
      <c r="AO703"/>
      <c r="AP703"/>
      <c r="AQ703"/>
      <c r="AR703" s="2" t="e">
        <f>VLOOKUP(CLEAN(H703),#REF!,2,FALSE)</f>
        <v>#REF!</v>
      </c>
      <c r="AZ703" s="2" t="e">
        <f>VLOOKUP(H703,#REF!,2,FALSE)</f>
        <v>#REF!</v>
      </c>
      <c r="BO703" s="2" t="e">
        <f>VLOOKUP(H703,#REF!,13,FALSE)</f>
        <v>#REF!</v>
      </c>
      <c r="BQ703" s="2" t="e">
        <f>VLOOKUP(H703,#REF!,13,FALSE)</f>
        <v>#REF!</v>
      </c>
    </row>
    <row r="704" spans="1:70" ht="15" customHeight="1" outlineLevel="2">
      <c r="A704" s="7"/>
      <c r="B704" s="7"/>
      <c r="C704" s="7"/>
      <c r="D704" s="7"/>
      <c r="E704" s="7"/>
      <c r="F704" s="7"/>
      <c r="G704" s="7"/>
      <c r="H704" s="11"/>
      <c r="I704" s="11"/>
      <c r="J704" s="11"/>
      <c r="K704" s="11"/>
      <c r="L704" s="292"/>
      <c r="M704" s="22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47"/>
      <c r="Z704" s="47"/>
      <c r="AM704" s="185" t="e">
        <f>VLOOKUP(CLEAN(H704),#REF!,7,FALSE)</f>
        <v>#REF!</v>
      </c>
      <c r="AO704"/>
      <c r="AP704"/>
      <c r="AQ704"/>
      <c r="AR704" s="2" t="e">
        <f>VLOOKUP(CLEAN(H704),#REF!,2,FALSE)</f>
        <v>#REF!</v>
      </c>
      <c r="AZ704" s="2" t="e">
        <f>VLOOKUP(H704,#REF!,2,FALSE)</f>
        <v>#REF!</v>
      </c>
      <c r="BO704" s="2" t="e">
        <f>VLOOKUP(H704,#REF!,13,FALSE)</f>
        <v>#REF!</v>
      </c>
      <c r="BP704" s="293"/>
      <c r="BQ704" s="2" t="e">
        <f>VLOOKUP(H704,#REF!,13,FALSE)</f>
        <v>#REF!</v>
      </c>
    </row>
    <row r="705" spans="1:70" ht="15" customHeight="1" outlineLevel="2">
      <c r="A705" s="7"/>
      <c r="B705" s="7"/>
      <c r="C705" s="7"/>
      <c r="D705" s="7"/>
      <c r="E705" s="7"/>
      <c r="F705" s="7"/>
      <c r="G705" s="7"/>
      <c r="H705" s="11"/>
      <c r="I705" s="11"/>
      <c r="J705" s="11"/>
      <c r="K705" s="11"/>
      <c r="L705" s="18" t="s">
        <v>697</v>
      </c>
      <c r="M705" s="22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47"/>
      <c r="Z705" s="47"/>
      <c r="AO705"/>
      <c r="AP705"/>
      <c r="AQ705"/>
      <c r="AR705" s="2" t="e">
        <f>VLOOKUP(CLEAN(H705),#REF!,2,FALSE)</f>
        <v>#REF!</v>
      </c>
      <c r="AZ705" s="2" t="e">
        <f>VLOOKUP(H705,#REF!,2,FALSE)</f>
        <v>#REF!</v>
      </c>
      <c r="BO705" s="2" t="e">
        <f>VLOOKUP(H705,#REF!,13,FALSE)</f>
        <v>#REF!</v>
      </c>
      <c r="BQ705" s="2" t="e">
        <f>VLOOKUP(H705,#REF!,13,FALSE)</f>
        <v>#REF!</v>
      </c>
    </row>
    <row r="706" spans="1:70" s="2" customFormat="1" ht="15" customHeight="1" outlineLevel="2">
      <c r="A706" s="5">
        <v>31</v>
      </c>
      <c r="B706" s="5" t="s">
        <v>5</v>
      </c>
      <c r="C706" s="5" t="s">
        <v>240</v>
      </c>
      <c r="D706" s="5" t="s">
        <v>30</v>
      </c>
      <c r="E706" s="5" t="s">
        <v>40</v>
      </c>
      <c r="F706" s="5" t="s">
        <v>457</v>
      </c>
      <c r="G706" s="5" t="s">
        <v>144</v>
      </c>
      <c r="H706" s="12">
        <v>30083106</v>
      </c>
      <c r="I706" s="42" t="str">
        <f t="shared" ref="I706:I708" si="415">CONCATENATE(H706,"-",G706)</f>
        <v>30083106-EJECUCION</v>
      </c>
      <c r="J706" s="12"/>
      <c r="K706" s="307" t="str">
        <f t="shared" ref="K706:K708" si="416">CLEAN(H706)</f>
        <v>30083106</v>
      </c>
      <c r="L706" s="15" t="s">
        <v>662</v>
      </c>
      <c r="M706" s="23">
        <v>2551974126</v>
      </c>
      <c r="N706" s="34">
        <v>2551974126</v>
      </c>
      <c r="O706" s="34">
        <v>0</v>
      </c>
      <c r="P706" s="310">
        <v>0</v>
      </c>
      <c r="Q706" s="34">
        <v>0</v>
      </c>
      <c r="R706" s="308">
        <v>0</v>
      </c>
      <c r="S706" s="34">
        <f t="shared" ref="S706:S708" si="417">P706+Q706+R706</f>
        <v>0</v>
      </c>
      <c r="T706" s="34">
        <v>0</v>
      </c>
      <c r="U706" s="34">
        <v>0</v>
      </c>
      <c r="V706" s="34">
        <f>P706+Q706+R706+T706+U706</f>
        <v>0</v>
      </c>
      <c r="W706" s="34">
        <f>O706-V706</f>
        <v>0</v>
      </c>
      <c r="X706" s="34">
        <f>M706-(N706+O706)</f>
        <v>0</v>
      </c>
      <c r="Y706" s="48" t="s">
        <v>460</v>
      </c>
      <c r="Z706" s="48" t="s">
        <v>8</v>
      </c>
      <c r="AA706" s="2" t="s">
        <v>844</v>
      </c>
      <c r="AB706" s="2" t="e">
        <f>VLOOKUP(H706,#REF!,2,FALSE)</f>
        <v>#REF!</v>
      </c>
      <c r="AC706" s="2" t="e">
        <f>VLOOKUP(I706,#REF!,2,FALSE)</f>
        <v>#REF!</v>
      </c>
      <c r="AD706" s="2" t="e">
        <f>VLOOKUP(H706,#REF!,13,FALSE)</f>
        <v>#REF!</v>
      </c>
      <c r="AE706" s="177" t="e">
        <f>VLOOKUP(I706,#REF!,7,FALSE)</f>
        <v>#REF!</v>
      </c>
      <c r="AG706" s="2" t="e">
        <f>VLOOKUP(H706,#REF!,13,FALSE)</f>
        <v>#REF!</v>
      </c>
      <c r="AH706" s="2" t="e">
        <f>VLOOKUP(I706,#REF!,2,FALSE)</f>
        <v>#REF!</v>
      </c>
      <c r="AJ706" s="185" t="e">
        <f>VLOOKUP(H706,#REF!,3,FALSE)</f>
        <v>#REF!</v>
      </c>
      <c r="AK706" s="185"/>
      <c r="AL706" s="185" t="e">
        <f>VLOOKUP(H706,#REF!,13,FALSE)</f>
        <v>#REF!</v>
      </c>
      <c r="AM706" s="185" t="e">
        <f>VLOOKUP(CLEAN(H706),#REF!,7,FALSE)</f>
        <v>#REF!</v>
      </c>
      <c r="AN706" s="2" t="e">
        <f>VLOOKUP(H706,#REF!,8,FALSE)</f>
        <v>#REF!</v>
      </c>
      <c r="AO706" s="189" t="e">
        <f>VLOOKUP(H706,#REF!,2,FALSE)</f>
        <v>#REF!</v>
      </c>
      <c r="AP706" s="189" t="e">
        <f>VLOOKUP(H706,#REF!,2,FALSE)</f>
        <v>#REF!</v>
      </c>
      <c r="AQ706" s="189"/>
      <c r="AR706" s="2" t="e">
        <f>VLOOKUP(CLEAN(H706),#REF!,2,FALSE)</f>
        <v>#REF!</v>
      </c>
      <c r="AT706" s="2" t="e">
        <f>VLOOKUP(H706,#REF!,13,FALSE)</f>
        <v>#REF!</v>
      </c>
      <c r="AU706" s="2" t="e">
        <f>VLOOKUP(H706,#REF!,13,FALSE)</f>
        <v>#REF!</v>
      </c>
      <c r="AV706" s="2" t="e">
        <f>VLOOKUP(H706,#REF!,13,FALSE)</f>
        <v>#REF!</v>
      </c>
      <c r="AW706" s="2" t="e">
        <f>VLOOKUP(H706,#REF!,13,FALSE)</f>
        <v>#REF!</v>
      </c>
      <c r="AX706" s="2" t="e">
        <f>VLOOKUP(H706,#REF!,9,FALSE)</f>
        <v>#REF!</v>
      </c>
      <c r="AZ706" s="2" t="e">
        <f>VLOOKUP(H706,#REF!,2,FALSE)</f>
        <v>#REF!</v>
      </c>
      <c r="BF706" s="189" t="e">
        <f>VLOOKUP(CLEAN(H706),#REF!,2,FALSE)</f>
        <v>#REF!</v>
      </c>
      <c r="BG706" s="189" t="e">
        <f>T706-BF706</f>
        <v>#REF!</v>
      </c>
      <c r="BO706" s="2" t="e">
        <f>VLOOKUP(H706,#REF!,13,FALSE)</f>
        <v>#REF!</v>
      </c>
      <c r="BP706" s="2" t="e">
        <f>VLOOKUP(H706,#REF!,2,FALSE)</f>
        <v>#REF!</v>
      </c>
      <c r="BQ706" s="2" t="e">
        <f>VLOOKUP(H706,#REF!,13,FALSE)</f>
        <v>#REF!</v>
      </c>
      <c r="BR706" s="2" t="e">
        <f>VLOOKUP(H706,#REF!,3,FALSE)</f>
        <v>#REF!</v>
      </c>
    </row>
    <row r="707" spans="1:70" s="2" customFormat="1" ht="15" customHeight="1" outlineLevel="2">
      <c r="A707" s="5">
        <v>24</v>
      </c>
      <c r="B707" s="5" t="s">
        <v>5</v>
      </c>
      <c r="C707" s="5" t="s">
        <v>576</v>
      </c>
      <c r="D707" s="5" t="s">
        <v>30</v>
      </c>
      <c r="E707" s="5" t="s">
        <v>40</v>
      </c>
      <c r="F707" s="5" t="s">
        <v>75</v>
      </c>
      <c r="G707" s="5" t="s">
        <v>144</v>
      </c>
      <c r="H707" s="12">
        <v>30137258</v>
      </c>
      <c r="I707" s="42" t="str">
        <f t="shared" si="415"/>
        <v>30137258-EJECUCION</v>
      </c>
      <c r="J707" s="190"/>
      <c r="K707" s="309" t="str">
        <f t="shared" si="416"/>
        <v>30137258</v>
      </c>
      <c r="L707" s="15" t="s">
        <v>834</v>
      </c>
      <c r="M707" s="23">
        <v>754572327</v>
      </c>
      <c r="N707" s="34">
        <v>288493398</v>
      </c>
      <c r="O707" s="34">
        <v>466078929</v>
      </c>
      <c r="P707" s="310">
        <v>0</v>
      </c>
      <c r="Q707" s="34">
        <v>0</v>
      </c>
      <c r="R707" s="308">
        <v>0</v>
      </c>
      <c r="S707" s="34">
        <f t="shared" si="417"/>
        <v>0</v>
      </c>
      <c r="T707" s="34">
        <v>306078929</v>
      </c>
      <c r="U707" s="34">
        <v>0</v>
      </c>
      <c r="V707" s="34">
        <f>P707+Q707+R707+T707+U707</f>
        <v>306078929</v>
      </c>
      <c r="W707" s="34">
        <f>O707-V707</f>
        <v>160000000</v>
      </c>
      <c r="X707" s="34">
        <f>M707-(N707+O707)</f>
        <v>0</v>
      </c>
      <c r="Y707" s="48" t="s">
        <v>460</v>
      </c>
      <c r="Z707" s="48" t="s">
        <v>256</v>
      </c>
      <c r="AA707" s="2" t="s">
        <v>840</v>
      </c>
      <c r="AB707" s="2" t="e">
        <f>VLOOKUP(H707,#REF!,2,FALSE)</f>
        <v>#REF!</v>
      </c>
      <c r="AC707" s="2" t="e">
        <f>VLOOKUP(I707,#REF!,2,FALSE)</f>
        <v>#REF!</v>
      </c>
      <c r="AD707" s="2" t="e">
        <f>VLOOKUP(H707,#REF!,13,FALSE)</f>
        <v>#REF!</v>
      </c>
      <c r="AE707" s="177" t="e">
        <f>VLOOKUP(I707,#REF!,7,FALSE)</f>
        <v>#REF!</v>
      </c>
      <c r="AG707" s="2" t="e">
        <f>VLOOKUP(H707,#REF!,13,FALSE)</f>
        <v>#REF!</v>
      </c>
      <c r="AH707" s="2" t="e">
        <f>VLOOKUP(I707,#REF!,2,FALSE)</f>
        <v>#REF!</v>
      </c>
      <c r="AJ707" s="185" t="e">
        <f>VLOOKUP(H707,#REF!,3,FALSE)</f>
        <v>#REF!</v>
      </c>
      <c r="AK707" s="185"/>
      <c r="AL707" s="185"/>
      <c r="AM707" s="185" t="e">
        <f>VLOOKUP(CLEAN(H707),#REF!,7,FALSE)</f>
        <v>#REF!</v>
      </c>
      <c r="AN707" s="2" t="e">
        <f>VLOOKUP(H707,#REF!,8,FALSE)</f>
        <v>#REF!</v>
      </c>
      <c r="AO707" s="189" t="e">
        <f>VLOOKUP(H707,#REF!,2,FALSE)</f>
        <v>#REF!</v>
      </c>
      <c r="AP707" s="189" t="e">
        <f>VLOOKUP(H707,#REF!,2,FALSE)</f>
        <v>#REF!</v>
      </c>
      <c r="AQ707" s="189" t="e">
        <f>AO707-AP707</f>
        <v>#REF!</v>
      </c>
      <c r="AR707" s="2" t="e">
        <f>VLOOKUP(CLEAN(H707),#REF!,2,FALSE)</f>
        <v>#REF!</v>
      </c>
      <c r="AT707" s="2" t="e">
        <f>VLOOKUP(H707,#REF!,13,FALSE)</f>
        <v>#REF!</v>
      </c>
      <c r="AU707" s="2" t="e">
        <f>VLOOKUP(H707,#REF!,13,FALSE)</f>
        <v>#REF!</v>
      </c>
      <c r="AV707" s="2" t="e">
        <f>VLOOKUP(H707,#REF!,13,FALSE)</f>
        <v>#REF!</v>
      </c>
      <c r="AW707" s="2" t="e">
        <f>VLOOKUP(H707,#REF!,13,FALSE)</f>
        <v>#REF!</v>
      </c>
      <c r="AX707" s="2" t="e">
        <f>VLOOKUP(H707,#REF!,9,FALSE)</f>
        <v>#REF!</v>
      </c>
      <c r="AZ707" s="189" t="e">
        <f>VLOOKUP(H707,#REF!,2,FALSE)</f>
        <v>#REF!</v>
      </c>
      <c r="BF707" s="189" t="e">
        <f>VLOOKUP(CLEAN(H707),#REF!,2,FALSE)</f>
        <v>#REF!</v>
      </c>
      <c r="BG707" s="189" t="e">
        <f>T707-BF707</f>
        <v>#REF!</v>
      </c>
      <c r="BO707" s="2" t="e">
        <f>VLOOKUP(H707,#REF!,13,FALSE)</f>
        <v>#REF!</v>
      </c>
      <c r="BP707" s="2" t="e">
        <f>VLOOKUP(H707,#REF!,2,FALSE)</f>
        <v>#REF!</v>
      </c>
      <c r="BQ707" s="2" t="e">
        <f>VLOOKUP(H707,#REF!,13,FALSE)</f>
        <v>#REF!</v>
      </c>
      <c r="BR707" s="2" t="e">
        <f>VLOOKUP(H707,#REF!,3,FALSE)</f>
        <v>#REF!</v>
      </c>
    </row>
    <row r="708" spans="1:70" s="2" customFormat="1" ht="15" customHeight="1" outlineLevel="2">
      <c r="A708" s="5">
        <v>31</v>
      </c>
      <c r="B708" s="5" t="s">
        <v>54</v>
      </c>
      <c r="C708" s="5" t="s">
        <v>252</v>
      </c>
      <c r="D708" s="5" t="s">
        <v>30</v>
      </c>
      <c r="E708" s="5" t="s">
        <v>40</v>
      </c>
      <c r="F708" s="5" t="s">
        <v>75</v>
      </c>
      <c r="G708" s="5" t="s">
        <v>144</v>
      </c>
      <c r="H708" s="12">
        <v>30288528</v>
      </c>
      <c r="I708" s="42" t="str">
        <f t="shared" si="415"/>
        <v>30288528-EJECUCION</v>
      </c>
      <c r="J708" s="12"/>
      <c r="K708" s="307" t="str">
        <f t="shared" si="416"/>
        <v>30288528</v>
      </c>
      <c r="L708" s="15" t="s">
        <v>804</v>
      </c>
      <c r="M708" s="23">
        <v>104688000</v>
      </c>
      <c r="N708" s="34">
        <v>104688000</v>
      </c>
      <c r="O708" s="34">
        <v>0</v>
      </c>
      <c r="P708" s="310">
        <v>0</v>
      </c>
      <c r="Q708" s="34">
        <v>0</v>
      </c>
      <c r="R708" s="308">
        <v>0</v>
      </c>
      <c r="S708" s="34">
        <f t="shared" si="417"/>
        <v>0</v>
      </c>
      <c r="T708" s="34">
        <v>0</v>
      </c>
      <c r="U708" s="34">
        <v>0</v>
      </c>
      <c r="V708" s="34">
        <f>P708+Q708+R708+T708+U708</f>
        <v>0</v>
      </c>
      <c r="W708" s="34">
        <f>O708-V708</f>
        <v>0</v>
      </c>
      <c r="X708" s="34">
        <f>M708-(N708+O708)</f>
        <v>0</v>
      </c>
      <c r="Y708" s="48" t="s">
        <v>460</v>
      </c>
      <c r="Z708" s="48" t="s">
        <v>8</v>
      </c>
      <c r="AA708" s="2" t="e">
        <v>#N/A</v>
      </c>
      <c r="AB708" s="2" t="e">
        <f>VLOOKUP(H708,#REF!,2,FALSE)</f>
        <v>#REF!</v>
      </c>
      <c r="AC708" s="2" t="e">
        <f>VLOOKUP(I708,#REF!,2,FALSE)</f>
        <v>#REF!</v>
      </c>
      <c r="AD708" s="2" t="e">
        <f>VLOOKUP(H708,#REF!,13,FALSE)</f>
        <v>#REF!</v>
      </c>
      <c r="AE708" s="177" t="e">
        <f>VLOOKUP(I708,#REF!,7,FALSE)</f>
        <v>#REF!</v>
      </c>
      <c r="AG708" s="2" t="e">
        <f>VLOOKUP(H708,#REF!,13,FALSE)</f>
        <v>#REF!</v>
      </c>
      <c r="AH708" s="2" t="e">
        <f>VLOOKUP(I708,#REF!,2,FALSE)</f>
        <v>#REF!</v>
      </c>
      <c r="AJ708" s="185" t="e">
        <f>VLOOKUP(H708,#REF!,3,FALSE)</f>
        <v>#REF!</v>
      </c>
      <c r="AK708" s="185"/>
      <c r="AL708" s="185" t="e">
        <f>VLOOKUP(H708,#REF!,13,FALSE)</f>
        <v>#REF!</v>
      </c>
      <c r="AM708" s="185" t="e">
        <f>VLOOKUP(CLEAN(H708),#REF!,7,FALSE)</f>
        <v>#REF!</v>
      </c>
      <c r="AN708" s="2" t="e">
        <f>VLOOKUP(H708,#REF!,8,FALSE)</f>
        <v>#REF!</v>
      </c>
      <c r="AO708" s="189" t="e">
        <f>VLOOKUP(H708,#REF!,2,FALSE)</f>
        <v>#REF!</v>
      </c>
      <c r="AP708" s="189" t="e">
        <f>VLOOKUP(H708,#REF!,2,FALSE)</f>
        <v>#REF!</v>
      </c>
      <c r="AQ708" s="189"/>
      <c r="AR708" s="2" t="e">
        <f>VLOOKUP(CLEAN(H708),#REF!,2,FALSE)</f>
        <v>#REF!</v>
      </c>
      <c r="AT708" s="2" t="e">
        <f>VLOOKUP(H708,#REF!,13,FALSE)</f>
        <v>#REF!</v>
      </c>
      <c r="AU708" s="2" t="e">
        <f>VLOOKUP(H708,#REF!,13,FALSE)</f>
        <v>#REF!</v>
      </c>
      <c r="AV708" s="2" t="e">
        <f>VLOOKUP(H708,#REF!,13,FALSE)</f>
        <v>#REF!</v>
      </c>
      <c r="AW708" s="2" t="e">
        <f>VLOOKUP(H708,#REF!,13,FALSE)</f>
        <v>#REF!</v>
      </c>
      <c r="AX708" s="2" t="e">
        <f>VLOOKUP(H708,#REF!,9,FALSE)</f>
        <v>#REF!</v>
      </c>
      <c r="AZ708" s="2" t="e">
        <f>VLOOKUP(H708,#REF!,2,FALSE)</f>
        <v>#REF!</v>
      </c>
      <c r="BF708" s="189" t="e">
        <f>VLOOKUP(CLEAN(H708),#REF!,2,FALSE)</f>
        <v>#REF!</v>
      </c>
      <c r="BG708" s="189" t="e">
        <f>T708-BF708</f>
        <v>#REF!</v>
      </c>
      <c r="BO708" s="2" t="e">
        <f>VLOOKUP(H708,#REF!,13,FALSE)</f>
        <v>#REF!</v>
      </c>
      <c r="BP708" s="2" t="e">
        <f>VLOOKUP(H708,#REF!,2,FALSE)</f>
        <v>#REF!</v>
      </c>
      <c r="BQ708" s="2" t="e">
        <f>VLOOKUP(H708,#REF!,13,FALSE)</f>
        <v>#REF!</v>
      </c>
      <c r="BR708" s="2" t="e">
        <f>VLOOKUP(H708,#REF!,3,FALSE)</f>
        <v>#REF!</v>
      </c>
    </row>
    <row r="709" spans="1:70" ht="15" customHeight="1" outlineLevel="2">
      <c r="A709" s="7"/>
      <c r="B709" s="7"/>
      <c r="C709" s="7"/>
      <c r="D709" s="7"/>
      <c r="E709" s="7"/>
      <c r="F709" s="7"/>
      <c r="G709" s="7"/>
      <c r="H709" s="11"/>
      <c r="I709" s="11"/>
      <c r="J709" s="11"/>
      <c r="K709" s="11"/>
      <c r="L709" s="17" t="s">
        <v>694</v>
      </c>
      <c r="M709" s="27">
        <f>SUBTOTAL(9,M706:M708)</f>
        <v>3411234453</v>
      </c>
      <c r="N709" s="27">
        <f t="shared" ref="N709:O709" si="418">SUBTOTAL(9,N706:N708)</f>
        <v>2945155524</v>
      </c>
      <c r="O709" s="27">
        <f t="shared" si="418"/>
        <v>466078929</v>
      </c>
      <c r="P709" s="24">
        <f t="shared" ref="P709:X709" si="419">SUBTOTAL(9,P706:P708)</f>
        <v>0</v>
      </c>
      <c r="Q709" s="24">
        <f t="shared" si="419"/>
        <v>0</v>
      </c>
      <c r="R709" s="24">
        <f t="shared" si="419"/>
        <v>0</v>
      </c>
      <c r="S709" s="27">
        <f t="shared" si="419"/>
        <v>0</v>
      </c>
      <c r="T709" s="27">
        <f t="shared" si="419"/>
        <v>306078929</v>
      </c>
      <c r="U709" s="27">
        <f t="shared" si="419"/>
        <v>0</v>
      </c>
      <c r="V709" s="27">
        <f t="shared" si="419"/>
        <v>306078929</v>
      </c>
      <c r="W709" s="27">
        <f t="shared" si="419"/>
        <v>160000000</v>
      </c>
      <c r="X709" s="27">
        <f t="shared" si="419"/>
        <v>0</v>
      </c>
      <c r="Y709" s="47"/>
      <c r="Z709" s="47"/>
      <c r="AO709"/>
      <c r="AP709"/>
      <c r="AQ709"/>
      <c r="AR709" s="2" t="e">
        <f>VLOOKUP(CLEAN(H709),#REF!,2,FALSE)</f>
        <v>#REF!</v>
      </c>
      <c r="AZ709" s="2" t="e">
        <f>VLOOKUP(H709,#REF!,2,FALSE)</f>
        <v>#REF!</v>
      </c>
      <c r="BO709" s="2" t="e">
        <f>VLOOKUP(H709,#REF!,13,FALSE)</f>
        <v>#REF!</v>
      </c>
      <c r="BQ709" s="2" t="e">
        <f>VLOOKUP(H709,#REF!,13,FALSE)</f>
        <v>#REF!</v>
      </c>
    </row>
    <row r="710" spans="1:70" ht="15" customHeight="1" outlineLevel="2">
      <c r="A710" s="7"/>
      <c r="B710" s="7"/>
      <c r="C710" s="7"/>
      <c r="D710" s="7"/>
      <c r="E710" s="7"/>
      <c r="F710" s="7"/>
      <c r="G710" s="7"/>
      <c r="H710" s="11"/>
      <c r="I710" s="11"/>
      <c r="J710" s="11"/>
      <c r="K710" s="11"/>
      <c r="L710" s="292"/>
      <c r="M710" s="22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47"/>
      <c r="Z710" s="47"/>
      <c r="AO710"/>
      <c r="AP710"/>
      <c r="AQ710"/>
      <c r="AR710" s="2" t="e">
        <f>VLOOKUP(CLEAN(H710),#REF!,2,FALSE)</f>
        <v>#REF!</v>
      </c>
      <c r="AZ710" s="2" t="e">
        <f>VLOOKUP(H710,#REF!,2,FALSE)</f>
        <v>#REF!</v>
      </c>
      <c r="BO710" s="2" t="e">
        <f>VLOOKUP(H710,#REF!,13,FALSE)</f>
        <v>#REF!</v>
      </c>
      <c r="BP710" s="293"/>
      <c r="BQ710" s="2" t="e">
        <f>VLOOKUP(H710,#REF!,13,FALSE)</f>
        <v>#REF!</v>
      </c>
    </row>
    <row r="711" spans="1:70" ht="15" customHeight="1" outlineLevel="2">
      <c r="A711" s="7"/>
      <c r="B711" s="7"/>
      <c r="C711" s="7"/>
      <c r="D711" s="7"/>
      <c r="E711" s="7"/>
      <c r="F711" s="7"/>
      <c r="G711" s="7"/>
      <c r="H711" s="11"/>
      <c r="I711" s="11"/>
      <c r="J711" s="11"/>
      <c r="K711" s="11"/>
      <c r="L711" s="18" t="s">
        <v>698</v>
      </c>
      <c r="M711" s="22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47"/>
      <c r="Z711" s="47"/>
      <c r="AO711"/>
      <c r="AP711"/>
      <c r="AQ711"/>
      <c r="AR711" s="2" t="e">
        <f>VLOOKUP(CLEAN(H711),#REF!,2,FALSE)</f>
        <v>#REF!</v>
      </c>
      <c r="AZ711" s="2" t="e">
        <f>VLOOKUP(H711,#REF!,2,FALSE)</f>
        <v>#REF!</v>
      </c>
      <c r="BO711" s="2" t="e">
        <f>VLOOKUP(H711,#REF!,13,FALSE)</f>
        <v>#REF!</v>
      </c>
      <c r="BQ711" s="2" t="e">
        <f>VLOOKUP(H711,#REF!,13,FALSE)</f>
        <v>#REF!</v>
      </c>
    </row>
    <row r="712" spans="1:70" s="2" customFormat="1" ht="15" customHeight="1" outlineLevel="2">
      <c r="A712" s="5">
        <v>31</v>
      </c>
      <c r="B712" s="5" t="s">
        <v>54</v>
      </c>
      <c r="C712" s="5" t="s">
        <v>241</v>
      </c>
      <c r="D712" s="5" t="s">
        <v>30</v>
      </c>
      <c r="E712" s="5" t="s">
        <v>40</v>
      </c>
      <c r="F712" s="5" t="s">
        <v>89</v>
      </c>
      <c r="G712" s="5" t="s">
        <v>144</v>
      </c>
      <c r="H712" s="12">
        <v>30430173</v>
      </c>
      <c r="I712" s="42" t="str">
        <f t="shared" ref="I712:I713" si="420">CONCATENATE(H712,"-",G712)</f>
        <v>30430173-EJECUCION</v>
      </c>
      <c r="J712" s="12"/>
      <c r="K712" s="307" t="str">
        <f t="shared" ref="K712:K713" si="421">CLEAN(H712)</f>
        <v>30430173</v>
      </c>
      <c r="L712" s="15" t="s">
        <v>288</v>
      </c>
      <c r="M712" s="23">
        <v>547411000</v>
      </c>
      <c r="N712" s="34">
        <v>0</v>
      </c>
      <c r="O712" s="34">
        <v>54741100</v>
      </c>
      <c r="P712" s="310">
        <v>0</v>
      </c>
      <c r="Q712" s="34">
        <v>0</v>
      </c>
      <c r="R712" s="308">
        <v>0</v>
      </c>
      <c r="S712" s="34">
        <f t="shared" ref="S712:S713" si="422">P712+Q712+R712</f>
        <v>0</v>
      </c>
      <c r="T712" s="34">
        <v>0</v>
      </c>
      <c r="U712" s="34">
        <v>0</v>
      </c>
      <c r="V712" s="34">
        <f>P712+Q712+R712+T712+U712</f>
        <v>0</v>
      </c>
      <c r="W712" s="34">
        <f>O712-V712</f>
        <v>54741100</v>
      </c>
      <c r="X712" s="34">
        <f>M712-(N712+O712)</f>
        <v>492669900</v>
      </c>
      <c r="Y712" s="48" t="s">
        <v>85</v>
      </c>
      <c r="Z712" s="48" t="s">
        <v>10</v>
      </c>
      <c r="AA712" s="2" t="s">
        <v>845</v>
      </c>
      <c r="AB712" s="2" t="e">
        <f>VLOOKUP(H712,#REF!,2,FALSE)</f>
        <v>#REF!</v>
      </c>
      <c r="AC712" s="2" t="e">
        <f>VLOOKUP(I712,#REF!,2,FALSE)</f>
        <v>#REF!</v>
      </c>
      <c r="AD712" s="2" t="e">
        <f>VLOOKUP(H712,#REF!,13,FALSE)</f>
        <v>#REF!</v>
      </c>
      <c r="AE712" s="2" t="e">
        <f>VLOOKUP(I712,#REF!,7,FALSE)</f>
        <v>#REF!</v>
      </c>
      <c r="AG712" s="2" t="e">
        <f>VLOOKUP(H712,#REF!,13,FALSE)</f>
        <v>#REF!</v>
      </c>
      <c r="AH712" s="2" t="e">
        <f>VLOOKUP(I712,#REF!,2,FALSE)</f>
        <v>#REF!</v>
      </c>
      <c r="AJ712" s="185" t="e">
        <f>VLOOKUP(H712,#REF!,3,FALSE)</f>
        <v>#REF!</v>
      </c>
      <c r="AK712" s="185"/>
      <c r="AL712" s="185" t="e">
        <f>VLOOKUP(H712,#REF!,13,FALSE)</f>
        <v>#REF!</v>
      </c>
      <c r="AM712" s="185" t="e">
        <f>VLOOKUP(CLEAN(H712),#REF!,7,FALSE)</f>
        <v>#REF!</v>
      </c>
      <c r="AN712" s="2" t="e">
        <f>VLOOKUP(H712,#REF!,8,FALSE)</f>
        <v>#REF!</v>
      </c>
      <c r="AO712" s="189" t="e">
        <f>VLOOKUP(H712,#REF!,2,FALSE)</f>
        <v>#REF!</v>
      </c>
      <c r="AP712" s="189" t="e">
        <f>VLOOKUP(H712,#REF!,2,FALSE)</f>
        <v>#REF!</v>
      </c>
      <c r="AQ712" s="189"/>
      <c r="AR712" s="2" t="e">
        <f>VLOOKUP(CLEAN(H712),#REF!,2,FALSE)</f>
        <v>#REF!</v>
      </c>
      <c r="AT712" s="2" t="e">
        <f>VLOOKUP(H712,#REF!,13,FALSE)</f>
        <v>#REF!</v>
      </c>
      <c r="AU712" s="2" t="e">
        <f>VLOOKUP(H712,#REF!,13,FALSE)</f>
        <v>#REF!</v>
      </c>
      <c r="AV712" s="2" t="e">
        <f>VLOOKUP(H712,#REF!,13,FALSE)</f>
        <v>#REF!</v>
      </c>
      <c r="AW712" s="2" t="e">
        <f>VLOOKUP(H712,#REF!,13,FALSE)</f>
        <v>#REF!</v>
      </c>
      <c r="AX712" s="2" t="e">
        <f>VLOOKUP(H712,#REF!,9,FALSE)</f>
        <v>#REF!</v>
      </c>
      <c r="AZ712" s="189" t="e">
        <f>VLOOKUP(H712,#REF!,2,FALSE)</f>
        <v>#REF!</v>
      </c>
      <c r="BF712" s="189" t="e">
        <f>VLOOKUP(CLEAN(H712),#REF!,2,FALSE)</f>
        <v>#REF!</v>
      </c>
      <c r="BG712" s="189" t="e">
        <f>T712-BF712</f>
        <v>#REF!</v>
      </c>
      <c r="BO712" s="2" t="e">
        <f>VLOOKUP(H712,#REF!,13,FALSE)</f>
        <v>#REF!</v>
      </c>
      <c r="BP712" s="2" t="e">
        <f>VLOOKUP(H712,#REF!,2,FALSE)</f>
        <v>#REF!</v>
      </c>
      <c r="BQ712" s="2" t="e">
        <f>VLOOKUP(H712,#REF!,13,FALSE)</f>
        <v>#REF!</v>
      </c>
      <c r="BR712" s="2" t="e">
        <f>VLOOKUP(H712,#REF!,3,FALSE)</f>
        <v>#REF!</v>
      </c>
    </row>
    <row r="713" spans="1:70" s="2" customFormat="1" ht="15" customHeight="1" outlineLevel="2">
      <c r="A713" s="5">
        <v>31</v>
      </c>
      <c r="B713" s="5" t="s">
        <v>54</v>
      </c>
      <c r="C713" s="5" t="s">
        <v>241</v>
      </c>
      <c r="D713" s="5" t="s">
        <v>30</v>
      </c>
      <c r="E713" s="5" t="s">
        <v>40</v>
      </c>
      <c r="F713" s="5" t="s">
        <v>89</v>
      </c>
      <c r="G713" s="5" t="s">
        <v>144</v>
      </c>
      <c r="H713" s="12">
        <v>30396026</v>
      </c>
      <c r="I713" s="42" t="str">
        <f t="shared" si="420"/>
        <v>30396026-EJECUCION</v>
      </c>
      <c r="J713" s="12"/>
      <c r="K713" s="307" t="str">
        <f t="shared" si="421"/>
        <v>30396026</v>
      </c>
      <c r="L713" s="15" t="s">
        <v>287</v>
      </c>
      <c r="M713" s="23">
        <v>532121000</v>
      </c>
      <c r="N713" s="34">
        <v>0</v>
      </c>
      <c r="O713" s="34">
        <v>40000000</v>
      </c>
      <c r="P713" s="310">
        <v>0</v>
      </c>
      <c r="Q713" s="34">
        <v>0</v>
      </c>
      <c r="R713" s="308">
        <v>0</v>
      </c>
      <c r="S713" s="34">
        <f t="shared" si="422"/>
        <v>0</v>
      </c>
      <c r="T713" s="34">
        <v>0</v>
      </c>
      <c r="U713" s="34">
        <v>0</v>
      </c>
      <c r="V713" s="34">
        <f>P713+Q713+R713+T713+U713</f>
        <v>0</v>
      </c>
      <c r="W713" s="34">
        <f>O713-V713</f>
        <v>40000000</v>
      </c>
      <c r="X713" s="34">
        <f>M713-(N713+O713)</f>
        <v>492121000</v>
      </c>
      <c r="Y713" s="48" t="s">
        <v>85</v>
      </c>
      <c r="Z713" s="48" t="s">
        <v>10</v>
      </c>
      <c r="AA713" s="2" t="e">
        <v>#N/A</v>
      </c>
      <c r="AB713" s="2" t="e">
        <f>VLOOKUP(H713,#REF!,2,FALSE)</f>
        <v>#REF!</v>
      </c>
      <c r="AC713" s="2" t="e">
        <f>VLOOKUP(I713,#REF!,2,FALSE)</f>
        <v>#REF!</v>
      </c>
      <c r="AD713" s="2" t="e">
        <f>VLOOKUP(H713,#REF!,13,FALSE)</f>
        <v>#REF!</v>
      </c>
      <c r="AE713" s="2" t="e">
        <f>VLOOKUP(I713,#REF!,7,FALSE)</f>
        <v>#REF!</v>
      </c>
      <c r="AG713" s="2" t="e">
        <f>VLOOKUP(H713,#REF!,13,FALSE)</f>
        <v>#REF!</v>
      </c>
      <c r="AH713" s="2" t="e">
        <f>VLOOKUP(I713,#REF!,2,FALSE)</f>
        <v>#REF!</v>
      </c>
      <c r="AJ713" s="185" t="e">
        <f>VLOOKUP(H713,#REF!,3,FALSE)</f>
        <v>#REF!</v>
      </c>
      <c r="AK713" s="185" t="s">
        <v>686</v>
      </c>
      <c r="AL713" s="185" t="e">
        <f>VLOOKUP(H713,#REF!,13,FALSE)</f>
        <v>#REF!</v>
      </c>
      <c r="AM713" s="185" t="e">
        <f>VLOOKUP(CLEAN(H713),#REF!,7,FALSE)</f>
        <v>#REF!</v>
      </c>
      <c r="AN713" s="2" t="e">
        <f>VLOOKUP(H713,#REF!,8,FALSE)</f>
        <v>#REF!</v>
      </c>
      <c r="AO713" s="189" t="e">
        <f>VLOOKUP(H713,#REF!,2,FALSE)</f>
        <v>#REF!</v>
      </c>
      <c r="AP713" s="189" t="e">
        <f>VLOOKUP(H713,#REF!,2,FALSE)</f>
        <v>#REF!</v>
      </c>
      <c r="AQ713" s="189"/>
      <c r="AR713" s="2" t="e">
        <f>VLOOKUP(CLEAN(H713),#REF!,2,FALSE)</f>
        <v>#REF!</v>
      </c>
      <c r="AT713" s="2" t="e">
        <f>VLOOKUP(H713,#REF!,13,FALSE)</f>
        <v>#REF!</v>
      </c>
      <c r="AU713" s="2" t="e">
        <f>VLOOKUP(H713,#REF!,13,FALSE)</f>
        <v>#REF!</v>
      </c>
      <c r="AV713" s="2" t="e">
        <f>VLOOKUP(H713,#REF!,13,FALSE)</f>
        <v>#REF!</v>
      </c>
      <c r="AW713" s="2" t="e">
        <f>VLOOKUP(H713,#REF!,13,FALSE)</f>
        <v>#REF!</v>
      </c>
      <c r="AX713" s="2" t="e">
        <f>VLOOKUP(H713,#REF!,9,FALSE)</f>
        <v>#REF!</v>
      </c>
      <c r="AZ713" s="2" t="e">
        <f>VLOOKUP(H713,#REF!,2,FALSE)</f>
        <v>#REF!</v>
      </c>
      <c r="BF713" s="189" t="e">
        <f>VLOOKUP(CLEAN(H713),#REF!,2,FALSE)</f>
        <v>#REF!</v>
      </c>
      <c r="BG713" s="189" t="e">
        <f>T713-BF713</f>
        <v>#REF!</v>
      </c>
      <c r="BO713" s="2" t="e">
        <f>VLOOKUP(H713,#REF!,13,FALSE)</f>
        <v>#REF!</v>
      </c>
      <c r="BP713" s="2" t="e">
        <f>VLOOKUP(H713,#REF!,2,FALSE)</f>
        <v>#REF!</v>
      </c>
      <c r="BQ713" s="2" t="e">
        <f>VLOOKUP(H713,#REF!,13,FALSE)</f>
        <v>#REF!</v>
      </c>
      <c r="BR713" s="2" t="e">
        <f>VLOOKUP(H713,#REF!,3,FALSE)</f>
        <v>#REF!</v>
      </c>
    </row>
    <row r="714" spans="1:70" ht="15" customHeight="1" outlineLevel="2">
      <c r="A714" s="7"/>
      <c r="B714" s="7"/>
      <c r="C714" s="7"/>
      <c r="D714" s="7"/>
      <c r="E714" s="7"/>
      <c r="F714" s="7"/>
      <c r="G714" s="7"/>
      <c r="H714" s="11"/>
      <c r="I714" s="11"/>
      <c r="J714" s="11"/>
      <c r="K714" s="11"/>
      <c r="L714" s="17" t="s">
        <v>692</v>
      </c>
      <c r="M714" s="27">
        <f>SUBTOTAL(9,M712:M713)</f>
        <v>1079532000</v>
      </c>
      <c r="N714" s="27">
        <f t="shared" ref="N714:O714" si="423">SUBTOTAL(9,N712:N713)</f>
        <v>0</v>
      </c>
      <c r="O714" s="27">
        <f t="shared" si="423"/>
        <v>94741100</v>
      </c>
      <c r="P714" s="24">
        <f t="shared" ref="P714:X714" si="424">SUBTOTAL(9,P712:P713)</f>
        <v>0</v>
      </c>
      <c r="Q714" s="24">
        <f t="shared" si="424"/>
        <v>0</v>
      </c>
      <c r="R714" s="24">
        <f t="shared" si="424"/>
        <v>0</v>
      </c>
      <c r="S714" s="27">
        <f t="shared" si="424"/>
        <v>0</v>
      </c>
      <c r="T714" s="27">
        <f t="shared" si="424"/>
        <v>0</v>
      </c>
      <c r="U714" s="27">
        <f t="shared" si="424"/>
        <v>0</v>
      </c>
      <c r="V714" s="27">
        <f t="shared" si="424"/>
        <v>0</v>
      </c>
      <c r="W714" s="27">
        <f t="shared" si="424"/>
        <v>94741100</v>
      </c>
      <c r="X714" s="27">
        <f t="shared" si="424"/>
        <v>984790900</v>
      </c>
      <c r="Y714" s="47"/>
      <c r="Z714" s="47"/>
      <c r="AO714"/>
      <c r="AP714"/>
      <c r="AQ714"/>
      <c r="AR714" s="2" t="e">
        <f>VLOOKUP(CLEAN(H714),#REF!,2,FALSE)</f>
        <v>#REF!</v>
      </c>
      <c r="AZ714" s="2" t="e">
        <f>VLOOKUP(H714,#REF!,2,FALSE)</f>
        <v>#REF!</v>
      </c>
      <c r="BO714" s="2" t="e">
        <f>VLOOKUP(H714,#REF!,13,FALSE)</f>
        <v>#REF!</v>
      </c>
      <c r="BQ714" s="2" t="e">
        <f>VLOOKUP(H714,#REF!,13,FALSE)</f>
        <v>#REF!</v>
      </c>
    </row>
    <row r="715" spans="1:70" ht="15" customHeight="1" outlineLevel="2">
      <c r="A715" s="7"/>
      <c r="B715" s="7"/>
      <c r="C715" s="7"/>
      <c r="D715" s="7"/>
      <c r="E715" s="7"/>
      <c r="F715" s="7"/>
      <c r="G715" s="7"/>
      <c r="H715" s="11"/>
      <c r="I715" s="11"/>
      <c r="J715" s="11"/>
      <c r="K715" s="11"/>
      <c r="L715" s="292"/>
      <c r="M715" s="22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47"/>
      <c r="Z715" s="47"/>
      <c r="AO715"/>
      <c r="AP715"/>
      <c r="AQ715"/>
      <c r="AR715" s="2" t="e">
        <f>VLOOKUP(CLEAN(H715),#REF!,2,FALSE)</f>
        <v>#REF!</v>
      </c>
      <c r="AZ715" s="2" t="e">
        <f>VLOOKUP(H715,#REF!,2,FALSE)</f>
        <v>#REF!</v>
      </c>
      <c r="BO715" s="2" t="e">
        <f>VLOOKUP(H715,#REF!,13,FALSE)</f>
        <v>#REF!</v>
      </c>
      <c r="BP715" s="293"/>
      <c r="BQ715" s="2" t="e">
        <f>VLOOKUP(H715,#REF!,13,FALSE)</f>
        <v>#REF!</v>
      </c>
    </row>
    <row r="716" spans="1:70" ht="15" customHeight="1" outlineLevel="2">
      <c r="A716" s="7"/>
      <c r="B716" s="7"/>
      <c r="C716" s="7"/>
      <c r="D716" s="7"/>
      <c r="E716" s="7"/>
      <c r="F716" s="7"/>
      <c r="G716" s="7"/>
      <c r="H716" s="11"/>
      <c r="I716" s="11"/>
      <c r="J716" s="11"/>
      <c r="K716" s="11"/>
      <c r="L716" s="18" t="s">
        <v>701</v>
      </c>
      <c r="M716" s="22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47"/>
      <c r="Z716" s="47"/>
      <c r="AM716" s="185" t="e">
        <f>VLOOKUP(CLEAN(H716),#REF!,7,FALSE)</f>
        <v>#REF!</v>
      </c>
      <c r="AO716"/>
      <c r="AP716"/>
      <c r="AQ716"/>
      <c r="AR716" s="2" t="e">
        <f>VLOOKUP(CLEAN(H716),#REF!,2,FALSE)</f>
        <v>#REF!</v>
      </c>
      <c r="AZ716" s="2" t="e">
        <f>VLOOKUP(H716,#REF!,2,FALSE)</f>
        <v>#REF!</v>
      </c>
      <c r="BO716" s="2" t="e">
        <f>VLOOKUP(H716,#REF!,13,FALSE)</f>
        <v>#REF!</v>
      </c>
      <c r="BQ716" s="2" t="e">
        <f>VLOOKUP(H716,#REF!,13,FALSE)</f>
        <v>#REF!</v>
      </c>
    </row>
    <row r="717" spans="1:70" s="2" customFormat="1" ht="15" customHeight="1" outlineLevel="2">
      <c r="A717" s="5">
        <v>33</v>
      </c>
      <c r="B717" s="5" t="s">
        <v>54</v>
      </c>
      <c r="C717" s="5" t="s">
        <v>248</v>
      </c>
      <c r="D717" s="5" t="s">
        <v>30</v>
      </c>
      <c r="E717" s="5" t="s">
        <v>40</v>
      </c>
      <c r="F717" s="5" t="s">
        <v>14</v>
      </c>
      <c r="G717" s="5" t="s">
        <v>144</v>
      </c>
      <c r="H717" s="12">
        <v>30101055</v>
      </c>
      <c r="I717" s="42" t="str">
        <f t="shared" ref="I717:I718" si="425">CONCATENATE(H717,"-",G717)</f>
        <v>30101055-EJECUCION</v>
      </c>
      <c r="J717" s="12"/>
      <c r="K717" s="307" t="str">
        <f t="shared" ref="K717:K718" si="426">CLEAN(H717)</f>
        <v>30101055</v>
      </c>
      <c r="L717" s="15" t="s">
        <v>84</v>
      </c>
      <c r="M717" s="23">
        <v>5352777000</v>
      </c>
      <c r="N717" s="34">
        <v>0</v>
      </c>
      <c r="O717" s="34">
        <f>902438109/3</f>
        <v>300812703</v>
      </c>
      <c r="P717" s="310">
        <v>0</v>
      </c>
      <c r="Q717" s="34">
        <v>0</v>
      </c>
      <c r="R717" s="308">
        <v>0</v>
      </c>
      <c r="S717" s="34">
        <f t="shared" ref="S717:S718" si="427">P717+Q717+R717</f>
        <v>0</v>
      </c>
      <c r="T717" s="34">
        <v>0</v>
      </c>
      <c r="U717" s="34">
        <v>0</v>
      </c>
      <c r="V717" s="34">
        <f>P717+Q717+R717+T717+U717</f>
        <v>0</v>
      </c>
      <c r="W717" s="34">
        <f>O717-V717</f>
        <v>300812703</v>
      </c>
      <c r="X717" s="34">
        <f>M717-(N717+O717)</f>
        <v>5051964297</v>
      </c>
      <c r="Y717" s="48" t="s">
        <v>243</v>
      </c>
      <c r="Z717" s="48" t="s">
        <v>8</v>
      </c>
      <c r="AA717" s="2" t="s">
        <v>844</v>
      </c>
      <c r="AB717" s="2" t="e">
        <f>VLOOKUP(H717,#REF!,2,FALSE)</f>
        <v>#REF!</v>
      </c>
      <c r="AC717" s="2" t="e">
        <f>VLOOKUP(I717,#REF!,2,FALSE)</f>
        <v>#REF!</v>
      </c>
      <c r="AD717" s="2" t="e">
        <f>VLOOKUP(H717,#REF!,13,FALSE)</f>
        <v>#REF!</v>
      </c>
      <c r="AE717" s="2" t="e">
        <f>VLOOKUP(I717,#REF!,7,FALSE)</f>
        <v>#REF!</v>
      </c>
      <c r="AG717" s="2" t="e">
        <f>VLOOKUP(H717,#REF!,13,FALSE)</f>
        <v>#REF!</v>
      </c>
      <c r="AH717" s="2" t="e">
        <f>VLOOKUP(I717,#REF!,2,FALSE)</f>
        <v>#REF!</v>
      </c>
      <c r="AJ717" s="185" t="e">
        <f>VLOOKUP(H717,#REF!,3,FALSE)</f>
        <v>#REF!</v>
      </c>
      <c r="AK717" s="185"/>
      <c r="AL717" s="185"/>
      <c r="AM717" s="185" t="e">
        <f>VLOOKUP(CLEAN(H717),#REF!,7,FALSE)</f>
        <v>#REF!</v>
      </c>
      <c r="AN717" s="2" t="e">
        <f>VLOOKUP(H717,#REF!,8,FALSE)</f>
        <v>#REF!</v>
      </c>
      <c r="AO717" s="189" t="e">
        <f>VLOOKUP(H717,#REF!,2,FALSE)</f>
        <v>#REF!</v>
      </c>
      <c r="AP717" s="189" t="e">
        <f>VLOOKUP(H717,#REF!,2,FALSE)</f>
        <v>#REF!</v>
      </c>
      <c r="AQ717" s="189"/>
      <c r="AR717" s="2" t="e">
        <f>VLOOKUP(CLEAN(H717),#REF!,2,FALSE)</f>
        <v>#REF!</v>
      </c>
      <c r="AT717" s="2" t="e">
        <f>VLOOKUP(H717,#REF!,13,FALSE)</f>
        <v>#REF!</v>
      </c>
      <c r="AU717" s="2" t="e">
        <f>VLOOKUP(H717,#REF!,13,FALSE)</f>
        <v>#REF!</v>
      </c>
      <c r="AV717" s="2" t="e">
        <f>VLOOKUP(H717,#REF!,13,FALSE)</f>
        <v>#REF!</v>
      </c>
      <c r="AW717" s="2" t="e">
        <f>VLOOKUP(H717,#REF!,13,FALSE)</f>
        <v>#REF!</v>
      </c>
      <c r="AX717" s="2" t="e">
        <f>VLOOKUP(H717,#REF!,9,FALSE)</f>
        <v>#REF!</v>
      </c>
      <c r="AY717" s="2" t="e">
        <f>VLOOKUP(H717,#REF!,2,FALSE)</f>
        <v>#REF!</v>
      </c>
      <c r="AZ717" s="2" t="e">
        <f>VLOOKUP(H717,#REF!,2,FALSE)</f>
        <v>#REF!</v>
      </c>
      <c r="BF717" s="189" t="e">
        <f>VLOOKUP(CLEAN(H717),#REF!,2,FALSE)</f>
        <v>#REF!</v>
      </c>
      <c r="BG717" s="189" t="e">
        <f>T717-BF717</f>
        <v>#REF!</v>
      </c>
      <c r="BO717" s="2" t="e">
        <f>VLOOKUP(H717,#REF!,13,FALSE)</f>
        <v>#REF!</v>
      </c>
      <c r="BP717" s="2" t="e">
        <f>VLOOKUP(H717,#REF!,2,FALSE)</f>
        <v>#REF!</v>
      </c>
      <c r="BQ717" s="2" t="e">
        <f>VLOOKUP(H717,#REF!,13,FALSE)</f>
        <v>#REF!</v>
      </c>
      <c r="BR717" s="2" t="e">
        <f>VLOOKUP(H717,#REF!,3,FALSE)</f>
        <v>#REF!</v>
      </c>
    </row>
    <row r="718" spans="1:70" s="2" customFormat="1" ht="15" customHeight="1" outlineLevel="2">
      <c r="A718" s="5">
        <v>31</v>
      </c>
      <c r="B718" s="5" t="s">
        <v>11</v>
      </c>
      <c r="C718" s="5" t="s">
        <v>252</v>
      </c>
      <c r="D718" s="5" t="s">
        <v>30</v>
      </c>
      <c r="E718" s="5" t="s">
        <v>40</v>
      </c>
      <c r="F718" s="5" t="s">
        <v>457</v>
      </c>
      <c r="G718" s="5" t="s">
        <v>144</v>
      </c>
      <c r="H718" s="12">
        <v>30486081</v>
      </c>
      <c r="I718" s="311" t="str">
        <f t="shared" si="425"/>
        <v>30486081-EJECUCION</v>
      </c>
      <c r="J718" s="190"/>
      <c r="K718" s="309" t="str">
        <f t="shared" si="426"/>
        <v>30486081</v>
      </c>
      <c r="L718" s="15" t="s">
        <v>805</v>
      </c>
      <c r="M718" s="23">
        <v>128907000</v>
      </c>
      <c r="N718" s="34">
        <v>0</v>
      </c>
      <c r="O718" s="34">
        <v>128907000</v>
      </c>
      <c r="P718" s="310">
        <v>0</v>
      </c>
      <c r="Q718" s="34">
        <v>0</v>
      </c>
      <c r="R718" s="308">
        <v>0</v>
      </c>
      <c r="S718" s="34">
        <f t="shared" si="427"/>
        <v>0</v>
      </c>
      <c r="T718" s="34">
        <v>0</v>
      </c>
      <c r="U718" s="34">
        <v>0</v>
      </c>
      <c r="V718" s="34">
        <f>P718+Q718+R718+T718+U718</f>
        <v>0</v>
      </c>
      <c r="W718" s="34">
        <f>O718-V718</f>
        <v>128907000</v>
      </c>
      <c r="X718" s="34">
        <f>M718-(N718+O718)</f>
        <v>0</v>
      </c>
      <c r="Y718" s="48" t="s">
        <v>418</v>
      </c>
      <c r="Z718" s="48" t="s">
        <v>8</v>
      </c>
      <c r="AA718" s="2" t="e">
        <v>#N/A</v>
      </c>
      <c r="AB718" s="2" t="e">
        <f>VLOOKUP(H718,#REF!,2,FALSE)</f>
        <v>#REF!</v>
      </c>
      <c r="AC718" s="2" t="e">
        <f>VLOOKUP(I718,#REF!,2,FALSE)</f>
        <v>#REF!</v>
      </c>
      <c r="AD718" s="2" t="e">
        <f>VLOOKUP(H718,#REF!,13,FALSE)</f>
        <v>#REF!</v>
      </c>
      <c r="AE718" s="2" t="e">
        <f>VLOOKUP(I718,#REF!,7,FALSE)</f>
        <v>#REF!</v>
      </c>
      <c r="AG718" s="2" t="e">
        <f>VLOOKUP(H718,#REF!,13,FALSE)</f>
        <v>#REF!</v>
      </c>
      <c r="AH718" s="2" t="e">
        <f>VLOOKUP(I718,#REF!,2,FALSE)</f>
        <v>#REF!</v>
      </c>
      <c r="AJ718" s="185" t="e">
        <f>VLOOKUP(H718,#REF!,3,FALSE)</f>
        <v>#REF!</v>
      </c>
      <c r="AK718" s="185"/>
      <c r="AL718" s="185" t="e">
        <f>VLOOKUP(H718,#REF!,13,FALSE)</f>
        <v>#REF!</v>
      </c>
      <c r="AM718" s="185" t="e">
        <f>VLOOKUP(CLEAN(H718),#REF!,7,FALSE)</f>
        <v>#REF!</v>
      </c>
      <c r="AN718" s="2" t="e">
        <f>VLOOKUP(H718,#REF!,8,FALSE)</f>
        <v>#REF!</v>
      </c>
      <c r="AO718" s="189" t="e">
        <f>VLOOKUP(H718,#REF!,2,FALSE)</f>
        <v>#REF!</v>
      </c>
      <c r="AP718" s="189" t="e">
        <f>VLOOKUP(H718,#REF!,2,FALSE)</f>
        <v>#REF!</v>
      </c>
      <c r="AQ718" s="189"/>
      <c r="AR718" s="2" t="e">
        <f>VLOOKUP(CLEAN(H718),#REF!,2,FALSE)</f>
        <v>#REF!</v>
      </c>
      <c r="AT718" s="2" t="e">
        <f>VLOOKUP(H718,#REF!,13,FALSE)</f>
        <v>#REF!</v>
      </c>
      <c r="AU718" s="2" t="e">
        <f>VLOOKUP(H718,#REF!,13,FALSE)</f>
        <v>#REF!</v>
      </c>
      <c r="AV718" s="2" t="e">
        <f>VLOOKUP(H718,#REF!,13,FALSE)</f>
        <v>#REF!</v>
      </c>
      <c r="AW718" s="2" t="e">
        <f>VLOOKUP(H718,#REF!,13,FALSE)</f>
        <v>#REF!</v>
      </c>
      <c r="AX718" s="2" t="e">
        <f>VLOOKUP(H718,#REF!,9,FALSE)</f>
        <v>#REF!</v>
      </c>
      <c r="AZ718" s="189" t="e">
        <f>VLOOKUP(H718,#REF!,2,FALSE)</f>
        <v>#REF!</v>
      </c>
      <c r="BF718" s="189" t="e">
        <f>VLOOKUP(CLEAN(H718),#REF!,2,FALSE)</f>
        <v>#REF!</v>
      </c>
      <c r="BG718" s="189" t="e">
        <f>T718-BF718</f>
        <v>#REF!</v>
      </c>
      <c r="BO718" s="2" t="e">
        <f>VLOOKUP(H718,#REF!,13,FALSE)</f>
        <v>#REF!</v>
      </c>
      <c r="BP718" s="2" t="e">
        <f>VLOOKUP(H718,#REF!,2,FALSE)</f>
        <v>#REF!</v>
      </c>
      <c r="BQ718" s="2" t="e">
        <f>VLOOKUP(H718,#REF!,13,FALSE)</f>
        <v>#REF!</v>
      </c>
      <c r="BR718" s="2" t="e">
        <f>VLOOKUP(H718,#REF!,3,FALSE)</f>
        <v>#REF!</v>
      </c>
    </row>
    <row r="719" spans="1:70" ht="15" customHeight="1" outlineLevel="2">
      <c r="A719" s="7"/>
      <c r="B719" s="7"/>
      <c r="C719" s="7"/>
      <c r="D719" s="7"/>
      <c r="E719" s="7"/>
      <c r="F719" s="7"/>
      <c r="G719" s="7"/>
      <c r="H719" s="11"/>
      <c r="I719" s="11"/>
      <c r="J719" s="11"/>
      <c r="K719" s="11"/>
      <c r="L719" s="17" t="s">
        <v>702</v>
      </c>
      <c r="M719" s="27">
        <f t="shared" ref="M719:X719" si="428">SUBTOTAL(9,M717:M718)</f>
        <v>5481684000</v>
      </c>
      <c r="N719" s="27">
        <f t="shared" si="428"/>
        <v>0</v>
      </c>
      <c r="O719" s="27">
        <f t="shared" si="428"/>
        <v>429719703</v>
      </c>
      <c r="P719" s="24">
        <f t="shared" si="428"/>
        <v>0</v>
      </c>
      <c r="Q719" s="24">
        <f t="shared" si="428"/>
        <v>0</v>
      </c>
      <c r="R719" s="24">
        <f t="shared" si="428"/>
        <v>0</v>
      </c>
      <c r="S719" s="27">
        <f t="shared" si="428"/>
        <v>0</v>
      </c>
      <c r="T719" s="27">
        <f t="shared" si="428"/>
        <v>0</v>
      </c>
      <c r="U719" s="27">
        <f t="shared" si="428"/>
        <v>0</v>
      </c>
      <c r="V719" s="27">
        <f t="shared" si="428"/>
        <v>0</v>
      </c>
      <c r="W719" s="27">
        <f t="shared" si="428"/>
        <v>429719703</v>
      </c>
      <c r="X719" s="27">
        <f t="shared" si="428"/>
        <v>5051964297</v>
      </c>
      <c r="Y719" s="47"/>
      <c r="Z719" s="47"/>
      <c r="AM719" s="185" t="e">
        <f>VLOOKUP(CLEAN(H719),#REF!,7,FALSE)</f>
        <v>#REF!</v>
      </c>
      <c r="AO719"/>
      <c r="AP719"/>
      <c r="AQ719"/>
      <c r="AR719" s="2" t="e">
        <f>VLOOKUP(CLEAN(H719),#REF!,2,FALSE)</f>
        <v>#REF!</v>
      </c>
      <c r="AZ719" s="2" t="e">
        <f>VLOOKUP(H719,#REF!,2,FALSE)</f>
        <v>#REF!</v>
      </c>
      <c r="BO719" s="2" t="e">
        <f>VLOOKUP(H719,#REF!,13,FALSE)</f>
        <v>#REF!</v>
      </c>
      <c r="BQ719" s="2" t="e">
        <f>VLOOKUP(H719,#REF!,13,FALSE)</f>
        <v>#REF!</v>
      </c>
    </row>
    <row r="720" spans="1:70" ht="15" customHeight="1" outlineLevel="2">
      <c r="A720" s="7"/>
      <c r="B720" s="7"/>
      <c r="C720" s="7"/>
      <c r="D720" s="7"/>
      <c r="E720" s="7"/>
      <c r="F720" s="7"/>
      <c r="G720" s="7"/>
      <c r="H720" s="11"/>
      <c r="I720" s="11"/>
      <c r="J720" s="11"/>
      <c r="K720" s="11"/>
      <c r="L720" s="292"/>
      <c r="M720" s="22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47"/>
      <c r="Z720" s="47"/>
      <c r="AM720" s="185" t="e">
        <f>VLOOKUP(CLEAN(H720),#REF!,7,FALSE)</f>
        <v>#REF!</v>
      </c>
      <c r="AO720"/>
      <c r="AP720"/>
      <c r="AQ720"/>
      <c r="AR720" s="2" t="e">
        <f>VLOOKUP(CLEAN(H720),#REF!,2,FALSE)</f>
        <v>#REF!</v>
      </c>
      <c r="AZ720" s="2" t="e">
        <f>VLOOKUP(H720,#REF!,2,FALSE)</f>
        <v>#REF!</v>
      </c>
      <c r="BO720" s="2" t="e">
        <f>VLOOKUP(H720,#REF!,13,FALSE)</f>
        <v>#REF!</v>
      </c>
      <c r="BP720" s="293"/>
      <c r="BQ720" s="2" t="e">
        <f>VLOOKUP(H720,#REF!,13,FALSE)</f>
        <v>#REF!</v>
      </c>
    </row>
    <row r="721" spans="1:70" ht="15" customHeight="1" outlineLevel="2">
      <c r="A721" s="7"/>
      <c r="B721" s="7"/>
      <c r="C721" s="7"/>
      <c r="D721" s="7"/>
      <c r="E721" s="7"/>
      <c r="F721" s="7"/>
      <c r="G721" s="7"/>
      <c r="H721" s="11"/>
      <c r="I721" s="11"/>
      <c r="J721" s="11"/>
      <c r="K721" s="11"/>
      <c r="L721" s="18" t="s">
        <v>696</v>
      </c>
      <c r="M721" s="22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47"/>
      <c r="Z721" s="47"/>
      <c r="AM721" s="185" t="e">
        <f>VLOOKUP(CLEAN(H721),#REF!,7,FALSE)</f>
        <v>#REF!</v>
      </c>
      <c r="AO721"/>
      <c r="AP721"/>
      <c r="AQ721"/>
      <c r="AR721" s="2" t="e">
        <f>VLOOKUP(CLEAN(H721),#REF!,2,FALSE)</f>
        <v>#REF!</v>
      </c>
      <c r="AZ721" s="2" t="e">
        <f>VLOOKUP(H721,#REF!,2,FALSE)</f>
        <v>#REF!</v>
      </c>
      <c r="BO721" s="2" t="e">
        <f>VLOOKUP(H721,#REF!,13,FALSE)</f>
        <v>#REF!</v>
      </c>
      <c r="BQ721" s="2" t="e">
        <f>VLOOKUP(H721,#REF!,13,FALSE)</f>
        <v>#REF!</v>
      </c>
    </row>
    <row r="722" spans="1:70" s="2" customFormat="1" ht="15" customHeight="1" outlineLevel="2">
      <c r="A722" s="5">
        <v>29</v>
      </c>
      <c r="B722" s="5" t="s">
        <v>11</v>
      </c>
      <c r="C722" s="5" t="s">
        <v>241</v>
      </c>
      <c r="D722" s="5" t="s">
        <v>30</v>
      </c>
      <c r="E722" s="5" t="s">
        <v>40</v>
      </c>
      <c r="F722" s="5" t="s">
        <v>89</v>
      </c>
      <c r="G722" s="5" t="s">
        <v>144</v>
      </c>
      <c r="H722" s="12">
        <v>30486106</v>
      </c>
      <c r="I722" s="42" t="str">
        <f t="shared" ref="I722:I723" si="429">CONCATENATE(H722,"-",G722)</f>
        <v>30486106-EJECUCION</v>
      </c>
      <c r="J722" s="12"/>
      <c r="K722" s="307" t="str">
        <f t="shared" ref="K722:K723" si="430">CLEAN(H722)</f>
        <v>30486106</v>
      </c>
      <c r="L722" s="15" t="s">
        <v>411</v>
      </c>
      <c r="M722" s="23">
        <v>250000000</v>
      </c>
      <c r="N722" s="34">
        <v>0</v>
      </c>
      <c r="O722" s="34">
        <v>30000000</v>
      </c>
      <c r="P722" s="310">
        <v>0</v>
      </c>
      <c r="Q722" s="34">
        <v>0</v>
      </c>
      <c r="R722" s="308">
        <v>0</v>
      </c>
      <c r="S722" s="34">
        <f t="shared" ref="S722:S723" si="431">P722+Q722+R722</f>
        <v>0</v>
      </c>
      <c r="T722" s="34">
        <v>0</v>
      </c>
      <c r="U722" s="34">
        <v>0</v>
      </c>
      <c r="V722" s="34">
        <f>P722+Q722+R722+T722+U722</f>
        <v>0</v>
      </c>
      <c r="W722" s="34">
        <f>O722-V722</f>
        <v>30000000</v>
      </c>
      <c r="X722" s="34">
        <f>M722-(N722+O722)</f>
        <v>220000000</v>
      </c>
      <c r="Y722" s="48" t="s">
        <v>246</v>
      </c>
      <c r="Z722" s="48" t="s">
        <v>421</v>
      </c>
      <c r="AA722" s="2" t="e">
        <v>#N/A</v>
      </c>
      <c r="AB722" s="2" t="e">
        <f>VLOOKUP(H722,#REF!,2,FALSE)</f>
        <v>#REF!</v>
      </c>
      <c r="AC722" s="2" t="e">
        <f>VLOOKUP(I722,#REF!,2,FALSE)</f>
        <v>#REF!</v>
      </c>
      <c r="AD722" s="2" t="e">
        <f>VLOOKUP(H722,#REF!,13,FALSE)</f>
        <v>#REF!</v>
      </c>
      <c r="AE722" s="2" t="e">
        <f>VLOOKUP(I722,#REF!,7,FALSE)</f>
        <v>#REF!</v>
      </c>
      <c r="AG722" s="2" t="e">
        <f>VLOOKUP(H722,#REF!,13,FALSE)</f>
        <v>#REF!</v>
      </c>
      <c r="AH722" s="2" t="e">
        <f>VLOOKUP(I722,#REF!,2,FALSE)</f>
        <v>#REF!</v>
      </c>
      <c r="AJ722" s="185" t="e">
        <f>VLOOKUP(H722,#REF!,3,FALSE)</f>
        <v>#REF!</v>
      </c>
      <c r="AK722" s="185"/>
      <c r="AL722" s="185" t="e">
        <f>VLOOKUP(H722,#REF!,13,FALSE)</f>
        <v>#REF!</v>
      </c>
      <c r="AM722" s="185" t="e">
        <f>VLOOKUP(CLEAN(H722),#REF!,7,FALSE)</f>
        <v>#REF!</v>
      </c>
      <c r="AN722" s="2" t="e">
        <f>VLOOKUP(H722,#REF!,8,FALSE)</f>
        <v>#REF!</v>
      </c>
      <c r="AO722" s="189" t="e">
        <f>VLOOKUP(H722,#REF!,2,FALSE)</f>
        <v>#REF!</v>
      </c>
      <c r="AP722" s="189" t="e">
        <f>VLOOKUP(H722,#REF!,2,FALSE)</f>
        <v>#REF!</v>
      </c>
      <c r="AQ722" s="189"/>
      <c r="AR722" s="2" t="e">
        <f>VLOOKUP(CLEAN(H722),#REF!,2,FALSE)</f>
        <v>#REF!</v>
      </c>
      <c r="AT722" s="2" t="e">
        <f>VLOOKUP(H722,#REF!,13,FALSE)</f>
        <v>#REF!</v>
      </c>
      <c r="AU722" s="2" t="e">
        <f>VLOOKUP(H722,#REF!,13,FALSE)</f>
        <v>#REF!</v>
      </c>
      <c r="AV722" s="2" t="e">
        <f>VLOOKUP(H722,#REF!,13,FALSE)</f>
        <v>#REF!</v>
      </c>
      <c r="AW722" s="2" t="e">
        <f>VLOOKUP(H722,#REF!,13,FALSE)</f>
        <v>#REF!</v>
      </c>
      <c r="AX722" s="2" t="e">
        <f>VLOOKUP(H722,#REF!,9,FALSE)</f>
        <v>#REF!</v>
      </c>
      <c r="AZ722" s="2" t="e">
        <f>VLOOKUP(H722,#REF!,2,FALSE)</f>
        <v>#REF!</v>
      </c>
      <c r="BF722" s="189" t="e">
        <f>VLOOKUP(CLEAN(H722),#REF!,2,FALSE)</f>
        <v>#REF!</v>
      </c>
      <c r="BG722" s="189" t="e">
        <f>T722-BF722</f>
        <v>#REF!</v>
      </c>
      <c r="BO722" s="2" t="e">
        <f>VLOOKUP(H722,#REF!,13,FALSE)</f>
        <v>#REF!</v>
      </c>
      <c r="BP722" s="2" t="e">
        <f>VLOOKUP(H722,#REF!,2,FALSE)</f>
        <v>#REF!</v>
      </c>
      <c r="BQ722" s="2" t="e">
        <f>VLOOKUP(H722,#REF!,13,FALSE)</f>
        <v>#REF!</v>
      </c>
      <c r="BR722" s="2" t="e">
        <f>VLOOKUP(H722,#REF!,3,FALSE)</f>
        <v>#REF!</v>
      </c>
    </row>
    <row r="723" spans="1:70" s="2" customFormat="1" ht="15" customHeight="1" outlineLevel="2">
      <c r="A723" s="5">
        <v>31</v>
      </c>
      <c r="B723" s="5" t="s">
        <v>11</v>
      </c>
      <c r="C723" s="5" t="s">
        <v>240</v>
      </c>
      <c r="D723" s="5" t="s">
        <v>30</v>
      </c>
      <c r="E723" s="5" t="s">
        <v>40</v>
      </c>
      <c r="F723" s="5" t="s">
        <v>457</v>
      </c>
      <c r="G723" s="5" t="s">
        <v>144</v>
      </c>
      <c r="H723" s="12">
        <v>30071585</v>
      </c>
      <c r="I723" s="42" t="str">
        <f t="shared" si="429"/>
        <v>30071585-EJECUCION</v>
      </c>
      <c r="J723" s="12" t="s">
        <v>733</v>
      </c>
      <c r="K723" s="307" t="str">
        <f t="shared" si="430"/>
        <v>30071585</v>
      </c>
      <c r="L723" s="15" t="s">
        <v>410</v>
      </c>
      <c r="M723" s="23">
        <v>470000000</v>
      </c>
      <c r="N723" s="34">
        <v>0</v>
      </c>
      <c r="O723" s="34">
        <v>40000000</v>
      </c>
      <c r="P723" s="310">
        <v>0</v>
      </c>
      <c r="Q723" s="34">
        <v>0</v>
      </c>
      <c r="R723" s="308">
        <v>0</v>
      </c>
      <c r="S723" s="34">
        <f t="shared" si="431"/>
        <v>0</v>
      </c>
      <c r="T723" s="34">
        <v>0</v>
      </c>
      <c r="U723" s="34">
        <v>0</v>
      </c>
      <c r="V723" s="34">
        <f>P723+Q723+R723+T723+U723</f>
        <v>0</v>
      </c>
      <c r="W723" s="34">
        <f>O723-V723</f>
        <v>40000000</v>
      </c>
      <c r="X723" s="34">
        <f>M723-(N723+O723)</f>
        <v>430000000</v>
      </c>
      <c r="Y723" s="48" t="s">
        <v>246</v>
      </c>
      <c r="Z723" s="48" t="s">
        <v>270</v>
      </c>
      <c r="AA723" s="2" t="e">
        <v>#N/A</v>
      </c>
      <c r="AB723" s="2" t="e">
        <f>VLOOKUP(H723,#REF!,2,FALSE)</f>
        <v>#REF!</v>
      </c>
      <c r="AC723" s="2" t="e">
        <f>VLOOKUP(I723,#REF!,2,FALSE)</f>
        <v>#REF!</v>
      </c>
      <c r="AD723" s="2" t="e">
        <f>VLOOKUP(H723,#REF!,13,FALSE)</f>
        <v>#REF!</v>
      </c>
      <c r="AE723" s="2" t="e">
        <f>VLOOKUP(I723,#REF!,7,FALSE)</f>
        <v>#REF!</v>
      </c>
      <c r="AG723" s="2" t="e">
        <f>VLOOKUP(H723,#REF!,13,FALSE)</f>
        <v>#REF!</v>
      </c>
      <c r="AH723" s="2" t="e">
        <f>VLOOKUP(I723,#REF!,2,FALSE)</f>
        <v>#REF!</v>
      </c>
      <c r="AJ723" s="185" t="e">
        <f>VLOOKUP(H723,#REF!,3,FALSE)</f>
        <v>#REF!</v>
      </c>
      <c r="AK723" s="185"/>
      <c r="AL723" s="185" t="e">
        <f>VLOOKUP(H723,#REF!,13,FALSE)</f>
        <v>#REF!</v>
      </c>
      <c r="AM723" s="185" t="e">
        <f>VLOOKUP(CLEAN(H723),#REF!,7,FALSE)</f>
        <v>#REF!</v>
      </c>
      <c r="AN723" s="2" t="e">
        <f>VLOOKUP(H723,#REF!,8,FALSE)</f>
        <v>#REF!</v>
      </c>
      <c r="AO723" s="189" t="e">
        <f>VLOOKUP(H723,#REF!,2,FALSE)</f>
        <v>#REF!</v>
      </c>
      <c r="AP723" s="189" t="e">
        <f>VLOOKUP(H723,#REF!,2,FALSE)</f>
        <v>#REF!</v>
      </c>
      <c r="AQ723" s="189"/>
      <c r="AR723" s="2" t="e">
        <f>VLOOKUP(CLEAN(H723),#REF!,2,FALSE)</f>
        <v>#REF!</v>
      </c>
      <c r="AT723" s="2" t="e">
        <f>VLOOKUP(H723,#REF!,13,FALSE)</f>
        <v>#REF!</v>
      </c>
      <c r="AU723" s="2" t="e">
        <f>VLOOKUP(H723,#REF!,13,FALSE)</f>
        <v>#REF!</v>
      </c>
      <c r="AV723" s="2" t="e">
        <f>VLOOKUP(H723,#REF!,13,FALSE)</f>
        <v>#REF!</v>
      </c>
      <c r="AW723" s="2" t="e">
        <f>VLOOKUP(H723,#REF!,13,FALSE)</f>
        <v>#REF!</v>
      </c>
      <c r="AX723" s="2" t="e">
        <f>VLOOKUP(H723,#REF!,9,FALSE)</f>
        <v>#REF!</v>
      </c>
      <c r="AZ723" s="2" t="e">
        <f>VLOOKUP(H723,#REF!,2,FALSE)</f>
        <v>#REF!</v>
      </c>
      <c r="BF723" s="189" t="e">
        <f>VLOOKUP(CLEAN(H723),#REF!,2,FALSE)</f>
        <v>#REF!</v>
      </c>
      <c r="BG723" s="189" t="e">
        <f>T723-BF723</f>
        <v>#REF!</v>
      </c>
      <c r="BO723" s="2" t="e">
        <f>VLOOKUP(H723,#REF!,13,FALSE)</f>
        <v>#REF!</v>
      </c>
      <c r="BP723" s="2" t="e">
        <f>VLOOKUP(H723,#REF!,2,FALSE)</f>
        <v>#REF!</v>
      </c>
      <c r="BQ723" s="2" t="e">
        <f>VLOOKUP(H723,#REF!,13,FALSE)</f>
        <v>#REF!</v>
      </c>
      <c r="BR723" s="2" t="e">
        <f>VLOOKUP(H723,#REF!,3,FALSE)</f>
        <v>#REF!</v>
      </c>
    </row>
    <row r="724" spans="1:70" ht="15" customHeight="1" outlineLevel="2">
      <c r="A724" s="7"/>
      <c r="B724" s="7"/>
      <c r="C724" s="7"/>
      <c r="D724" s="7"/>
      <c r="E724" s="7"/>
      <c r="F724" s="7"/>
      <c r="G724" s="7"/>
      <c r="H724" s="11"/>
      <c r="I724" s="11"/>
      <c r="J724" s="11"/>
      <c r="K724" s="11"/>
      <c r="L724" s="17" t="s">
        <v>693</v>
      </c>
      <c r="M724" s="27">
        <f t="shared" ref="M724:X724" si="432">SUBTOTAL(9,M722:M723)</f>
        <v>720000000</v>
      </c>
      <c r="N724" s="27">
        <f t="shared" si="432"/>
        <v>0</v>
      </c>
      <c r="O724" s="27">
        <f t="shared" si="432"/>
        <v>70000000</v>
      </c>
      <c r="P724" s="24">
        <f t="shared" si="432"/>
        <v>0</v>
      </c>
      <c r="Q724" s="24">
        <f t="shared" si="432"/>
        <v>0</v>
      </c>
      <c r="R724" s="24">
        <f t="shared" si="432"/>
        <v>0</v>
      </c>
      <c r="S724" s="27">
        <f t="shared" si="432"/>
        <v>0</v>
      </c>
      <c r="T724" s="27">
        <f t="shared" si="432"/>
        <v>0</v>
      </c>
      <c r="U724" s="27">
        <f t="shared" si="432"/>
        <v>0</v>
      </c>
      <c r="V724" s="27">
        <f t="shared" si="432"/>
        <v>0</v>
      </c>
      <c r="W724" s="27">
        <f t="shared" si="432"/>
        <v>70000000</v>
      </c>
      <c r="X724" s="27">
        <f t="shared" si="432"/>
        <v>650000000</v>
      </c>
      <c r="Y724" s="47"/>
      <c r="Z724" s="47"/>
      <c r="AM724" s="185" t="e">
        <f>VLOOKUP(CLEAN(H724),#REF!,7,FALSE)</f>
        <v>#REF!</v>
      </c>
      <c r="AO724"/>
      <c r="AP724"/>
      <c r="AQ724"/>
      <c r="AR724" s="2" t="e">
        <f>VLOOKUP(CLEAN(H724),#REF!,2,FALSE)</f>
        <v>#REF!</v>
      </c>
      <c r="AZ724" s="2" t="e">
        <f>VLOOKUP(H724,#REF!,2,FALSE)</f>
        <v>#REF!</v>
      </c>
      <c r="BO724" s="2" t="e">
        <f>VLOOKUP(H724,#REF!,13,FALSE)</f>
        <v>#REF!</v>
      </c>
      <c r="BQ724" s="2" t="e">
        <f>VLOOKUP(H724,#REF!,13,FALSE)</f>
        <v>#REF!</v>
      </c>
    </row>
    <row r="725" spans="1:70" ht="15" customHeight="1" outlineLevel="2">
      <c r="A725" s="7"/>
      <c r="B725" s="7"/>
      <c r="C725" s="7"/>
      <c r="D725" s="7"/>
      <c r="E725" s="7"/>
      <c r="F725" s="7"/>
      <c r="G725" s="7"/>
      <c r="H725" s="11"/>
      <c r="I725" s="11"/>
      <c r="J725" s="11"/>
      <c r="K725" s="11"/>
      <c r="L725" s="292"/>
      <c r="M725" s="22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47"/>
      <c r="Z725" s="47"/>
      <c r="AM725" s="185" t="e">
        <f>VLOOKUP(CLEAN(H725),#REF!,7,FALSE)</f>
        <v>#REF!</v>
      </c>
      <c r="AO725"/>
      <c r="AP725"/>
      <c r="AQ725"/>
      <c r="AR725" s="2" t="e">
        <f>VLOOKUP(CLEAN(H725),#REF!,2,FALSE)</f>
        <v>#REF!</v>
      </c>
      <c r="AZ725" s="2" t="e">
        <f>VLOOKUP(H725,#REF!,2,FALSE)</f>
        <v>#REF!</v>
      </c>
      <c r="BO725" s="2" t="e">
        <f>VLOOKUP(H725,#REF!,13,FALSE)</f>
        <v>#REF!</v>
      </c>
      <c r="BP725" s="293"/>
      <c r="BQ725" s="2" t="e">
        <f>VLOOKUP(H725,#REF!,13,FALSE)</f>
        <v>#REF!</v>
      </c>
    </row>
    <row r="726" spans="1:70" ht="18.75" customHeight="1" outlineLevel="1">
      <c r="A726" s="7"/>
      <c r="B726" s="7"/>
      <c r="C726" s="7"/>
      <c r="D726" s="7"/>
      <c r="E726" s="8"/>
      <c r="F726" s="7"/>
      <c r="G726" s="7"/>
      <c r="H726" s="11"/>
      <c r="I726" s="11"/>
      <c r="J726" s="11"/>
      <c r="K726" s="11"/>
      <c r="L726" s="45" t="s">
        <v>171</v>
      </c>
      <c r="M726" s="46">
        <f t="shared" ref="M726:X726" si="433">M724+M719+M703+M709+M714</f>
        <v>14568099453</v>
      </c>
      <c r="N726" s="46">
        <f t="shared" si="433"/>
        <v>4169161296</v>
      </c>
      <c r="O726" s="46">
        <f t="shared" si="433"/>
        <v>1597377698</v>
      </c>
      <c r="P726" s="46">
        <f t="shared" si="433"/>
        <v>0</v>
      </c>
      <c r="Q726" s="46">
        <f t="shared" si="433"/>
        <v>0</v>
      </c>
      <c r="R726" s="46">
        <f t="shared" si="433"/>
        <v>165892765</v>
      </c>
      <c r="S726" s="46">
        <f t="shared" si="433"/>
        <v>165892765</v>
      </c>
      <c r="T726" s="46">
        <f t="shared" si="433"/>
        <v>384673942</v>
      </c>
      <c r="U726" s="46">
        <f t="shared" si="433"/>
        <v>142171104</v>
      </c>
      <c r="V726" s="46">
        <f t="shared" si="433"/>
        <v>692737811</v>
      </c>
      <c r="W726" s="46">
        <f t="shared" si="433"/>
        <v>904639887</v>
      </c>
      <c r="X726" s="46">
        <f t="shared" si="433"/>
        <v>8801560459</v>
      </c>
      <c r="Y726" s="47"/>
      <c r="Z726" s="47"/>
      <c r="AM726" s="185" t="e">
        <f>VLOOKUP(CLEAN(H726),#REF!,7,FALSE)</f>
        <v>#REF!</v>
      </c>
      <c r="AO726"/>
      <c r="AP726"/>
      <c r="AQ726"/>
      <c r="AR726" s="2" t="e">
        <f>VLOOKUP(CLEAN(H726),#REF!,2,FALSE)</f>
        <v>#REF!</v>
      </c>
      <c r="AZ726" s="2" t="e">
        <f>VLOOKUP(H726,#REF!,2,FALSE)</f>
        <v>#REF!</v>
      </c>
      <c r="BO726" s="2" t="e">
        <f>VLOOKUP(H726,#REF!,13,FALSE)</f>
        <v>#REF!</v>
      </c>
      <c r="BQ726" s="2" t="e">
        <f>VLOOKUP(H726,#REF!,13,FALSE)</f>
        <v>#REF!</v>
      </c>
    </row>
    <row r="727" spans="1:70" s="3" customFormat="1" ht="15" customHeight="1" outlineLevel="1">
      <c r="A727" s="7"/>
      <c r="B727" s="7"/>
      <c r="C727" s="7"/>
      <c r="D727" s="7"/>
      <c r="E727" s="8"/>
      <c r="F727" s="7"/>
      <c r="G727" s="7"/>
      <c r="H727" s="11"/>
      <c r="I727" s="11"/>
      <c r="J727" s="11"/>
      <c r="K727" s="11"/>
      <c r="L727" s="294"/>
      <c r="M727" s="26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47"/>
      <c r="Z727" s="47"/>
      <c r="AJ727" s="186"/>
      <c r="AK727" s="186"/>
      <c r="AL727" s="186"/>
      <c r="AM727" s="185" t="e">
        <f>VLOOKUP(CLEAN(H727),#REF!,7,FALSE)</f>
        <v>#REF!</v>
      </c>
      <c r="AR727" s="2" t="e">
        <f>VLOOKUP(CLEAN(H727),#REF!,2,FALSE)</f>
        <v>#REF!</v>
      </c>
      <c r="AZ727" s="2" t="e">
        <f>VLOOKUP(H727,#REF!,2,FALSE)</f>
        <v>#REF!</v>
      </c>
      <c r="BF727" s="193"/>
      <c r="BO727" s="2" t="e">
        <f>VLOOKUP(H727,#REF!,13,FALSE)</f>
        <v>#REF!</v>
      </c>
      <c r="BP727" s="7"/>
      <c r="BQ727" s="2" t="e">
        <f>VLOOKUP(H727,#REF!,13,FALSE)</f>
        <v>#REF!</v>
      </c>
    </row>
    <row r="728" spans="1:70" ht="26.25" customHeight="1" outlineLevel="1">
      <c r="A728" s="7"/>
      <c r="B728" s="7"/>
      <c r="C728" s="7"/>
      <c r="D728" s="7"/>
      <c r="E728" s="8"/>
      <c r="F728" s="7"/>
      <c r="G728" s="7"/>
      <c r="H728" s="11"/>
      <c r="I728" s="11"/>
      <c r="J728" s="11"/>
      <c r="K728" s="11"/>
      <c r="L728" s="57" t="s">
        <v>205</v>
      </c>
      <c r="M728" s="26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47"/>
      <c r="Z728" s="47"/>
      <c r="AM728" s="185" t="e">
        <f>VLOOKUP(CLEAN(H728),#REF!,7,FALSE)</f>
        <v>#REF!</v>
      </c>
      <c r="AO728"/>
      <c r="AP728"/>
      <c r="AQ728"/>
      <c r="AR728" s="2" t="e">
        <f>VLOOKUP(CLEAN(H728),#REF!,2,FALSE)</f>
        <v>#REF!</v>
      </c>
      <c r="AZ728" s="2" t="e">
        <f>VLOOKUP(H728,#REF!,2,FALSE)</f>
        <v>#REF!</v>
      </c>
      <c r="BO728" s="2" t="e">
        <f>VLOOKUP(H728,#REF!,13,FALSE)</f>
        <v>#REF!</v>
      </c>
      <c r="BQ728" s="2" t="e">
        <f>VLOOKUP(H728,#REF!,13,FALSE)</f>
        <v>#REF!</v>
      </c>
    </row>
    <row r="729" spans="1:70" ht="15" customHeight="1" outlineLevel="1">
      <c r="A729" s="7"/>
      <c r="B729" s="7"/>
      <c r="C729" s="7"/>
      <c r="D729" s="7"/>
      <c r="E729" s="8"/>
      <c r="F729" s="7"/>
      <c r="G729" s="7"/>
      <c r="H729" s="11"/>
      <c r="I729" s="11"/>
      <c r="J729" s="11"/>
      <c r="K729" s="11"/>
      <c r="L729" s="18" t="s">
        <v>695</v>
      </c>
      <c r="M729" s="26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47"/>
      <c r="Z729" s="47"/>
      <c r="AM729" s="185" t="e">
        <f>VLOOKUP(CLEAN(H729),#REF!,7,FALSE)</f>
        <v>#REF!</v>
      </c>
      <c r="AO729"/>
      <c r="AP729"/>
      <c r="AQ729"/>
      <c r="AR729" s="2" t="e">
        <f>VLOOKUP(CLEAN(H729),#REF!,2,FALSE)</f>
        <v>#REF!</v>
      </c>
      <c r="AZ729" s="2" t="e">
        <f>VLOOKUP(H729,#REF!,2,FALSE)</f>
        <v>#REF!</v>
      </c>
      <c r="BO729" s="2" t="e">
        <f>VLOOKUP(H729,#REF!,13,FALSE)</f>
        <v>#REF!</v>
      </c>
      <c r="BQ729" s="2" t="e">
        <f>VLOOKUP(H729,#REF!,13,FALSE)</f>
        <v>#REF!</v>
      </c>
    </row>
    <row r="730" spans="1:70" s="2" customFormat="1" ht="15" customHeight="1" outlineLevel="2">
      <c r="A730" s="5">
        <v>31</v>
      </c>
      <c r="B730" s="5" t="s">
        <v>5</v>
      </c>
      <c r="C730" s="5" t="s">
        <v>238</v>
      </c>
      <c r="D730" s="5" t="s">
        <v>30</v>
      </c>
      <c r="E730" s="5" t="s">
        <v>41</v>
      </c>
      <c r="F730" s="5" t="s">
        <v>6</v>
      </c>
      <c r="G730" s="5" t="s">
        <v>144</v>
      </c>
      <c r="H730" s="12">
        <v>30086022</v>
      </c>
      <c r="I730" s="311" t="str">
        <f t="shared" ref="I730:I733" si="434">CONCATENATE(H730,"-",G730)</f>
        <v>30086022-EJECUCION</v>
      </c>
      <c r="J730" s="190"/>
      <c r="K730" s="309" t="str">
        <f t="shared" ref="K730:K733" si="435">CLEAN(H730)</f>
        <v>30086022</v>
      </c>
      <c r="L730" s="15" t="s">
        <v>680</v>
      </c>
      <c r="M730" s="23">
        <v>970937668</v>
      </c>
      <c r="N730" s="34">
        <v>705728275</v>
      </c>
      <c r="O730" s="34">
        <v>201895526</v>
      </c>
      <c r="P730" s="310">
        <v>0</v>
      </c>
      <c r="Q730" s="34">
        <v>0</v>
      </c>
      <c r="R730" s="308">
        <v>0</v>
      </c>
      <c r="S730" s="34">
        <f t="shared" ref="S730:S733" si="436">P730+Q730+R730</f>
        <v>0</v>
      </c>
      <c r="T730" s="34">
        <v>131895526</v>
      </c>
      <c r="U730" s="34">
        <v>33734222</v>
      </c>
      <c r="V730" s="34">
        <f>P730+Q730+R730+T730+U730</f>
        <v>165629748</v>
      </c>
      <c r="W730" s="34">
        <f>O730-V730</f>
        <v>36265778</v>
      </c>
      <c r="X730" s="34">
        <f>M730-(N730+O730)</f>
        <v>63313867</v>
      </c>
      <c r="Y730" s="48" t="s">
        <v>239</v>
      </c>
      <c r="Z730" s="48" t="s">
        <v>8</v>
      </c>
      <c r="AA730" s="2" t="s">
        <v>845</v>
      </c>
      <c r="AB730" s="2" t="e">
        <f>VLOOKUP(H730,#REF!,2,FALSE)</f>
        <v>#REF!</v>
      </c>
      <c r="AC730" s="2" t="e">
        <f>VLOOKUP(I730,#REF!,2,FALSE)</f>
        <v>#REF!</v>
      </c>
      <c r="AD730" s="2" t="e">
        <f>VLOOKUP(H730,#REF!,13,FALSE)</f>
        <v>#REF!</v>
      </c>
      <c r="AE730" s="2" t="e">
        <f>VLOOKUP(I730,#REF!,7,FALSE)</f>
        <v>#REF!</v>
      </c>
      <c r="AG730" s="2" t="e">
        <f>VLOOKUP(H730,#REF!,13,FALSE)</f>
        <v>#REF!</v>
      </c>
      <c r="AH730" s="2" t="e">
        <f>VLOOKUP(I730,#REF!,2,FALSE)</f>
        <v>#REF!</v>
      </c>
      <c r="AJ730" s="185" t="e">
        <f>VLOOKUP(H730,#REF!,3,FALSE)</f>
        <v>#REF!</v>
      </c>
      <c r="AK730" s="185"/>
      <c r="AL730" s="185" t="e">
        <f>VLOOKUP(H730,#REF!,13,FALSE)</f>
        <v>#REF!</v>
      </c>
      <c r="AM730" s="185" t="e">
        <f>VLOOKUP(CLEAN(H730),#REF!,7,FALSE)</f>
        <v>#REF!</v>
      </c>
      <c r="AN730" s="2" t="e">
        <f>VLOOKUP(H730,#REF!,8,FALSE)</f>
        <v>#REF!</v>
      </c>
      <c r="AO730" s="189" t="e">
        <f>VLOOKUP(H730,#REF!,2,FALSE)</f>
        <v>#REF!</v>
      </c>
      <c r="AP730" s="189" t="e">
        <f>VLOOKUP(H730,#REF!,2,FALSE)</f>
        <v>#REF!</v>
      </c>
      <c r="AQ730" s="189" t="e">
        <f>AO730-AP730</f>
        <v>#REF!</v>
      </c>
      <c r="AR730" s="189" t="e">
        <f>VLOOKUP(CLEAN(H730),#REF!,2,FALSE)</f>
        <v>#REF!</v>
      </c>
      <c r="AS730" s="189" t="e">
        <f>T730-AR730</f>
        <v>#REF!</v>
      </c>
      <c r="AT730" s="2" t="e">
        <f>VLOOKUP(H730,#REF!,13,FALSE)</f>
        <v>#REF!</v>
      </c>
      <c r="AU730" s="2" t="e">
        <f>VLOOKUP(H730,#REF!,13,FALSE)</f>
        <v>#REF!</v>
      </c>
      <c r="AV730" s="2" t="e">
        <f>VLOOKUP(H730,#REF!,13,FALSE)</f>
        <v>#REF!</v>
      </c>
      <c r="AW730" s="2" t="e">
        <f>VLOOKUP(H730,#REF!,13,FALSE)</f>
        <v>#REF!</v>
      </c>
      <c r="AX730" s="2" t="e">
        <f>VLOOKUP(H730,#REF!,9,FALSE)</f>
        <v>#REF!</v>
      </c>
      <c r="AZ730" s="189" t="e">
        <f>VLOOKUP(H730,#REF!,2,FALSE)</f>
        <v>#REF!</v>
      </c>
      <c r="BF730" s="189" t="e">
        <f>VLOOKUP(CLEAN(H730),#REF!,2,FALSE)</f>
        <v>#REF!</v>
      </c>
      <c r="BG730" s="189" t="e">
        <f>T730-BF730</f>
        <v>#REF!</v>
      </c>
      <c r="BO730" s="2" t="e">
        <f>VLOOKUP(H730,#REF!,13,FALSE)</f>
        <v>#REF!</v>
      </c>
      <c r="BP730" s="2" t="e">
        <f>VLOOKUP(H730,#REF!,2,FALSE)</f>
        <v>#REF!</v>
      </c>
      <c r="BQ730" s="2" t="e">
        <f>VLOOKUP(H730,#REF!,13,FALSE)</f>
        <v>#REF!</v>
      </c>
      <c r="BR730" s="2" t="e">
        <f>VLOOKUP(H730,#REF!,3,FALSE)</f>
        <v>#REF!</v>
      </c>
    </row>
    <row r="731" spans="1:70" s="2" customFormat="1" ht="15" customHeight="1" outlineLevel="2">
      <c r="A731" s="5">
        <v>31</v>
      </c>
      <c r="B731" s="5" t="s">
        <v>5</v>
      </c>
      <c r="C731" s="5" t="s">
        <v>238</v>
      </c>
      <c r="D731" s="5" t="s">
        <v>30</v>
      </c>
      <c r="E731" s="5" t="s">
        <v>41</v>
      </c>
      <c r="F731" s="5" t="s">
        <v>89</v>
      </c>
      <c r="G731" s="5" t="s">
        <v>9</v>
      </c>
      <c r="H731" s="12">
        <v>30115878</v>
      </c>
      <c r="I731" s="42" t="str">
        <f t="shared" si="434"/>
        <v>30115878-DISEÑO</v>
      </c>
      <c r="J731" s="12"/>
      <c r="K731" s="307" t="str">
        <f t="shared" si="435"/>
        <v>30115878</v>
      </c>
      <c r="L731" s="15" t="s">
        <v>53</v>
      </c>
      <c r="M731" s="23">
        <v>83217000</v>
      </c>
      <c r="N731" s="34">
        <v>39584450</v>
      </c>
      <c r="O731" s="34">
        <v>43632550</v>
      </c>
      <c r="P731" s="310">
        <v>0</v>
      </c>
      <c r="Q731" s="34">
        <v>0</v>
      </c>
      <c r="R731" s="308">
        <v>0</v>
      </c>
      <c r="S731" s="34">
        <f t="shared" si="436"/>
        <v>0</v>
      </c>
      <c r="T731" s="34">
        <v>0</v>
      </c>
      <c r="U731" s="34">
        <v>0</v>
      </c>
      <c r="V731" s="34">
        <f>P731+Q731+R731+T731+U731</f>
        <v>0</v>
      </c>
      <c r="W731" s="34">
        <f>O731-V731</f>
        <v>43632550</v>
      </c>
      <c r="X731" s="34">
        <f>M731-(N731+O731)</f>
        <v>0</v>
      </c>
      <c r="Y731" s="48" t="s">
        <v>239</v>
      </c>
      <c r="Z731" s="48" t="s">
        <v>8</v>
      </c>
      <c r="AA731" s="2" t="e">
        <v>#N/A</v>
      </c>
      <c r="AB731" s="2" t="e">
        <f>VLOOKUP(H731,#REF!,2,FALSE)</f>
        <v>#REF!</v>
      </c>
      <c r="AC731" s="2" t="e">
        <f>VLOOKUP(I731,#REF!,2,FALSE)</f>
        <v>#REF!</v>
      </c>
      <c r="AD731" s="2" t="e">
        <f>VLOOKUP(H731,#REF!,13,FALSE)</f>
        <v>#REF!</v>
      </c>
      <c r="AE731" s="2" t="e">
        <f>VLOOKUP(I731,#REF!,7,FALSE)</f>
        <v>#REF!</v>
      </c>
      <c r="AG731" s="2" t="e">
        <f>VLOOKUP(H731,#REF!,13,FALSE)</f>
        <v>#REF!</v>
      </c>
      <c r="AH731" s="2" t="e">
        <f>VLOOKUP(I731,#REF!,2,FALSE)</f>
        <v>#REF!</v>
      </c>
      <c r="AJ731" s="185" t="e">
        <f>VLOOKUP(H731,#REF!,3,FALSE)</f>
        <v>#REF!</v>
      </c>
      <c r="AK731" s="185"/>
      <c r="AL731" s="185" t="e">
        <f>VLOOKUP(H731,#REF!,13,FALSE)</f>
        <v>#REF!</v>
      </c>
      <c r="AM731" s="185" t="e">
        <f>VLOOKUP(CLEAN(H731),#REF!,7,FALSE)</f>
        <v>#REF!</v>
      </c>
      <c r="AN731" s="2" t="e">
        <f>VLOOKUP(H731,#REF!,8,FALSE)</f>
        <v>#REF!</v>
      </c>
      <c r="AO731" s="189" t="e">
        <f>VLOOKUP(H731,#REF!,2,FALSE)</f>
        <v>#REF!</v>
      </c>
      <c r="AP731" s="189" t="e">
        <f>VLOOKUP(H731,#REF!,2,FALSE)</f>
        <v>#REF!</v>
      </c>
      <c r="AQ731" s="189"/>
      <c r="AR731" s="2" t="e">
        <f>VLOOKUP(CLEAN(H731),#REF!,2,FALSE)</f>
        <v>#REF!</v>
      </c>
      <c r="AT731" s="2" t="e">
        <f>VLOOKUP(H731,#REF!,13,FALSE)</f>
        <v>#REF!</v>
      </c>
      <c r="AU731" s="2" t="e">
        <f>VLOOKUP(H731,#REF!,13,FALSE)</f>
        <v>#REF!</v>
      </c>
      <c r="AV731" s="2" t="e">
        <f>VLOOKUP(H731,#REF!,13,FALSE)</f>
        <v>#REF!</v>
      </c>
      <c r="AW731" s="2" t="e">
        <f>VLOOKUP(H731,#REF!,13,FALSE)</f>
        <v>#REF!</v>
      </c>
      <c r="AX731" s="2" t="e">
        <f>VLOOKUP(H731,#REF!,9,FALSE)</f>
        <v>#REF!</v>
      </c>
      <c r="AZ731" s="189" t="e">
        <f>VLOOKUP(H731,#REF!,2,FALSE)</f>
        <v>#REF!</v>
      </c>
      <c r="BF731" s="189" t="e">
        <f>VLOOKUP(CLEAN(H731),#REF!,2,FALSE)</f>
        <v>#REF!</v>
      </c>
      <c r="BG731" s="189" t="e">
        <f>T731-BF731</f>
        <v>#REF!</v>
      </c>
      <c r="BO731" s="2" t="e">
        <f>VLOOKUP(H731,#REF!,13,FALSE)</f>
        <v>#REF!</v>
      </c>
      <c r="BP731" s="2" t="e">
        <f>VLOOKUP(H731,#REF!,2,FALSE)</f>
        <v>#REF!</v>
      </c>
      <c r="BQ731" s="2" t="e">
        <f>VLOOKUP(H731,#REF!,13,FALSE)</f>
        <v>#REF!</v>
      </c>
      <c r="BR731" s="2" t="e">
        <f>VLOOKUP(H731,#REF!,3,FALSE)</f>
        <v>#REF!</v>
      </c>
    </row>
    <row r="732" spans="1:70" s="2" customFormat="1" ht="15" customHeight="1" outlineLevel="2">
      <c r="A732" s="5">
        <v>31</v>
      </c>
      <c r="B732" s="5" t="s">
        <v>54</v>
      </c>
      <c r="C732" s="5" t="s">
        <v>238</v>
      </c>
      <c r="D732" s="5" t="s">
        <v>30</v>
      </c>
      <c r="E732" s="5" t="s">
        <v>41</v>
      </c>
      <c r="F732" s="5" t="s">
        <v>6</v>
      </c>
      <c r="G732" s="5" t="s">
        <v>144</v>
      </c>
      <c r="H732" s="12">
        <v>30086050</v>
      </c>
      <c r="I732" s="42" t="str">
        <f t="shared" si="434"/>
        <v>30086050-EJECUCION</v>
      </c>
      <c r="J732" s="12"/>
      <c r="K732" s="307" t="str">
        <f t="shared" si="435"/>
        <v>30086050</v>
      </c>
      <c r="L732" s="15" t="s">
        <v>65</v>
      </c>
      <c r="M732" s="23">
        <v>1243704836</v>
      </c>
      <c r="N732" s="34">
        <v>31767516</v>
      </c>
      <c r="O732" s="34">
        <f>538106683+21660683</f>
        <v>559767366</v>
      </c>
      <c r="P732" s="310">
        <v>0</v>
      </c>
      <c r="Q732" s="34">
        <v>188912857</v>
      </c>
      <c r="R732" s="308">
        <v>150491426</v>
      </c>
      <c r="S732" s="34">
        <f t="shared" si="436"/>
        <v>339404283</v>
      </c>
      <c r="T732" s="34">
        <v>0</v>
      </c>
      <c r="U732" s="34">
        <v>220363083</v>
      </c>
      <c r="V732" s="34">
        <f>P732+Q732+R732+T732+U732</f>
        <v>559767366</v>
      </c>
      <c r="W732" s="34">
        <f>O732-V732</f>
        <v>0</v>
      </c>
      <c r="X732" s="34">
        <f>M732-(N732+O732)</f>
        <v>652169954</v>
      </c>
      <c r="Y732" s="48" t="s">
        <v>239</v>
      </c>
      <c r="Z732" s="48" t="s">
        <v>8</v>
      </c>
      <c r="AA732" s="2" t="s">
        <v>844</v>
      </c>
      <c r="AB732" s="2" t="e">
        <f>VLOOKUP(H732,#REF!,2,FALSE)</f>
        <v>#REF!</v>
      </c>
      <c r="AC732" s="2" t="e">
        <f>VLOOKUP(I732,#REF!,2,FALSE)</f>
        <v>#REF!</v>
      </c>
      <c r="AD732" s="2" t="e">
        <f>VLOOKUP(H732,#REF!,13,FALSE)</f>
        <v>#REF!</v>
      </c>
      <c r="AE732" s="2" t="e">
        <f>VLOOKUP(I732,#REF!,7,FALSE)</f>
        <v>#REF!</v>
      </c>
      <c r="AG732" s="2" t="e">
        <f>VLOOKUP(H732,#REF!,13,FALSE)</f>
        <v>#REF!</v>
      </c>
      <c r="AH732" s="2" t="e">
        <f>VLOOKUP(I732,#REF!,2,FALSE)</f>
        <v>#REF!</v>
      </c>
      <c r="AJ732" s="2" t="e">
        <f>VLOOKUP(H732,#REF!,3,FALSE)</f>
        <v>#REF!</v>
      </c>
      <c r="AL732" s="2" t="e">
        <f>VLOOKUP(H732,#REF!,13,FALSE)</f>
        <v>#REF!</v>
      </c>
      <c r="AM732" s="2" t="e">
        <f>VLOOKUP(CLEAN(H732),#REF!,7,FALSE)</f>
        <v>#REF!</v>
      </c>
      <c r="AN732" s="2" t="e">
        <f>VLOOKUP(H732,#REF!,8,FALSE)</f>
        <v>#REF!</v>
      </c>
      <c r="AO732" s="189" t="e">
        <f>VLOOKUP(H732,#REF!,2,FALSE)</f>
        <v>#REF!</v>
      </c>
      <c r="AP732" s="189" t="e">
        <f>VLOOKUP(H732,#REF!,2,FALSE)</f>
        <v>#REF!</v>
      </c>
      <c r="AQ732" s="189"/>
      <c r="AR732" s="2" t="e">
        <f>VLOOKUP(CLEAN(H732),#REF!,2,FALSE)</f>
        <v>#REF!</v>
      </c>
      <c r="AT732" s="2" t="e">
        <f>VLOOKUP(H732,#REF!,13,FALSE)</f>
        <v>#REF!</v>
      </c>
      <c r="AU732" s="2" t="e">
        <f>VLOOKUP(H732,#REF!,13,FALSE)</f>
        <v>#REF!</v>
      </c>
      <c r="AV732" s="2" t="e">
        <f>VLOOKUP(H732,#REF!,13,FALSE)</f>
        <v>#REF!</v>
      </c>
      <c r="AW732" s="2" t="e">
        <f>VLOOKUP(H732,#REF!,13,FALSE)</f>
        <v>#REF!</v>
      </c>
      <c r="AX732" s="2" t="e">
        <f>VLOOKUP(H732,#REF!,9,FALSE)</f>
        <v>#REF!</v>
      </c>
      <c r="AZ732" s="189" t="e">
        <f>VLOOKUP(H732,#REF!,2,FALSE)</f>
        <v>#REF!</v>
      </c>
      <c r="BF732" s="189" t="e">
        <f>VLOOKUP(CLEAN(H732),#REF!,2,FALSE)</f>
        <v>#REF!</v>
      </c>
      <c r="BG732" s="189" t="e">
        <f>T732-BF732</f>
        <v>#REF!</v>
      </c>
      <c r="BO732" s="2" t="e">
        <f>VLOOKUP(H732,#REF!,13,FALSE)</f>
        <v>#REF!</v>
      </c>
      <c r="BP732" s="2" t="e">
        <f>VLOOKUP(H732,#REF!,2,FALSE)</f>
        <v>#REF!</v>
      </c>
      <c r="BQ732" s="2" t="e">
        <f>VLOOKUP(H732,#REF!,13,FALSE)</f>
        <v>#REF!</v>
      </c>
      <c r="BR732" s="2" t="e">
        <f>VLOOKUP(H732,#REF!,3,FALSE)</f>
        <v>#REF!</v>
      </c>
    </row>
    <row r="733" spans="1:70" s="2" customFormat="1" ht="15" customHeight="1" outlineLevel="2">
      <c r="A733" s="5">
        <v>31</v>
      </c>
      <c r="B733" s="5" t="s">
        <v>5</v>
      </c>
      <c r="C733" s="5" t="s">
        <v>238</v>
      </c>
      <c r="D733" s="5" t="s">
        <v>30</v>
      </c>
      <c r="E733" s="5" t="s">
        <v>41</v>
      </c>
      <c r="F733" s="5" t="s">
        <v>6</v>
      </c>
      <c r="G733" s="5" t="s">
        <v>144</v>
      </c>
      <c r="H733" s="12">
        <v>30073551</v>
      </c>
      <c r="I733" s="42" t="str">
        <f t="shared" si="434"/>
        <v>30073551-EJECUCION</v>
      </c>
      <c r="J733" s="12"/>
      <c r="K733" s="307" t="str">
        <f t="shared" si="435"/>
        <v>30073551</v>
      </c>
      <c r="L733" s="15" t="s">
        <v>64</v>
      </c>
      <c r="M733" s="23">
        <v>3719850000</v>
      </c>
      <c r="N733" s="34">
        <v>2944905601</v>
      </c>
      <c r="O733" s="34">
        <f>(526312865/2)-21660683</f>
        <v>241495749.5</v>
      </c>
      <c r="P733" s="310">
        <v>0</v>
      </c>
      <c r="Q733" s="34">
        <v>0</v>
      </c>
      <c r="R733" s="308">
        <v>0</v>
      </c>
      <c r="S733" s="34">
        <f t="shared" si="436"/>
        <v>0</v>
      </c>
      <c r="T733" s="34">
        <v>0</v>
      </c>
      <c r="U733" s="34">
        <v>0</v>
      </c>
      <c r="V733" s="34">
        <f>P733+Q733+R733+T733+U733</f>
        <v>0</v>
      </c>
      <c r="W733" s="34">
        <f>O733-V733</f>
        <v>241495749.5</v>
      </c>
      <c r="X733" s="34">
        <f>M733-(N733+O733)</f>
        <v>533448649.5</v>
      </c>
      <c r="Y733" s="48" t="s">
        <v>239</v>
      </c>
      <c r="Z733" s="48" t="s">
        <v>8</v>
      </c>
      <c r="AA733" s="2" t="s">
        <v>845</v>
      </c>
      <c r="AB733" s="2" t="e">
        <f>VLOOKUP(H733,#REF!,2,FALSE)</f>
        <v>#REF!</v>
      </c>
      <c r="AC733" s="2" t="e">
        <f>VLOOKUP(I733,#REF!,2,FALSE)</f>
        <v>#REF!</v>
      </c>
      <c r="AD733" s="2" t="e">
        <f>VLOOKUP(H733,#REF!,13,FALSE)</f>
        <v>#REF!</v>
      </c>
      <c r="AE733" s="2" t="e">
        <f>VLOOKUP(I733,#REF!,7,FALSE)</f>
        <v>#REF!</v>
      </c>
      <c r="AG733" s="2" t="e">
        <f>VLOOKUP(H733,#REF!,13,FALSE)</f>
        <v>#REF!</v>
      </c>
      <c r="AH733" s="2" t="e">
        <f>VLOOKUP(I733,#REF!,2,FALSE)</f>
        <v>#REF!</v>
      </c>
      <c r="AJ733" s="185" t="e">
        <f>VLOOKUP(H733,#REF!,3,FALSE)</f>
        <v>#REF!</v>
      </c>
      <c r="AK733" s="185"/>
      <c r="AL733" s="185" t="e">
        <f>VLOOKUP(H733,#REF!,13,FALSE)</f>
        <v>#REF!</v>
      </c>
      <c r="AM733" s="185" t="e">
        <f>VLOOKUP(CLEAN(H733),#REF!,7,FALSE)</f>
        <v>#REF!</v>
      </c>
      <c r="AN733" s="2" t="e">
        <f>VLOOKUP(H733,#REF!,8,FALSE)</f>
        <v>#REF!</v>
      </c>
      <c r="AO733" s="189" t="e">
        <f>VLOOKUP(H733,#REF!,2,FALSE)</f>
        <v>#REF!</v>
      </c>
      <c r="AP733" s="189" t="e">
        <f>VLOOKUP(H733,#REF!,2,FALSE)</f>
        <v>#REF!</v>
      </c>
      <c r="AQ733" s="189"/>
      <c r="AR733" s="2" t="e">
        <f>VLOOKUP(CLEAN(H733),#REF!,2,FALSE)</f>
        <v>#REF!</v>
      </c>
      <c r="AT733" s="2" t="e">
        <f>VLOOKUP(H733,#REF!,13,FALSE)</f>
        <v>#REF!</v>
      </c>
      <c r="AU733" s="2" t="e">
        <f>VLOOKUP(H733,#REF!,13,FALSE)</f>
        <v>#REF!</v>
      </c>
      <c r="AV733" s="2" t="e">
        <f>VLOOKUP(H733,#REF!,13,FALSE)</f>
        <v>#REF!</v>
      </c>
      <c r="AW733" s="2" t="e">
        <f>VLOOKUP(H733,#REF!,13,FALSE)</f>
        <v>#REF!</v>
      </c>
      <c r="AX733" s="2" t="e">
        <f>VLOOKUP(H733,#REF!,9,FALSE)</f>
        <v>#REF!</v>
      </c>
      <c r="AZ733" s="189" t="e">
        <f>VLOOKUP(H733,#REF!,2,FALSE)</f>
        <v>#REF!</v>
      </c>
      <c r="BF733" s="189" t="e">
        <f>VLOOKUP(CLEAN(H733),#REF!,2,FALSE)</f>
        <v>#REF!</v>
      </c>
      <c r="BG733" s="189" t="e">
        <f>T733-BF733</f>
        <v>#REF!</v>
      </c>
      <c r="BO733" s="2" t="e">
        <f>VLOOKUP(H733,#REF!,13,FALSE)</f>
        <v>#REF!</v>
      </c>
      <c r="BP733" s="2" t="e">
        <f>VLOOKUP(H733,#REF!,2,FALSE)</f>
        <v>#REF!</v>
      </c>
      <c r="BQ733" s="2" t="e">
        <f>VLOOKUP(H733,#REF!,13,FALSE)</f>
        <v>#REF!</v>
      </c>
      <c r="BR733" s="2" t="e">
        <f>VLOOKUP(H733,#REF!,3,FALSE)</f>
        <v>#REF!</v>
      </c>
    </row>
    <row r="734" spans="1:70" ht="15" customHeight="1" outlineLevel="2">
      <c r="A734" s="7"/>
      <c r="B734" s="7"/>
      <c r="C734" s="7"/>
      <c r="D734" s="7"/>
      <c r="E734" s="7"/>
      <c r="F734" s="7"/>
      <c r="G734" s="7"/>
      <c r="H734" s="11"/>
      <c r="I734" s="11"/>
      <c r="J734" s="11"/>
      <c r="K734" s="11"/>
      <c r="L734" s="17" t="s">
        <v>691</v>
      </c>
      <c r="M734" s="27">
        <f t="shared" ref="M734:X734" si="437">SUBTOTAL(9,M730:M733)</f>
        <v>6017709504</v>
      </c>
      <c r="N734" s="27">
        <f t="shared" si="437"/>
        <v>3721985842</v>
      </c>
      <c r="O734" s="27">
        <f t="shared" si="437"/>
        <v>1046791191.5</v>
      </c>
      <c r="P734" s="24">
        <f t="shared" si="437"/>
        <v>0</v>
      </c>
      <c r="Q734" s="24">
        <f t="shared" si="437"/>
        <v>188912857</v>
      </c>
      <c r="R734" s="24">
        <f t="shared" si="437"/>
        <v>150491426</v>
      </c>
      <c r="S734" s="27">
        <f t="shared" si="437"/>
        <v>339404283</v>
      </c>
      <c r="T734" s="27">
        <f t="shared" si="437"/>
        <v>131895526</v>
      </c>
      <c r="U734" s="27">
        <f t="shared" si="437"/>
        <v>254097305</v>
      </c>
      <c r="V734" s="27">
        <f t="shared" si="437"/>
        <v>725397114</v>
      </c>
      <c r="W734" s="27">
        <f t="shared" si="437"/>
        <v>321394077.5</v>
      </c>
      <c r="X734" s="27">
        <f t="shared" si="437"/>
        <v>1248932470.5</v>
      </c>
      <c r="Y734" s="47"/>
      <c r="Z734" s="47"/>
      <c r="AM734" s="185" t="e">
        <f>VLOOKUP(CLEAN(H734),#REF!,7,FALSE)</f>
        <v>#REF!</v>
      </c>
      <c r="AO734"/>
      <c r="AP734"/>
      <c r="AQ734"/>
      <c r="AR734" s="2" t="e">
        <f>VLOOKUP(CLEAN(H734),#REF!,2,FALSE)</f>
        <v>#REF!</v>
      </c>
      <c r="AZ734" s="2" t="e">
        <f>VLOOKUP(H734,#REF!,2,FALSE)</f>
        <v>#REF!</v>
      </c>
      <c r="BO734" s="2" t="e">
        <f>VLOOKUP(H734,#REF!,13,FALSE)</f>
        <v>#REF!</v>
      </c>
      <c r="BQ734" s="2" t="e">
        <f>VLOOKUP(H734,#REF!,13,FALSE)</f>
        <v>#REF!</v>
      </c>
    </row>
    <row r="735" spans="1:70" ht="15" customHeight="1" outlineLevel="2">
      <c r="A735" s="7"/>
      <c r="B735" s="7"/>
      <c r="C735" s="7"/>
      <c r="D735" s="7"/>
      <c r="E735" s="7"/>
      <c r="F735" s="7"/>
      <c r="G735" s="7"/>
      <c r="H735" s="11"/>
      <c r="I735" s="11"/>
      <c r="J735" s="11"/>
      <c r="K735" s="11"/>
      <c r="L735" s="292"/>
      <c r="M735" s="22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47"/>
      <c r="Z735" s="47"/>
      <c r="AM735" s="185" t="e">
        <f>VLOOKUP(CLEAN(H735),#REF!,7,FALSE)</f>
        <v>#REF!</v>
      </c>
      <c r="AO735"/>
      <c r="AP735"/>
      <c r="AQ735"/>
      <c r="AR735" s="2" t="e">
        <f>VLOOKUP(CLEAN(H735),#REF!,2,FALSE)</f>
        <v>#REF!</v>
      </c>
      <c r="AZ735" s="2" t="e">
        <f>VLOOKUP(H735,#REF!,2,FALSE)</f>
        <v>#REF!</v>
      </c>
      <c r="BO735" s="2" t="e">
        <f>VLOOKUP(H735,#REF!,13,FALSE)</f>
        <v>#REF!</v>
      </c>
      <c r="BP735" s="293"/>
      <c r="BQ735" s="2" t="e">
        <f>VLOOKUP(H735,#REF!,13,FALSE)</f>
        <v>#REF!</v>
      </c>
    </row>
    <row r="736" spans="1:70" ht="15" customHeight="1" outlineLevel="2">
      <c r="A736" s="7"/>
      <c r="B736" s="7"/>
      <c r="C736" s="7"/>
      <c r="D736" s="7"/>
      <c r="E736" s="7"/>
      <c r="F736" s="7"/>
      <c r="G736" s="7"/>
      <c r="H736" s="11"/>
      <c r="I736" s="11"/>
      <c r="J736" s="11"/>
      <c r="K736" s="11"/>
      <c r="L736" s="18" t="s">
        <v>697</v>
      </c>
      <c r="M736" s="22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47"/>
      <c r="Z736" s="47"/>
      <c r="AO736"/>
      <c r="AP736"/>
      <c r="AQ736"/>
      <c r="AR736" s="2"/>
      <c r="AZ736" s="2"/>
      <c r="BO736" s="2"/>
      <c r="BP736" s="293"/>
      <c r="BQ736" s="2"/>
    </row>
    <row r="737" spans="1:70" s="2" customFormat="1" ht="15" customHeight="1" outlineLevel="2">
      <c r="A737" s="5">
        <v>24</v>
      </c>
      <c r="B737" s="5" t="s">
        <v>11</v>
      </c>
      <c r="C737" s="5" t="s">
        <v>576</v>
      </c>
      <c r="D737" s="5" t="s">
        <v>30</v>
      </c>
      <c r="E737" s="5" t="s">
        <v>41</v>
      </c>
      <c r="F737" s="5" t="s">
        <v>75</v>
      </c>
      <c r="G737" s="5" t="s">
        <v>144</v>
      </c>
      <c r="H737" s="12">
        <v>30130819</v>
      </c>
      <c r="I737" s="42" t="str">
        <f t="shared" ref="I737:I738" si="438">CONCATENATE(H737,"-",G737)</f>
        <v>30130819-EJECUCION</v>
      </c>
      <c r="J737" s="12"/>
      <c r="K737" s="307"/>
      <c r="L737" s="15" t="s">
        <v>1007</v>
      </c>
      <c r="M737" s="23">
        <v>57409717</v>
      </c>
      <c r="N737" s="34">
        <v>0</v>
      </c>
      <c r="O737" s="34">
        <v>57409717</v>
      </c>
      <c r="P737" s="310"/>
      <c r="Q737" s="34"/>
      <c r="R737" s="308"/>
      <c r="S737" s="34">
        <f t="shared" ref="S737:S738" si="439">P737+Q737+R737</f>
        <v>0</v>
      </c>
      <c r="T737" s="34">
        <v>0</v>
      </c>
      <c r="U737" s="34">
        <v>57409717</v>
      </c>
      <c r="V737" s="34">
        <f>P737+Q737+R737+T737+U737</f>
        <v>57409717</v>
      </c>
      <c r="W737" s="34">
        <f>O737-V737</f>
        <v>0</v>
      </c>
      <c r="X737" s="34">
        <f>M737-(N737+O737)</f>
        <v>0</v>
      </c>
      <c r="Y737" s="48" t="s">
        <v>239</v>
      </c>
      <c r="Z737" s="48" t="s">
        <v>256</v>
      </c>
      <c r="BF737" s="189"/>
    </row>
    <row r="738" spans="1:70" s="2" customFormat="1" ht="15" customHeight="1" outlineLevel="2">
      <c r="A738" s="5">
        <v>24</v>
      </c>
      <c r="B738" s="5" t="s">
        <v>11</v>
      </c>
      <c r="C738" s="5" t="s">
        <v>576</v>
      </c>
      <c r="D738" s="5" t="s">
        <v>30</v>
      </c>
      <c r="E738" s="5" t="s">
        <v>41</v>
      </c>
      <c r="F738" s="5" t="s">
        <v>75</v>
      </c>
      <c r="G738" s="5" t="s">
        <v>144</v>
      </c>
      <c r="H738" s="12">
        <v>30130822</v>
      </c>
      <c r="I738" s="42" t="str">
        <f t="shared" si="438"/>
        <v>30130822-EJECUCION</v>
      </c>
      <c r="J738" s="14"/>
      <c r="K738" s="14"/>
      <c r="L738" s="15" t="s">
        <v>1008</v>
      </c>
      <c r="M738" s="23">
        <v>19668855</v>
      </c>
      <c r="N738" s="34">
        <v>0</v>
      </c>
      <c r="O738" s="34">
        <v>19668855</v>
      </c>
      <c r="P738" s="310"/>
      <c r="Q738" s="34"/>
      <c r="R738" s="308"/>
      <c r="S738" s="34">
        <f t="shared" si="439"/>
        <v>0</v>
      </c>
      <c r="T738" s="34">
        <v>0</v>
      </c>
      <c r="U738" s="23">
        <v>19668855</v>
      </c>
      <c r="V738" s="34">
        <f>P738+Q738+R738+T738+U738</f>
        <v>19668855</v>
      </c>
      <c r="W738" s="34">
        <f>O738-V738</f>
        <v>0</v>
      </c>
      <c r="X738" s="34">
        <f>M738-(N738+O738)</f>
        <v>0</v>
      </c>
      <c r="Y738" s="48" t="s">
        <v>239</v>
      </c>
      <c r="Z738" s="48" t="s">
        <v>12</v>
      </c>
      <c r="BF738" s="189"/>
    </row>
    <row r="739" spans="1:70" ht="15" customHeight="1" outlineLevel="2">
      <c r="A739" s="7"/>
      <c r="B739" s="7"/>
      <c r="C739" s="7"/>
      <c r="D739" s="7"/>
      <c r="E739" s="7"/>
      <c r="F739" s="7"/>
      <c r="G739" s="7"/>
      <c r="H739" s="11"/>
      <c r="I739" s="11"/>
      <c r="J739" s="11"/>
      <c r="K739" s="11"/>
      <c r="L739" s="17" t="s">
        <v>694</v>
      </c>
      <c r="M739" s="27">
        <f>SUBTOTAL(9,M737:M738)</f>
        <v>77078572</v>
      </c>
      <c r="N739" s="27">
        <f t="shared" ref="N739:X739" si="440">SUBTOTAL(9,N737:N738)</f>
        <v>0</v>
      </c>
      <c r="O739" s="27">
        <f t="shared" si="440"/>
        <v>77078572</v>
      </c>
      <c r="P739" s="24">
        <f t="shared" si="440"/>
        <v>0</v>
      </c>
      <c r="Q739" s="24">
        <f t="shared" si="440"/>
        <v>0</v>
      </c>
      <c r="R739" s="24">
        <f t="shared" si="440"/>
        <v>0</v>
      </c>
      <c r="S739" s="27">
        <f t="shared" si="440"/>
        <v>0</v>
      </c>
      <c r="T739" s="27">
        <f t="shared" si="440"/>
        <v>0</v>
      </c>
      <c r="U739" s="27">
        <f t="shared" si="440"/>
        <v>77078572</v>
      </c>
      <c r="V739" s="27">
        <f t="shared" si="440"/>
        <v>77078572</v>
      </c>
      <c r="W739" s="27">
        <f t="shared" si="440"/>
        <v>0</v>
      </c>
      <c r="X739" s="27">
        <f t="shared" si="440"/>
        <v>0</v>
      </c>
      <c r="Y739" s="47"/>
      <c r="Z739" s="47"/>
      <c r="AO739"/>
      <c r="AP739"/>
      <c r="AQ739"/>
      <c r="AR739" s="2"/>
      <c r="AZ739" s="2"/>
      <c r="BO739" s="2"/>
      <c r="BP739" s="293"/>
      <c r="BQ739" s="2"/>
    </row>
    <row r="740" spans="1:70" ht="15" customHeight="1" outlineLevel="2">
      <c r="A740" s="7"/>
      <c r="B740" s="7"/>
      <c r="C740" s="7"/>
      <c r="D740" s="7"/>
      <c r="E740" s="7"/>
      <c r="F740" s="7"/>
      <c r="G740" s="7"/>
      <c r="H740" s="11"/>
      <c r="I740" s="11"/>
      <c r="J740" s="11"/>
      <c r="K740" s="11"/>
      <c r="L740" s="292"/>
      <c r="M740" s="22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47"/>
      <c r="Z740" s="47"/>
      <c r="AO740"/>
      <c r="AP740"/>
      <c r="AQ740"/>
      <c r="AR740" s="2"/>
      <c r="AZ740" s="2"/>
      <c r="BO740" s="2"/>
      <c r="BP740" s="293"/>
      <c r="BQ740" s="2"/>
    </row>
    <row r="741" spans="1:70" ht="15" customHeight="1" outlineLevel="2">
      <c r="A741" s="7"/>
      <c r="B741" s="7"/>
      <c r="C741" s="7"/>
      <c r="D741" s="7"/>
      <c r="E741" s="7"/>
      <c r="F741" s="7"/>
      <c r="G741" s="7"/>
      <c r="H741" s="11"/>
      <c r="I741" s="11"/>
      <c r="J741" s="11"/>
      <c r="K741" s="11"/>
      <c r="L741" s="18" t="s">
        <v>701</v>
      </c>
      <c r="M741" s="22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47"/>
      <c r="Z741" s="47"/>
      <c r="AM741" s="185" t="e">
        <f>VLOOKUP(CLEAN(H741),#REF!,7,FALSE)</f>
        <v>#REF!</v>
      </c>
      <c r="AO741"/>
      <c r="AP741"/>
      <c r="AQ741"/>
      <c r="AR741" s="2" t="e">
        <f>VLOOKUP(CLEAN(H741),#REF!,2,FALSE)</f>
        <v>#REF!</v>
      </c>
      <c r="AZ741" s="2" t="e">
        <f>VLOOKUP(H741,#REF!,2,FALSE)</f>
        <v>#REF!</v>
      </c>
      <c r="BO741" s="2" t="e">
        <f>VLOOKUP(H741,#REF!,13,FALSE)</f>
        <v>#REF!</v>
      </c>
      <c r="BQ741" s="2" t="e">
        <f>VLOOKUP(H741,#REF!,13,FALSE)</f>
        <v>#REF!</v>
      </c>
    </row>
    <row r="742" spans="1:70" s="2" customFormat="1" ht="15" customHeight="1" outlineLevel="2">
      <c r="A742" s="5">
        <v>29</v>
      </c>
      <c r="B742" s="5" t="s">
        <v>11</v>
      </c>
      <c r="C742" s="5" t="s">
        <v>241</v>
      </c>
      <c r="D742" s="5" t="s">
        <v>30</v>
      </c>
      <c r="E742" s="5" t="s">
        <v>41</v>
      </c>
      <c r="F742" s="5" t="s">
        <v>457</v>
      </c>
      <c r="G742" s="5" t="s">
        <v>144</v>
      </c>
      <c r="H742" s="12">
        <v>30484729</v>
      </c>
      <c r="I742" s="311" t="str">
        <f t="shared" ref="I742:I743" si="441">CONCATENATE(H742,"-",G742)</f>
        <v>30484729-EJECUCION</v>
      </c>
      <c r="J742" s="190"/>
      <c r="K742" s="309" t="str">
        <f t="shared" ref="K742:K743" si="442">CLEAN(H742)</f>
        <v>30484729</v>
      </c>
      <c r="L742" s="15" t="s">
        <v>765</v>
      </c>
      <c r="M742" s="23">
        <v>135018000</v>
      </c>
      <c r="N742" s="34">
        <v>0</v>
      </c>
      <c r="O742" s="34">
        <v>135018000</v>
      </c>
      <c r="P742" s="310">
        <v>0</v>
      </c>
      <c r="Q742" s="34">
        <v>0</v>
      </c>
      <c r="R742" s="308">
        <v>0</v>
      </c>
      <c r="S742" s="34">
        <f t="shared" ref="S742:S743" si="443">P742+Q742+R742</f>
        <v>0</v>
      </c>
      <c r="T742" s="34">
        <v>0</v>
      </c>
      <c r="U742" s="34">
        <v>0</v>
      </c>
      <c r="V742" s="34">
        <f>P742+Q742+R742+T742+U742</f>
        <v>0</v>
      </c>
      <c r="W742" s="34">
        <f>O742-V742</f>
        <v>135018000</v>
      </c>
      <c r="X742" s="34">
        <f>M742-(N742+O742)</f>
        <v>0</v>
      </c>
      <c r="Y742" s="48" t="s">
        <v>460</v>
      </c>
      <c r="Z742" s="48" t="s">
        <v>10</v>
      </c>
      <c r="AA742" s="2" t="e">
        <v>#N/A</v>
      </c>
      <c r="AB742" s="2" t="e">
        <f>VLOOKUP(H742,#REF!,2,FALSE)</f>
        <v>#REF!</v>
      </c>
      <c r="AC742" s="2" t="e">
        <f>VLOOKUP(I742,#REF!,2,FALSE)</f>
        <v>#REF!</v>
      </c>
      <c r="AD742" s="2" t="e">
        <f>VLOOKUP(H742,#REF!,13,FALSE)</f>
        <v>#REF!</v>
      </c>
      <c r="AE742" s="2" t="e">
        <f>VLOOKUP(I742,#REF!,7,FALSE)</f>
        <v>#REF!</v>
      </c>
      <c r="AG742" s="2" t="e">
        <f>VLOOKUP(H742,#REF!,13,FALSE)</f>
        <v>#REF!</v>
      </c>
      <c r="AH742" s="2" t="e">
        <f>VLOOKUP(I742,#REF!,2,FALSE)</f>
        <v>#REF!</v>
      </c>
      <c r="AJ742" s="185" t="e">
        <f>VLOOKUP(H742,#REF!,3,FALSE)</f>
        <v>#REF!</v>
      </c>
      <c r="AK742" s="185"/>
      <c r="AL742" s="185" t="e">
        <f>VLOOKUP(H742,#REF!,13,FALSE)</f>
        <v>#REF!</v>
      </c>
      <c r="AM742" s="185" t="e">
        <f>VLOOKUP(CLEAN(H742),#REF!,7,FALSE)</f>
        <v>#REF!</v>
      </c>
      <c r="AN742" s="2" t="e">
        <f>VLOOKUP(H742,#REF!,8,FALSE)</f>
        <v>#REF!</v>
      </c>
      <c r="AO742" s="189" t="e">
        <f>VLOOKUP(H742,#REF!,2,FALSE)</f>
        <v>#REF!</v>
      </c>
      <c r="AP742" s="189" t="e">
        <f>VLOOKUP(H742,#REF!,2,FALSE)</f>
        <v>#REF!</v>
      </c>
      <c r="AQ742" s="189"/>
      <c r="AR742" s="2" t="e">
        <f>VLOOKUP(CLEAN(H742),#REF!,2,FALSE)</f>
        <v>#REF!</v>
      </c>
      <c r="AT742" s="2" t="e">
        <f>VLOOKUP(H742,#REF!,13,FALSE)</f>
        <v>#REF!</v>
      </c>
      <c r="AU742" s="2" t="e">
        <f>VLOOKUP(H742,#REF!,13,FALSE)</f>
        <v>#REF!</v>
      </c>
      <c r="AV742" s="2" t="e">
        <f>VLOOKUP(H742,#REF!,13,FALSE)</f>
        <v>#REF!</v>
      </c>
      <c r="AW742" s="2" t="e">
        <f>VLOOKUP(H742,#REF!,13,FALSE)</f>
        <v>#REF!</v>
      </c>
      <c r="AX742" s="2" t="e">
        <f>VLOOKUP(H742,#REF!,9,FALSE)</f>
        <v>#REF!</v>
      </c>
      <c r="AY742" s="2" t="e">
        <f>VLOOKUP(H742,#REF!,2,FALSE)</f>
        <v>#REF!</v>
      </c>
      <c r="AZ742" s="189" t="e">
        <f>VLOOKUP(H742,#REF!,2,FALSE)</f>
        <v>#REF!</v>
      </c>
      <c r="BF742" s="189" t="e">
        <f>VLOOKUP(CLEAN(H742),#REF!,2,FALSE)</f>
        <v>#REF!</v>
      </c>
      <c r="BG742" s="189" t="e">
        <f>T742-BF742</f>
        <v>#REF!</v>
      </c>
      <c r="BO742" s="2" t="e">
        <f>VLOOKUP(H742,#REF!,13,FALSE)</f>
        <v>#REF!</v>
      </c>
      <c r="BP742" s="2" t="e">
        <f>VLOOKUP(H742,#REF!,2,FALSE)</f>
        <v>#REF!</v>
      </c>
      <c r="BQ742" s="2" t="e">
        <f>VLOOKUP(H742,#REF!,13,FALSE)</f>
        <v>#REF!</v>
      </c>
      <c r="BR742" s="2" t="e">
        <f>VLOOKUP(H742,#REF!,3,FALSE)</f>
        <v>#REF!</v>
      </c>
    </row>
    <row r="743" spans="1:70" s="2" customFormat="1" ht="15" customHeight="1" outlineLevel="2">
      <c r="A743" s="5">
        <v>29</v>
      </c>
      <c r="B743" s="5" t="s">
        <v>11</v>
      </c>
      <c r="C743" s="5" t="s">
        <v>251</v>
      </c>
      <c r="D743" s="5" t="s">
        <v>30</v>
      </c>
      <c r="E743" s="5" t="s">
        <v>41</v>
      </c>
      <c r="F743" s="5" t="s">
        <v>457</v>
      </c>
      <c r="G743" s="5" t="s">
        <v>144</v>
      </c>
      <c r="H743" s="12">
        <v>30484726</v>
      </c>
      <c r="I743" s="42" t="str">
        <f t="shared" si="441"/>
        <v>30484726-EJECUCION</v>
      </c>
      <c r="J743" s="12"/>
      <c r="K743" s="307" t="str">
        <f t="shared" si="442"/>
        <v>30484726</v>
      </c>
      <c r="L743" s="15" t="s">
        <v>766</v>
      </c>
      <c r="M743" s="23">
        <v>111432000</v>
      </c>
      <c r="N743" s="34">
        <v>0</v>
      </c>
      <c r="O743" s="34">
        <f>30000000-5971126-11895526</f>
        <v>12133348</v>
      </c>
      <c r="P743" s="310">
        <v>0</v>
      </c>
      <c r="Q743" s="34">
        <v>0</v>
      </c>
      <c r="R743" s="308">
        <v>0</v>
      </c>
      <c r="S743" s="34">
        <f t="shared" si="443"/>
        <v>0</v>
      </c>
      <c r="T743" s="34">
        <v>0</v>
      </c>
      <c r="U743" s="34">
        <v>0</v>
      </c>
      <c r="V743" s="34">
        <f>P743+Q743+R743+T743+U743</f>
        <v>0</v>
      </c>
      <c r="W743" s="34">
        <f>O743-V743</f>
        <v>12133348</v>
      </c>
      <c r="X743" s="34">
        <f>M743-(N743+O743)</f>
        <v>99298652</v>
      </c>
      <c r="Y743" s="48" t="s">
        <v>243</v>
      </c>
      <c r="Z743" s="48" t="s">
        <v>10</v>
      </c>
      <c r="AA743" s="2" t="e">
        <v>#N/A</v>
      </c>
      <c r="AB743" s="2" t="e">
        <f>VLOOKUP(H743,#REF!,2,FALSE)</f>
        <v>#REF!</v>
      </c>
      <c r="AC743" s="2" t="e">
        <f>VLOOKUP(I743,#REF!,2,FALSE)</f>
        <v>#REF!</v>
      </c>
      <c r="AD743" s="2" t="e">
        <f>VLOOKUP(H743,#REF!,13,FALSE)</f>
        <v>#REF!</v>
      </c>
      <c r="AE743" s="2" t="e">
        <f>VLOOKUP(I743,#REF!,7,FALSE)</f>
        <v>#REF!</v>
      </c>
      <c r="AG743" s="2" t="e">
        <f>VLOOKUP(H743,#REF!,13,FALSE)</f>
        <v>#REF!</v>
      </c>
      <c r="AH743" s="2" t="e">
        <f>VLOOKUP(I743,#REF!,2,FALSE)</f>
        <v>#REF!</v>
      </c>
      <c r="AJ743" s="185" t="e">
        <f>VLOOKUP(H743,#REF!,3,FALSE)</f>
        <v>#REF!</v>
      </c>
      <c r="AK743" s="185"/>
      <c r="AL743" s="185" t="e">
        <f>VLOOKUP(H743,#REF!,13,FALSE)</f>
        <v>#REF!</v>
      </c>
      <c r="AM743" s="185" t="e">
        <f>VLOOKUP(CLEAN(H743),#REF!,7,FALSE)</f>
        <v>#REF!</v>
      </c>
      <c r="AN743" s="2" t="e">
        <f>VLOOKUP(H743,#REF!,8,FALSE)</f>
        <v>#REF!</v>
      </c>
      <c r="AO743" s="189" t="e">
        <f>VLOOKUP(H743,#REF!,2,FALSE)</f>
        <v>#REF!</v>
      </c>
      <c r="AP743" s="189" t="e">
        <f>VLOOKUP(H743,#REF!,2,FALSE)</f>
        <v>#REF!</v>
      </c>
      <c r="AQ743" s="189"/>
      <c r="AR743" s="2" t="e">
        <f>VLOOKUP(CLEAN(H743),#REF!,2,FALSE)</f>
        <v>#REF!</v>
      </c>
      <c r="AT743" s="2" t="e">
        <f>VLOOKUP(H743,#REF!,13,FALSE)</f>
        <v>#REF!</v>
      </c>
      <c r="AU743" s="2" t="e">
        <f>VLOOKUP(H743,#REF!,13,FALSE)</f>
        <v>#REF!</v>
      </c>
      <c r="AV743" s="2" t="e">
        <f>VLOOKUP(H743,#REF!,13,FALSE)</f>
        <v>#REF!</v>
      </c>
      <c r="AW743" s="2" t="e">
        <f>VLOOKUP(H743,#REF!,13,FALSE)</f>
        <v>#REF!</v>
      </c>
      <c r="AX743" s="2" t="e">
        <f>VLOOKUP(H743,#REF!,9,FALSE)</f>
        <v>#REF!</v>
      </c>
      <c r="AZ743" s="2" t="e">
        <f>VLOOKUP(H743,#REF!,2,FALSE)</f>
        <v>#REF!</v>
      </c>
      <c r="BF743" s="189" t="e">
        <f>VLOOKUP(CLEAN(H743),#REF!,2,FALSE)</f>
        <v>#REF!</v>
      </c>
      <c r="BG743" s="189" t="e">
        <f>T743-BF743</f>
        <v>#REF!</v>
      </c>
      <c r="BO743" s="2" t="e">
        <f>VLOOKUP(H743,#REF!,13,FALSE)</f>
        <v>#REF!</v>
      </c>
      <c r="BP743" s="2" t="e">
        <f>VLOOKUP(H743,#REF!,2,FALSE)</f>
        <v>#REF!</v>
      </c>
      <c r="BQ743" s="2" t="e">
        <f>VLOOKUP(H743,#REF!,13,FALSE)</f>
        <v>#REF!</v>
      </c>
      <c r="BR743" s="2" t="e">
        <f>VLOOKUP(H743,#REF!,3,FALSE)</f>
        <v>#REF!</v>
      </c>
    </row>
    <row r="744" spans="1:70" s="2" customFormat="1" ht="15" customHeight="1" outlineLevel="2">
      <c r="A744" s="7"/>
      <c r="B744" s="7"/>
      <c r="C744" s="7"/>
      <c r="D744" s="7"/>
      <c r="E744" s="7"/>
      <c r="F744" s="7"/>
      <c r="G744" s="7"/>
      <c r="H744" s="11"/>
      <c r="I744" s="14"/>
      <c r="J744" s="14"/>
      <c r="K744" s="14"/>
      <c r="L744" s="17" t="s">
        <v>702</v>
      </c>
      <c r="M744" s="27">
        <f>SUBTOTAL(9,M742:M743)</f>
        <v>246450000</v>
      </c>
      <c r="N744" s="27">
        <f t="shared" ref="N744:O744" si="444">SUBTOTAL(9,N742:N743)</f>
        <v>0</v>
      </c>
      <c r="O744" s="27">
        <f t="shared" si="444"/>
        <v>147151348</v>
      </c>
      <c r="P744" s="24">
        <f t="shared" ref="P744:X744" si="445">SUBTOTAL(9,P742:P743)</f>
        <v>0</v>
      </c>
      <c r="Q744" s="24">
        <f t="shared" si="445"/>
        <v>0</v>
      </c>
      <c r="R744" s="24">
        <f t="shared" si="445"/>
        <v>0</v>
      </c>
      <c r="S744" s="27">
        <f t="shared" si="445"/>
        <v>0</v>
      </c>
      <c r="T744" s="27">
        <f t="shared" si="445"/>
        <v>0</v>
      </c>
      <c r="U744" s="27">
        <f t="shared" si="445"/>
        <v>0</v>
      </c>
      <c r="V744" s="27">
        <f t="shared" si="445"/>
        <v>0</v>
      </c>
      <c r="W744" s="27">
        <f t="shared" si="445"/>
        <v>147151348</v>
      </c>
      <c r="X744" s="27">
        <f t="shared" si="445"/>
        <v>99298652</v>
      </c>
      <c r="Y744" s="50"/>
      <c r="Z744" s="50"/>
      <c r="AJ744" s="185"/>
      <c r="AK744" s="185"/>
      <c r="AL744" s="185"/>
      <c r="AM744" s="185" t="e">
        <f>VLOOKUP(CLEAN(H744),#REF!,7,FALSE)</f>
        <v>#REF!</v>
      </c>
      <c r="AR744" s="2" t="e">
        <f>VLOOKUP(CLEAN(H744),#REF!,2,FALSE)</f>
        <v>#REF!</v>
      </c>
      <c r="AZ744" s="2" t="e">
        <f>VLOOKUP(H744,#REF!,2,FALSE)</f>
        <v>#REF!</v>
      </c>
      <c r="BF744" s="189"/>
      <c r="BO744" s="2" t="e">
        <f>VLOOKUP(H744,#REF!,13,FALSE)</f>
        <v>#REF!</v>
      </c>
      <c r="BQ744" s="2" t="e">
        <f>VLOOKUP(H744,#REF!,13,FALSE)</f>
        <v>#REF!</v>
      </c>
    </row>
    <row r="745" spans="1:70" s="2" customFormat="1" ht="15" customHeight="1" outlineLevel="2">
      <c r="A745" s="7"/>
      <c r="B745" s="7"/>
      <c r="C745" s="7"/>
      <c r="D745" s="7"/>
      <c r="E745" s="7"/>
      <c r="F745" s="7"/>
      <c r="G745" s="7"/>
      <c r="H745" s="11"/>
      <c r="I745" s="14"/>
      <c r="J745" s="14"/>
      <c r="K745" s="14"/>
      <c r="L745" s="294"/>
      <c r="M745" s="22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47"/>
      <c r="Z745" s="47"/>
      <c r="AJ745" s="185"/>
      <c r="AK745" s="185"/>
      <c r="AL745" s="185"/>
      <c r="AM745" s="185" t="e">
        <f>VLOOKUP(CLEAN(H745),#REF!,7,FALSE)</f>
        <v>#REF!</v>
      </c>
      <c r="AR745" s="2" t="e">
        <f>VLOOKUP(CLEAN(H745),#REF!,2,FALSE)</f>
        <v>#REF!</v>
      </c>
      <c r="AZ745" s="2" t="e">
        <f>VLOOKUP(H745,#REF!,2,FALSE)</f>
        <v>#REF!</v>
      </c>
      <c r="BF745" s="189"/>
      <c r="BO745" s="2" t="e">
        <f>VLOOKUP(H745,#REF!,13,FALSE)</f>
        <v>#REF!</v>
      </c>
      <c r="BP745" s="293"/>
      <c r="BQ745" s="2" t="e">
        <f>VLOOKUP(H745,#REF!,13,FALSE)</f>
        <v>#REF!</v>
      </c>
    </row>
    <row r="746" spans="1:70" ht="15" customHeight="1" outlineLevel="2">
      <c r="A746" s="7"/>
      <c r="B746" s="7"/>
      <c r="C746" s="7"/>
      <c r="D746" s="7"/>
      <c r="E746" s="7"/>
      <c r="F746" s="7"/>
      <c r="G746" s="7"/>
      <c r="H746" s="11"/>
      <c r="I746" s="11"/>
      <c r="J746" s="11"/>
      <c r="K746" s="11"/>
      <c r="L746" s="18" t="s">
        <v>696</v>
      </c>
      <c r="M746" s="22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47"/>
      <c r="Z746" s="47"/>
      <c r="AM746" s="185" t="e">
        <f>VLOOKUP(CLEAN(H746),#REF!,7,FALSE)</f>
        <v>#REF!</v>
      </c>
      <c r="AO746"/>
      <c r="AP746"/>
      <c r="AQ746"/>
      <c r="AR746" s="2" t="e">
        <f>VLOOKUP(CLEAN(H746),#REF!,2,FALSE)</f>
        <v>#REF!</v>
      </c>
      <c r="AZ746" s="2" t="e">
        <f>VLOOKUP(H746,#REF!,2,FALSE)</f>
        <v>#REF!</v>
      </c>
      <c r="BO746" s="2" t="e">
        <f>VLOOKUP(H746,#REF!,13,FALSE)</f>
        <v>#REF!</v>
      </c>
      <c r="BQ746" s="2" t="e">
        <f>VLOOKUP(H746,#REF!,13,FALSE)</f>
        <v>#REF!</v>
      </c>
    </row>
    <row r="747" spans="1:70" s="2" customFormat="1" ht="15" customHeight="1" outlineLevel="2">
      <c r="A747" s="5">
        <v>31</v>
      </c>
      <c r="B747" s="5" t="s">
        <v>11</v>
      </c>
      <c r="C747" s="5" t="s">
        <v>238</v>
      </c>
      <c r="D747" s="5" t="s">
        <v>30</v>
      </c>
      <c r="E747" s="5" t="s">
        <v>41</v>
      </c>
      <c r="F747" s="5" t="s">
        <v>457</v>
      </c>
      <c r="G747" s="5" t="s">
        <v>9</v>
      </c>
      <c r="H747" s="12">
        <v>30115881</v>
      </c>
      <c r="I747" s="42" t="str">
        <f t="shared" ref="I747:I749" si="446">CONCATENATE(H747,"-",G747)</f>
        <v>30115881-DISEÑO</v>
      </c>
      <c r="J747" s="12"/>
      <c r="K747" s="307" t="str">
        <f t="shared" ref="K747:K749" si="447">CLEAN(H747)</f>
        <v>30115881</v>
      </c>
      <c r="L747" s="15" t="s">
        <v>378</v>
      </c>
      <c r="M747" s="23">
        <v>53858000</v>
      </c>
      <c r="N747" s="34">
        <v>0</v>
      </c>
      <c r="O747" s="34">
        <v>5000000</v>
      </c>
      <c r="P747" s="310">
        <v>0</v>
      </c>
      <c r="Q747" s="34">
        <v>0</v>
      </c>
      <c r="R747" s="308">
        <v>0</v>
      </c>
      <c r="S747" s="34">
        <f t="shared" ref="S747:S749" si="448">P747+Q747+R747</f>
        <v>0</v>
      </c>
      <c r="T747" s="34">
        <v>0</v>
      </c>
      <c r="U747" s="34">
        <v>0</v>
      </c>
      <c r="V747" s="34">
        <f>P747+Q747+R747+T747+U747</f>
        <v>0</v>
      </c>
      <c r="W747" s="34">
        <f>O747-V747</f>
        <v>5000000</v>
      </c>
      <c r="X747" s="34">
        <f>M747-(N747+O747)</f>
        <v>48858000</v>
      </c>
      <c r="Y747" s="48" t="s">
        <v>246</v>
      </c>
      <c r="Z747" s="48" t="s">
        <v>357</v>
      </c>
      <c r="AA747" s="2" t="e">
        <v>#N/A</v>
      </c>
      <c r="AB747" s="2" t="e">
        <f>VLOOKUP(H747,#REF!,2,FALSE)</f>
        <v>#REF!</v>
      </c>
      <c r="AC747" s="2" t="e">
        <f>VLOOKUP(I747,#REF!,2,FALSE)</f>
        <v>#REF!</v>
      </c>
      <c r="AD747" s="2" t="e">
        <f>VLOOKUP(H747,#REF!,13,FALSE)</f>
        <v>#REF!</v>
      </c>
      <c r="AE747" s="2" t="e">
        <f>VLOOKUP(I747,#REF!,7,FALSE)</f>
        <v>#REF!</v>
      </c>
      <c r="AG747" s="2" t="e">
        <f>VLOOKUP(H747,#REF!,13,FALSE)</f>
        <v>#REF!</v>
      </c>
      <c r="AH747" s="2" t="e">
        <f>VLOOKUP(I747,#REF!,2,FALSE)</f>
        <v>#REF!</v>
      </c>
      <c r="AJ747" s="185" t="e">
        <f>VLOOKUP(H747,#REF!,3,FALSE)</f>
        <v>#REF!</v>
      </c>
      <c r="AK747" s="185"/>
      <c r="AL747" s="185" t="e">
        <f>VLOOKUP(H747,#REF!,13,FALSE)</f>
        <v>#REF!</v>
      </c>
      <c r="AM747" s="185" t="e">
        <f>VLOOKUP(CLEAN(H747),#REF!,7,FALSE)</f>
        <v>#REF!</v>
      </c>
      <c r="AN747" s="2" t="e">
        <f>VLOOKUP(H747,#REF!,8,FALSE)</f>
        <v>#REF!</v>
      </c>
      <c r="AO747" s="189" t="e">
        <f>VLOOKUP(H747,#REF!,2,FALSE)</f>
        <v>#REF!</v>
      </c>
      <c r="AP747" s="189" t="e">
        <f>VLOOKUP(H747,#REF!,2,FALSE)</f>
        <v>#REF!</v>
      </c>
      <c r="AQ747" s="189"/>
      <c r="AR747" s="2" t="e">
        <f>VLOOKUP(CLEAN(H747),#REF!,2,FALSE)</f>
        <v>#REF!</v>
      </c>
      <c r="AT747" s="2" t="e">
        <f>VLOOKUP(H747,#REF!,13,FALSE)</f>
        <v>#REF!</v>
      </c>
      <c r="AU747" s="2" t="e">
        <f>VLOOKUP(H747,#REF!,13,FALSE)</f>
        <v>#REF!</v>
      </c>
      <c r="AV747" s="2" t="e">
        <f>VLOOKUP(H747,#REF!,13,FALSE)</f>
        <v>#REF!</v>
      </c>
      <c r="AW747" s="2" t="e">
        <f>VLOOKUP(H747,#REF!,13,FALSE)</f>
        <v>#REF!</v>
      </c>
      <c r="AX747" s="2" t="e">
        <f>VLOOKUP(H747,#REF!,9,FALSE)</f>
        <v>#REF!</v>
      </c>
      <c r="AZ747" s="189" t="e">
        <f>VLOOKUP(H747,#REF!,2,FALSE)</f>
        <v>#REF!</v>
      </c>
      <c r="BF747" s="189" t="e">
        <f>VLOOKUP(CLEAN(H747),#REF!,2,FALSE)</f>
        <v>#REF!</v>
      </c>
      <c r="BG747" s="189" t="e">
        <f>T747-BF747</f>
        <v>#REF!</v>
      </c>
      <c r="BO747" s="2" t="e">
        <f>VLOOKUP(H747,#REF!,13,FALSE)</f>
        <v>#REF!</v>
      </c>
      <c r="BP747" s="2" t="e">
        <f>VLOOKUP(H747,#REF!,2,FALSE)</f>
        <v>#REF!</v>
      </c>
      <c r="BQ747" s="2" t="e">
        <f>VLOOKUP(H747,#REF!,13,FALSE)</f>
        <v>#REF!</v>
      </c>
      <c r="BR747" s="2" t="e">
        <f>VLOOKUP(H747,#REF!,3,FALSE)</f>
        <v>#REF!</v>
      </c>
    </row>
    <row r="748" spans="1:70" s="2" customFormat="1" ht="15" customHeight="1" outlineLevel="2">
      <c r="A748" s="5">
        <v>31</v>
      </c>
      <c r="B748" s="5" t="s">
        <v>11</v>
      </c>
      <c r="C748" s="5" t="s">
        <v>240</v>
      </c>
      <c r="D748" s="5" t="s">
        <v>30</v>
      </c>
      <c r="E748" s="5" t="s">
        <v>41</v>
      </c>
      <c r="F748" s="5" t="s">
        <v>457</v>
      </c>
      <c r="G748" s="5" t="s">
        <v>9</v>
      </c>
      <c r="H748" s="12">
        <v>30103375</v>
      </c>
      <c r="I748" s="42" t="str">
        <f t="shared" si="446"/>
        <v>30103375-DISEÑO</v>
      </c>
      <c r="J748" s="12" t="s">
        <v>734</v>
      </c>
      <c r="K748" s="307" t="str">
        <f t="shared" si="447"/>
        <v>30103375</v>
      </c>
      <c r="L748" s="15" t="s">
        <v>339</v>
      </c>
      <c r="M748" s="23">
        <v>30001000</v>
      </c>
      <c r="N748" s="34">
        <v>0</v>
      </c>
      <c r="O748" s="34">
        <v>5000000</v>
      </c>
      <c r="P748" s="310">
        <v>0</v>
      </c>
      <c r="Q748" s="34">
        <v>0</v>
      </c>
      <c r="R748" s="308">
        <v>0</v>
      </c>
      <c r="S748" s="34">
        <f t="shared" si="448"/>
        <v>0</v>
      </c>
      <c r="T748" s="34">
        <v>0</v>
      </c>
      <c r="U748" s="34">
        <v>0</v>
      </c>
      <c r="V748" s="34">
        <f>P748+Q748+R748+T748+U748</f>
        <v>0</v>
      </c>
      <c r="W748" s="34">
        <f>O748-V748</f>
        <v>5000000</v>
      </c>
      <c r="X748" s="34">
        <f>M748-(N748+O748)</f>
        <v>25001000</v>
      </c>
      <c r="Y748" s="48" t="s">
        <v>246</v>
      </c>
      <c r="Z748" s="48" t="s">
        <v>357</v>
      </c>
      <c r="AA748" s="2" t="e">
        <v>#N/A</v>
      </c>
      <c r="AB748" s="2" t="e">
        <f>VLOOKUP(H748,#REF!,2,FALSE)</f>
        <v>#REF!</v>
      </c>
      <c r="AC748" s="2" t="e">
        <f>VLOOKUP(I748,#REF!,2,FALSE)</f>
        <v>#REF!</v>
      </c>
      <c r="AD748" s="2" t="e">
        <f>VLOOKUP(H748,#REF!,13,FALSE)</f>
        <v>#REF!</v>
      </c>
      <c r="AE748" s="2" t="e">
        <f>VLOOKUP(I748,#REF!,7,FALSE)</f>
        <v>#REF!</v>
      </c>
      <c r="AG748" s="2" t="e">
        <f>VLOOKUP(H748,#REF!,13,FALSE)</f>
        <v>#REF!</v>
      </c>
      <c r="AH748" s="2" t="e">
        <f>VLOOKUP(I748,#REF!,2,FALSE)</f>
        <v>#REF!</v>
      </c>
      <c r="AJ748" s="185" t="e">
        <f>VLOOKUP(H748,#REF!,3,FALSE)</f>
        <v>#REF!</v>
      </c>
      <c r="AK748" s="185"/>
      <c r="AL748" s="185" t="e">
        <f>VLOOKUP(H748,#REF!,13,FALSE)</f>
        <v>#REF!</v>
      </c>
      <c r="AM748" s="185" t="e">
        <f>VLOOKUP(CLEAN(H748),#REF!,7,FALSE)</f>
        <v>#REF!</v>
      </c>
      <c r="AN748" s="2" t="e">
        <f>VLOOKUP(H748,#REF!,8,FALSE)</f>
        <v>#REF!</v>
      </c>
      <c r="AO748" s="189" t="e">
        <f>VLOOKUP(H748,#REF!,2,FALSE)</f>
        <v>#REF!</v>
      </c>
      <c r="AP748" s="189" t="e">
        <f>VLOOKUP(H748,#REF!,2,FALSE)</f>
        <v>#REF!</v>
      </c>
      <c r="AQ748" s="189"/>
      <c r="AR748" s="2" t="e">
        <f>VLOOKUP(CLEAN(H748),#REF!,2,FALSE)</f>
        <v>#REF!</v>
      </c>
      <c r="AT748" s="2" t="e">
        <f>VLOOKUP(H748,#REF!,13,FALSE)</f>
        <v>#REF!</v>
      </c>
      <c r="AU748" s="2" t="e">
        <f>VLOOKUP(H748,#REF!,13,FALSE)</f>
        <v>#REF!</v>
      </c>
      <c r="AV748" s="2" t="e">
        <f>VLOOKUP(H748,#REF!,13,FALSE)</f>
        <v>#REF!</v>
      </c>
      <c r="AW748" s="2" t="e">
        <f>VLOOKUP(H748,#REF!,13,FALSE)</f>
        <v>#REF!</v>
      </c>
      <c r="AX748" s="2" t="e">
        <f>VLOOKUP(H748,#REF!,9,FALSE)</f>
        <v>#REF!</v>
      </c>
      <c r="AZ748" s="2" t="e">
        <f>VLOOKUP(H748,#REF!,2,FALSE)</f>
        <v>#REF!</v>
      </c>
      <c r="BF748" s="189" t="e">
        <f>VLOOKUP(CLEAN(H748),#REF!,2,FALSE)</f>
        <v>#REF!</v>
      </c>
      <c r="BG748" s="189" t="e">
        <f>T748-BF748</f>
        <v>#REF!</v>
      </c>
      <c r="BO748" s="2" t="e">
        <f>VLOOKUP(H748,#REF!,13,FALSE)</f>
        <v>#REF!</v>
      </c>
      <c r="BP748" s="2" t="e">
        <f>VLOOKUP(H748,#REF!,2,FALSE)</f>
        <v>#REF!</v>
      </c>
      <c r="BQ748" s="2" t="e">
        <f>VLOOKUP(H748,#REF!,13,FALSE)</f>
        <v>#REF!</v>
      </c>
      <c r="BR748" s="2" t="e">
        <f>VLOOKUP(H748,#REF!,3,FALSE)</f>
        <v>#REF!</v>
      </c>
    </row>
    <row r="749" spans="1:70" s="2" customFormat="1" ht="15" customHeight="1" outlineLevel="2">
      <c r="A749" s="5">
        <v>31</v>
      </c>
      <c r="B749" s="5" t="s">
        <v>11</v>
      </c>
      <c r="C749" s="5" t="s">
        <v>253</v>
      </c>
      <c r="D749" s="5" t="s">
        <v>30</v>
      </c>
      <c r="E749" s="5" t="s">
        <v>41</v>
      </c>
      <c r="F749" s="5" t="s">
        <v>457</v>
      </c>
      <c r="G749" s="5" t="s">
        <v>9</v>
      </c>
      <c r="H749" s="12">
        <v>40001639</v>
      </c>
      <c r="I749" s="42" t="str">
        <f t="shared" si="446"/>
        <v>40001639-DISEÑO</v>
      </c>
      <c r="J749" s="12"/>
      <c r="K749" s="307" t="str">
        <f t="shared" si="447"/>
        <v>40001639</v>
      </c>
      <c r="L749" s="15" t="s">
        <v>501</v>
      </c>
      <c r="M749" s="23">
        <v>80000000</v>
      </c>
      <c r="N749" s="34">
        <v>0</v>
      </c>
      <c r="O749" s="34">
        <v>8000000</v>
      </c>
      <c r="P749" s="310">
        <v>0</v>
      </c>
      <c r="Q749" s="34">
        <v>0</v>
      </c>
      <c r="R749" s="308">
        <v>0</v>
      </c>
      <c r="S749" s="34">
        <f t="shared" si="448"/>
        <v>0</v>
      </c>
      <c r="T749" s="34">
        <v>0</v>
      </c>
      <c r="U749" s="34">
        <v>0</v>
      </c>
      <c r="V749" s="34">
        <f>P749+Q749+R749+T749+U749</f>
        <v>0</v>
      </c>
      <c r="W749" s="34">
        <f>O749-V749</f>
        <v>8000000</v>
      </c>
      <c r="X749" s="34">
        <f>M749-(N749+O749)</f>
        <v>72000000</v>
      </c>
      <c r="Y749" s="48" t="s">
        <v>382</v>
      </c>
      <c r="Z749" s="48" t="s">
        <v>357</v>
      </c>
      <c r="AA749" s="2" t="e">
        <v>#N/A</v>
      </c>
      <c r="AB749" s="2" t="e">
        <f>VLOOKUP(H749,#REF!,2,FALSE)</f>
        <v>#REF!</v>
      </c>
      <c r="AC749" s="2" t="e">
        <f>VLOOKUP(I749,#REF!,2,FALSE)</f>
        <v>#REF!</v>
      </c>
      <c r="AD749" s="2" t="e">
        <f>VLOOKUP(H749,#REF!,13,FALSE)</f>
        <v>#REF!</v>
      </c>
      <c r="AE749" s="2" t="e">
        <f>VLOOKUP(I749,#REF!,7,FALSE)</f>
        <v>#REF!</v>
      </c>
      <c r="AG749" s="2" t="e">
        <f>VLOOKUP(H749,#REF!,13,FALSE)</f>
        <v>#REF!</v>
      </c>
      <c r="AH749" s="2" t="e">
        <f>VLOOKUP(I749,#REF!,2,FALSE)</f>
        <v>#REF!</v>
      </c>
      <c r="AJ749" s="185" t="e">
        <f>VLOOKUP(H749,#REF!,3,FALSE)</f>
        <v>#REF!</v>
      </c>
      <c r="AK749" s="185"/>
      <c r="AL749" s="185" t="e">
        <f>VLOOKUP(H749,#REF!,13,FALSE)</f>
        <v>#REF!</v>
      </c>
      <c r="AM749" s="185" t="e">
        <f>VLOOKUP(CLEAN(H749),#REF!,7,FALSE)</f>
        <v>#REF!</v>
      </c>
      <c r="AN749" s="2" t="e">
        <f>VLOOKUP(H749,#REF!,8,FALSE)</f>
        <v>#REF!</v>
      </c>
      <c r="AO749" s="189" t="e">
        <f>VLOOKUP(H749,#REF!,2,FALSE)</f>
        <v>#REF!</v>
      </c>
      <c r="AP749" s="189" t="e">
        <f>VLOOKUP(H749,#REF!,2,FALSE)</f>
        <v>#REF!</v>
      </c>
      <c r="AQ749" s="189"/>
      <c r="AR749" s="2" t="e">
        <f>VLOOKUP(CLEAN(H749),#REF!,2,FALSE)</f>
        <v>#REF!</v>
      </c>
      <c r="AT749" s="2" t="e">
        <f>VLOOKUP(H749,#REF!,13,FALSE)</f>
        <v>#REF!</v>
      </c>
      <c r="AU749" s="2" t="e">
        <f>VLOOKUP(H749,#REF!,13,FALSE)</f>
        <v>#REF!</v>
      </c>
      <c r="AV749" s="2" t="e">
        <f>VLOOKUP(H749,#REF!,13,FALSE)</f>
        <v>#REF!</v>
      </c>
      <c r="AW749" s="2" t="e">
        <f>VLOOKUP(H749,#REF!,13,FALSE)</f>
        <v>#REF!</v>
      </c>
      <c r="AX749" s="2" t="e">
        <f>VLOOKUP(H749,#REF!,9,FALSE)</f>
        <v>#REF!</v>
      </c>
      <c r="AZ749" s="2" t="e">
        <f>VLOOKUP(H749,#REF!,2,FALSE)</f>
        <v>#REF!</v>
      </c>
      <c r="BF749" s="189" t="e">
        <f>VLOOKUP(CLEAN(H749),#REF!,2,FALSE)</f>
        <v>#REF!</v>
      </c>
      <c r="BG749" s="189" t="e">
        <f>T749-BF749</f>
        <v>#REF!</v>
      </c>
      <c r="BO749" s="2" t="e">
        <f>VLOOKUP(H749,#REF!,13,FALSE)</f>
        <v>#REF!</v>
      </c>
      <c r="BP749" s="2" t="e">
        <f>VLOOKUP(H749,#REF!,2,FALSE)</f>
        <v>#REF!</v>
      </c>
      <c r="BQ749" s="2" t="e">
        <f>VLOOKUP(H749,#REF!,13,FALSE)</f>
        <v>#REF!</v>
      </c>
      <c r="BR749" s="2" t="e">
        <f>VLOOKUP(H749,#REF!,3,FALSE)</f>
        <v>#REF!</v>
      </c>
    </row>
    <row r="750" spans="1:70" ht="15" customHeight="1" outlineLevel="2">
      <c r="A750" s="7"/>
      <c r="B750" s="7"/>
      <c r="C750" s="7"/>
      <c r="D750" s="7"/>
      <c r="E750" s="7"/>
      <c r="F750" s="7"/>
      <c r="G750" s="7"/>
      <c r="H750" s="11"/>
      <c r="I750" s="11"/>
      <c r="J750" s="11"/>
      <c r="K750" s="11"/>
      <c r="L750" s="17" t="s">
        <v>693</v>
      </c>
      <c r="M750" s="27">
        <f>SUBTOTAL(9,M747:M749)</f>
        <v>163859000</v>
      </c>
      <c r="N750" s="27">
        <f t="shared" ref="N750:O750" si="449">SUBTOTAL(9,N747:N749)</f>
        <v>0</v>
      </c>
      <c r="O750" s="27">
        <f t="shared" si="449"/>
        <v>18000000</v>
      </c>
      <c r="P750" s="24">
        <f t="shared" ref="P750:X750" si="450">SUBTOTAL(9,P747:P749)</f>
        <v>0</v>
      </c>
      <c r="Q750" s="24">
        <f t="shared" si="450"/>
        <v>0</v>
      </c>
      <c r="R750" s="24">
        <f t="shared" si="450"/>
        <v>0</v>
      </c>
      <c r="S750" s="27">
        <f t="shared" si="450"/>
        <v>0</v>
      </c>
      <c r="T750" s="27">
        <f t="shared" si="450"/>
        <v>0</v>
      </c>
      <c r="U750" s="27">
        <f t="shared" si="450"/>
        <v>0</v>
      </c>
      <c r="V750" s="27">
        <f t="shared" si="450"/>
        <v>0</v>
      </c>
      <c r="W750" s="27">
        <f t="shared" si="450"/>
        <v>18000000</v>
      </c>
      <c r="X750" s="27">
        <f t="shared" si="450"/>
        <v>145859000</v>
      </c>
      <c r="Y750" s="47"/>
      <c r="Z750" s="47"/>
      <c r="AM750" s="185" t="e">
        <f>VLOOKUP(CLEAN(H750),#REF!,7,FALSE)</f>
        <v>#REF!</v>
      </c>
      <c r="AO750"/>
      <c r="AP750"/>
      <c r="AQ750"/>
      <c r="AR750" s="2" t="e">
        <f>VLOOKUP(CLEAN(H750),#REF!,2,FALSE)</f>
        <v>#REF!</v>
      </c>
      <c r="AZ750" s="2" t="e">
        <f>VLOOKUP(H750,#REF!,2,FALSE)</f>
        <v>#REF!</v>
      </c>
      <c r="BO750" s="2" t="e">
        <f>VLOOKUP(H750,#REF!,13,FALSE)</f>
        <v>#REF!</v>
      </c>
      <c r="BQ750" s="2" t="e">
        <f>VLOOKUP(H750,#REF!,13,FALSE)</f>
        <v>#REF!</v>
      </c>
    </row>
    <row r="751" spans="1:70" ht="15" customHeight="1" outlineLevel="2">
      <c r="A751" s="7"/>
      <c r="B751" s="7"/>
      <c r="C751" s="7"/>
      <c r="D751" s="7"/>
      <c r="E751" s="7"/>
      <c r="F751" s="7"/>
      <c r="G751" s="7"/>
      <c r="H751" s="11"/>
      <c r="I751" s="11"/>
      <c r="J751" s="11"/>
      <c r="K751" s="11"/>
      <c r="L751" s="292"/>
      <c r="M751" s="22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47"/>
      <c r="Z751" s="47"/>
      <c r="AM751" s="185" t="e">
        <f>VLOOKUP(CLEAN(H751),#REF!,7,FALSE)</f>
        <v>#REF!</v>
      </c>
      <c r="AO751"/>
      <c r="AP751"/>
      <c r="AQ751"/>
      <c r="AR751" s="2" t="e">
        <f>VLOOKUP(CLEAN(H751),#REF!,2,FALSE)</f>
        <v>#REF!</v>
      </c>
      <c r="AZ751" s="2" t="e">
        <f>VLOOKUP(H751,#REF!,2,FALSE)</f>
        <v>#REF!</v>
      </c>
      <c r="BO751" s="2" t="e">
        <f>VLOOKUP(H751,#REF!,13,FALSE)</f>
        <v>#REF!</v>
      </c>
      <c r="BP751" s="293"/>
      <c r="BQ751" s="2" t="e">
        <f>VLOOKUP(H751,#REF!,13,FALSE)</f>
        <v>#REF!</v>
      </c>
    </row>
    <row r="752" spans="1:70" ht="18.75" customHeight="1" outlineLevel="1">
      <c r="A752" s="7"/>
      <c r="B752" s="7"/>
      <c r="C752" s="7"/>
      <c r="D752" s="7"/>
      <c r="E752" s="8"/>
      <c r="F752" s="7"/>
      <c r="G752" s="7"/>
      <c r="H752" s="11"/>
      <c r="I752" s="11"/>
      <c r="J752" s="11"/>
      <c r="K752" s="11"/>
      <c r="L752" s="45" t="s">
        <v>172</v>
      </c>
      <c r="M752" s="46">
        <f>M734+M750+M744+M739</f>
        <v>6505097076</v>
      </c>
      <c r="N752" s="46">
        <f t="shared" ref="N752:O752" si="451">N734+N750+N744+N739</f>
        <v>3721985842</v>
      </c>
      <c r="O752" s="46">
        <f t="shared" si="451"/>
        <v>1289021111.5</v>
      </c>
      <c r="P752" s="46">
        <f t="shared" ref="P752:X752" si="452">P734+P750+P744+P739</f>
        <v>0</v>
      </c>
      <c r="Q752" s="46">
        <f t="shared" si="452"/>
        <v>188912857</v>
      </c>
      <c r="R752" s="46">
        <f t="shared" si="452"/>
        <v>150491426</v>
      </c>
      <c r="S752" s="46">
        <f t="shared" si="452"/>
        <v>339404283</v>
      </c>
      <c r="T752" s="46">
        <f t="shared" si="452"/>
        <v>131895526</v>
      </c>
      <c r="U752" s="46">
        <f t="shared" si="452"/>
        <v>331175877</v>
      </c>
      <c r="V752" s="46">
        <f t="shared" si="452"/>
        <v>802475686</v>
      </c>
      <c r="W752" s="46">
        <f t="shared" si="452"/>
        <v>486545425.5</v>
      </c>
      <c r="X752" s="46">
        <f t="shared" si="452"/>
        <v>1494090122.5</v>
      </c>
      <c r="Y752" s="47"/>
      <c r="Z752" s="47"/>
      <c r="AM752" s="185" t="e">
        <f>VLOOKUP(CLEAN(H752),#REF!,7,FALSE)</f>
        <v>#REF!</v>
      </c>
      <c r="AO752"/>
      <c r="AP752"/>
      <c r="AQ752"/>
      <c r="AR752" s="2" t="e">
        <f>VLOOKUP(CLEAN(H752),#REF!,2,FALSE)</f>
        <v>#REF!</v>
      </c>
      <c r="AZ752" s="2" t="e">
        <f>VLOOKUP(H752,#REF!,2,FALSE)</f>
        <v>#REF!</v>
      </c>
      <c r="BO752" s="2" t="e">
        <f>VLOOKUP(H752,#REF!,13,FALSE)</f>
        <v>#REF!</v>
      </c>
      <c r="BQ752" s="2" t="e">
        <f>VLOOKUP(H752,#REF!,13,FALSE)</f>
        <v>#REF!</v>
      </c>
    </row>
    <row r="753" spans="1:70" s="3" customFormat="1" ht="15" customHeight="1" outlineLevel="1">
      <c r="A753" s="7"/>
      <c r="B753" s="7"/>
      <c r="C753" s="7"/>
      <c r="D753" s="7"/>
      <c r="E753" s="8"/>
      <c r="F753" s="7"/>
      <c r="G753" s="7"/>
      <c r="H753" s="11"/>
      <c r="I753" s="11"/>
      <c r="J753" s="11"/>
      <c r="K753" s="11"/>
      <c r="L753" s="294"/>
      <c r="M753" s="26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47"/>
      <c r="Z753" s="47"/>
      <c r="AJ753" s="186"/>
      <c r="AK753" s="186"/>
      <c r="AL753" s="186"/>
      <c r="AM753" s="185" t="e">
        <f>VLOOKUP(CLEAN(H753),#REF!,7,FALSE)</f>
        <v>#REF!</v>
      </c>
      <c r="AR753" s="2" t="e">
        <f>VLOOKUP(CLEAN(H753),#REF!,2,FALSE)</f>
        <v>#REF!</v>
      </c>
      <c r="AZ753" s="2" t="e">
        <f>VLOOKUP(H753,#REF!,2,FALSE)</f>
        <v>#REF!</v>
      </c>
      <c r="BF753" s="193"/>
      <c r="BO753" s="2" t="e">
        <f>VLOOKUP(H753,#REF!,13,FALSE)</f>
        <v>#REF!</v>
      </c>
      <c r="BP753" s="7"/>
      <c r="BQ753" s="2" t="e">
        <f>VLOOKUP(H753,#REF!,13,FALSE)</f>
        <v>#REF!</v>
      </c>
    </row>
    <row r="754" spans="1:70" ht="21" customHeight="1" outlineLevel="1">
      <c r="A754" s="7"/>
      <c r="B754" s="7"/>
      <c r="C754" s="7"/>
      <c r="D754" s="7"/>
      <c r="E754" s="8"/>
      <c r="F754" s="7"/>
      <c r="G754" s="7"/>
      <c r="H754" s="11"/>
      <c r="I754" s="11"/>
      <c r="J754" s="11"/>
      <c r="K754" s="11"/>
      <c r="L754" s="53" t="s">
        <v>184</v>
      </c>
      <c r="M754" s="26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49"/>
      <c r="Z754" s="49"/>
      <c r="AM754" s="185" t="e">
        <f>VLOOKUP(CLEAN(H754),#REF!,7,FALSE)</f>
        <v>#REF!</v>
      </c>
      <c r="AO754"/>
      <c r="AP754"/>
      <c r="AQ754"/>
      <c r="AR754" s="2" t="e">
        <f>VLOOKUP(CLEAN(H754),#REF!,2,FALSE)</f>
        <v>#REF!</v>
      </c>
      <c r="AZ754" s="2" t="e">
        <f>VLOOKUP(H754,#REF!,2,FALSE)</f>
        <v>#REF!</v>
      </c>
      <c r="BO754" s="2" t="e">
        <f>VLOOKUP(H754,#REF!,13,FALSE)</f>
        <v>#REF!</v>
      </c>
      <c r="BQ754" s="2" t="e">
        <f>VLOOKUP(H754,#REF!,13,FALSE)</f>
        <v>#REF!</v>
      </c>
    </row>
    <row r="755" spans="1:70" ht="15" customHeight="1" outlineLevel="1">
      <c r="A755" s="7"/>
      <c r="B755" s="7"/>
      <c r="C755" s="7"/>
      <c r="D755" s="7"/>
      <c r="E755" s="8"/>
      <c r="F755" s="7"/>
      <c r="G755" s="7"/>
      <c r="H755" s="11"/>
      <c r="I755" s="11"/>
      <c r="J755" s="11"/>
      <c r="K755" s="11"/>
      <c r="L755" s="18" t="s">
        <v>695</v>
      </c>
      <c r="M755" s="26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49"/>
      <c r="Z755" s="49"/>
      <c r="AM755" s="185" t="e">
        <f>VLOOKUP(CLEAN(H755),#REF!,7,FALSE)</f>
        <v>#REF!</v>
      </c>
      <c r="AO755"/>
      <c r="AP755"/>
      <c r="AQ755"/>
      <c r="AR755" s="2" t="e">
        <f>VLOOKUP(CLEAN(H755),#REF!,2,FALSE)</f>
        <v>#REF!</v>
      </c>
      <c r="AZ755" s="2" t="e">
        <f>VLOOKUP(H755,#REF!,2,FALSE)</f>
        <v>#REF!</v>
      </c>
      <c r="BO755" s="2" t="e">
        <f>VLOOKUP(H755,#REF!,13,FALSE)</f>
        <v>#REF!</v>
      </c>
      <c r="BQ755" s="2" t="e">
        <f>VLOOKUP(H755,#REF!,13,FALSE)</f>
        <v>#REF!</v>
      </c>
    </row>
    <row r="756" spans="1:70" s="2" customFormat="1" ht="15" customHeight="1" outlineLevel="2">
      <c r="A756" s="5">
        <v>31</v>
      </c>
      <c r="B756" s="5" t="s">
        <v>5</v>
      </c>
      <c r="C756" s="5" t="s">
        <v>252</v>
      </c>
      <c r="D756" s="5" t="s">
        <v>30</v>
      </c>
      <c r="E756" s="9" t="s">
        <v>42</v>
      </c>
      <c r="F756" s="5" t="s">
        <v>75</v>
      </c>
      <c r="G756" s="5" t="s">
        <v>144</v>
      </c>
      <c r="H756" s="12">
        <v>30310525</v>
      </c>
      <c r="I756" s="42" t="str">
        <f t="shared" ref="I756:I760" si="453">CONCATENATE(H756,"-",G756)</f>
        <v>30310525-EJECUCION</v>
      </c>
      <c r="J756" s="12"/>
      <c r="K756" s="307" t="str">
        <f t="shared" ref="K756:K760" si="454">CLEAN(H756)</f>
        <v>30310525</v>
      </c>
      <c r="L756" s="15" t="s">
        <v>106</v>
      </c>
      <c r="M756" s="23">
        <v>9803852000</v>
      </c>
      <c r="N756" s="34">
        <v>8000000000</v>
      </c>
      <c r="O756" s="34">
        <v>4803852000</v>
      </c>
      <c r="P756" s="310">
        <v>0</v>
      </c>
      <c r="Q756" s="34">
        <v>0</v>
      </c>
      <c r="R756" s="308">
        <v>977663148</v>
      </c>
      <c r="S756" s="34">
        <f t="shared" ref="S756:S760" si="455">P756+Q756+R756</f>
        <v>977663148</v>
      </c>
      <c r="T756" s="34">
        <v>0</v>
      </c>
      <c r="U756" s="34">
        <v>0</v>
      </c>
      <c r="V756" s="34">
        <f>P756+Q756+R756+T756+U756</f>
        <v>977663148</v>
      </c>
      <c r="W756" s="34">
        <f>O756-V756</f>
        <v>3826188852</v>
      </c>
      <c r="X756" s="34">
        <f>M756-(N756+O756)</f>
        <v>-3000000000</v>
      </c>
      <c r="Y756" s="48" t="s">
        <v>239</v>
      </c>
      <c r="Z756" s="48" t="s">
        <v>8</v>
      </c>
      <c r="AA756" s="2" t="e">
        <v>#N/A</v>
      </c>
      <c r="AB756" s="2" t="e">
        <f>VLOOKUP(H756,#REF!,2,FALSE)</f>
        <v>#REF!</v>
      </c>
      <c r="AC756" s="2" t="e">
        <f>VLOOKUP(I756,#REF!,2,FALSE)</f>
        <v>#REF!</v>
      </c>
      <c r="AD756" s="2" t="e">
        <f>VLOOKUP(H756,#REF!,13,FALSE)</f>
        <v>#REF!</v>
      </c>
      <c r="AE756" s="2" t="e">
        <f>VLOOKUP(I756,#REF!,7,FALSE)</f>
        <v>#REF!</v>
      </c>
      <c r="AG756" s="2" t="e">
        <f>VLOOKUP(H756,#REF!,13,FALSE)</f>
        <v>#REF!</v>
      </c>
      <c r="AH756" s="2" t="e">
        <f>VLOOKUP(I756,#REF!,2,FALSE)</f>
        <v>#REF!</v>
      </c>
      <c r="AJ756" s="185" t="e">
        <f>VLOOKUP(H756,#REF!,3,FALSE)</f>
        <v>#REF!</v>
      </c>
      <c r="AK756" s="185"/>
      <c r="AL756" s="185" t="e">
        <f>VLOOKUP(H756,#REF!,13,FALSE)</f>
        <v>#REF!</v>
      </c>
      <c r="AM756" s="185" t="e">
        <f>VLOOKUP(CLEAN(H756),#REF!,7,FALSE)</f>
        <v>#REF!</v>
      </c>
      <c r="AN756" s="2" t="e">
        <f>VLOOKUP(H756,#REF!,8,FALSE)</f>
        <v>#REF!</v>
      </c>
      <c r="AO756" s="189" t="e">
        <f>VLOOKUP(H756,#REF!,2,FALSE)</f>
        <v>#REF!</v>
      </c>
      <c r="AP756" s="189" t="e">
        <f>VLOOKUP(H756,#REF!,2,FALSE)</f>
        <v>#REF!</v>
      </c>
      <c r="AQ756" s="189"/>
      <c r="AR756" s="2" t="e">
        <f>VLOOKUP(CLEAN(H756),#REF!,2,FALSE)</f>
        <v>#REF!</v>
      </c>
      <c r="AT756" s="2" t="e">
        <f>VLOOKUP(H756,#REF!,13,FALSE)</f>
        <v>#REF!</v>
      </c>
      <c r="AU756" s="2" t="e">
        <f>VLOOKUP(H756,#REF!,13,FALSE)</f>
        <v>#REF!</v>
      </c>
      <c r="AV756" s="2" t="e">
        <f>VLOOKUP(H756,#REF!,13,FALSE)</f>
        <v>#REF!</v>
      </c>
      <c r="AW756" s="2" t="e">
        <f>VLOOKUP(H756,#REF!,13,FALSE)</f>
        <v>#REF!</v>
      </c>
      <c r="AX756" s="2" t="e">
        <f>VLOOKUP(H756,#REF!,9,FALSE)</f>
        <v>#REF!</v>
      </c>
      <c r="AZ756" s="189" t="e">
        <f>VLOOKUP(H756,#REF!,2,FALSE)</f>
        <v>#REF!</v>
      </c>
      <c r="BF756" s="189" t="e">
        <f>VLOOKUP(CLEAN(H756),#REF!,2,FALSE)</f>
        <v>#REF!</v>
      </c>
      <c r="BG756" s="189" t="e">
        <f>T756-BF756</f>
        <v>#REF!</v>
      </c>
      <c r="BO756" s="2" t="e">
        <f>VLOOKUP(H756,#REF!,13,FALSE)</f>
        <v>#REF!</v>
      </c>
      <c r="BP756" s="2" t="e">
        <f>VLOOKUP(H756,#REF!,2,FALSE)</f>
        <v>#REF!</v>
      </c>
      <c r="BQ756" s="2" t="e">
        <f>VLOOKUP(H756,#REF!,13,FALSE)</f>
        <v>#REF!</v>
      </c>
      <c r="BR756" s="2" t="e">
        <f>VLOOKUP(H756,#REF!,3,FALSE)</f>
        <v>#REF!</v>
      </c>
    </row>
    <row r="757" spans="1:70" s="2" customFormat="1" ht="15" customHeight="1" outlineLevel="2">
      <c r="A757" s="5">
        <v>31</v>
      </c>
      <c r="B757" s="5" t="s">
        <v>5</v>
      </c>
      <c r="C757" s="5" t="s">
        <v>253</v>
      </c>
      <c r="D757" s="5" t="s">
        <v>30</v>
      </c>
      <c r="E757" s="9" t="s">
        <v>42</v>
      </c>
      <c r="F757" s="5" t="s">
        <v>457</v>
      </c>
      <c r="G757" s="5" t="s">
        <v>144</v>
      </c>
      <c r="H757" s="12">
        <v>30381175</v>
      </c>
      <c r="I757" s="42" t="str">
        <f t="shared" si="453"/>
        <v>30381175-EJECUCION</v>
      </c>
      <c r="J757" s="12"/>
      <c r="K757" s="307" t="str">
        <f t="shared" si="454"/>
        <v>30381175</v>
      </c>
      <c r="L757" s="15" t="s">
        <v>291</v>
      </c>
      <c r="M757" s="23">
        <v>1528367000</v>
      </c>
      <c r="N757" s="34">
        <v>14300000</v>
      </c>
      <c r="O757" s="34">
        <f>(1086081491/3)-842</f>
        <v>362026321.66666669</v>
      </c>
      <c r="P757" s="310">
        <v>0</v>
      </c>
      <c r="Q757" s="34">
        <v>0</v>
      </c>
      <c r="R757" s="308">
        <v>0</v>
      </c>
      <c r="S757" s="34">
        <f t="shared" si="455"/>
        <v>0</v>
      </c>
      <c r="T757" s="34">
        <v>0</v>
      </c>
      <c r="U757" s="34">
        <v>0</v>
      </c>
      <c r="V757" s="34">
        <f>P757+Q757+R757+T757+U757</f>
        <v>0</v>
      </c>
      <c r="W757" s="34">
        <f>O757-V757</f>
        <v>362026321.66666669</v>
      </c>
      <c r="X757" s="34">
        <f>M757-(N757+O757)</f>
        <v>1152040678.3333333</v>
      </c>
      <c r="Y757" s="48" t="s">
        <v>239</v>
      </c>
      <c r="Z757" s="48" t="s">
        <v>8</v>
      </c>
      <c r="AA757" s="2" t="s">
        <v>845</v>
      </c>
      <c r="AB757" s="2" t="e">
        <f>VLOOKUP(H757,#REF!,2,FALSE)</f>
        <v>#REF!</v>
      </c>
      <c r="AC757" s="177" t="e">
        <f>VLOOKUP(I757,#REF!,2,FALSE)</f>
        <v>#REF!</v>
      </c>
      <c r="AD757" s="177" t="e">
        <f>VLOOKUP(H757,#REF!,13,FALSE)</f>
        <v>#REF!</v>
      </c>
      <c r="AE757" s="177" t="e">
        <f>VLOOKUP(I757,#REF!,7,FALSE)</f>
        <v>#REF!</v>
      </c>
      <c r="AF757" s="177"/>
      <c r="AG757" s="177" t="e">
        <f>VLOOKUP(H757,#REF!,13,FALSE)</f>
        <v>#REF!</v>
      </c>
      <c r="AH757" s="177" t="e">
        <f>VLOOKUP(I757,#REF!,2,FALSE)</f>
        <v>#REF!</v>
      </c>
      <c r="AJ757" s="177" t="e">
        <f>VLOOKUP(H757,#REF!,3,FALSE)</f>
        <v>#REF!</v>
      </c>
      <c r="AK757" s="177"/>
      <c r="AL757" s="177" t="e">
        <f>VLOOKUP(H757,#REF!,13,FALSE)</f>
        <v>#REF!</v>
      </c>
      <c r="AM757" s="177" t="e">
        <f>VLOOKUP(CLEAN(H757),#REF!,7,FALSE)</f>
        <v>#REF!</v>
      </c>
      <c r="AN757" s="2" t="e">
        <f>VLOOKUP(H757,#REF!,8,FALSE)</f>
        <v>#REF!</v>
      </c>
      <c r="AO757" s="189" t="e">
        <f>VLOOKUP(H757,#REF!,2,FALSE)</f>
        <v>#REF!</v>
      </c>
      <c r="AP757" s="189" t="e">
        <f>VLOOKUP(H757,#REF!,2,FALSE)</f>
        <v>#REF!</v>
      </c>
      <c r="AQ757" s="189"/>
      <c r="AR757" s="2" t="e">
        <f>VLOOKUP(CLEAN(H757),#REF!,2,FALSE)</f>
        <v>#REF!</v>
      </c>
      <c r="AT757" s="2" t="e">
        <f>VLOOKUP(H757,#REF!,13,FALSE)</f>
        <v>#REF!</v>
      </c>
      <c r="AU757" s="2" t="e">
        <f>VLOOKUP(H757,#REF!,13,FALSE)</f>
        <v>#REF!</v>
      </c>
      <c r="AV757" s="2" t="e">
        <f>VLOOKUP(H757,#REF!,13,FALSE)</f>
        <v>#REF!</v>
      </c>
      <c r="AW757" s="2" t="e">
        <f>VLOOKUP(H757,#REF!,13,FALSE)</f>
        <v>#REF!</v>
      </c>
      <c r="AX757" s="2" t="e">
        <f>VLOOKUP(H757,#REF!,9,FALSE)</f>
        <v>#REF!</v>
      </c>
      <c r="AZ757" s="189" t="e">
        <f>VLOOKUP(H757,#REF!,2,FALSE)</f>
        <v>#REF!</v>
      </c>
      <c r="BF757" s="189" t="e">
        <f>VLOOKUP(CLEAN(H757),#REF!,2,FALSE)</f>
        <v>#REF!</v>
      </c>
      <c r="BG757" s="189" t="e">
        <f>T757-BF757</f>
        <v>#REF!</v>
      </c>
      <c r="BO757" s="2" t="e">
        <f>VLOOKUP(H757,#REF!,13,FALSE)</f>
        <v>#REF!</v>
      </c>
      <c r="BP757" s="2" t="e">
        <f>VLOOKUP(H757,#REF!,2,FALSE)</f>
        <v>#REF!</v>
      </c>
      <c r="BQ757" s="2" t="e">
        <f>VLOOKUP(H757,#REF!,13,FALSE)</f>
        <v>#REF!</v>
      </c>
      <c r="BR757" s="2" t="e">
        <f>VLOOKUP(H757,#REF!,3,FALSE)</f>
        <v>#REF!</v>
      </c>
    </row>
    <row r="758" spans="1:70" s="3" customFormat="1" ht="15" customHeight="1" outlineLevel="1">
      <c r="A758" s="9">
        <v>31</v>
      </c>
      <c r="B758" s="9" t="s">
        <v>5</v>
      </c>
      <c r="C758" s="9" t="s">
        <v>240</v>
      </c>
      <c r="D758" s="9" t="s">
        <v>30</v>
      </c>
      <c r="E758" s="9" t="s">
        <v>42</v>
      </c>
      <c r="F758" s="5" t="s">
        <v>457</v>
      </c>
      <c r="G758" s="9" t="s">
        <v>145</v>
      </c>
      <c r="H758" s="13">
        <v>30098600</v>
      </c>
      <c r="I758" s="42" t="str">
        <f t="shared" si="453"/>
        <v>30098600-PREFACTIBILIDAD</v>
      </c>
      <c r="J758" s="12" t="s">
        <v>735</v>
      </c>
      <c r="K758" s="307" t="str">
        <f t="shared" si="454"/>
        <v>30098600</v>
      </c>
      <c r="L758" s="19" t="s">
        <v>83</v>
      </c>
      <c r="M758" s="28">
        <v>185787113</v>
      </c>
      <c r="N758" s="34">
        <v>92264183</v>
      </c>
      <c r="O758" s="36">
        <v>93522930</v>
      </c>
      <c r="P758" s="310">
        <v>0</v>
      </c>
      <c r="Q758" s="34">
        <v>0</v>
      </c>
      <c r="R758" s="308">
        <v>15760000</v>
      </c>
      <c r="S758" s="34">
        <f t="shared" si="455"/>
        <v>15760000</v>
      </c>
      <c r="T758" s="34">
        <v>0</v>
      </c>
      <c r="U758" s="34">
        <v>2050000</v>
      </c>
      <c r="V758" s="34">
        <f>P758+Q758+R758+T758+U758</f>
        <v>17810000</v>
      </c>
      <c r="W758" s="34">
        <f>O758-V758</f>
        <v>75712930</v>
      </c>
      <c r="X758" s="34">
        <f>M758-(N758+O758)</f>
        <v>0</v>
      </c>
      <c r="Y758" s="48" t="s">
        <v>239</v>
      </c>
      <c r="Z758" s="48" t="s">
        <v>8</v>
      </c>
      <c r="AA758" s="2" t="e">
        <v>#N/A</v>
      </c>
      <c r="AB758" s="2" t="e">
        <f>VLOOKUP(H758,#REF!,2,FALSE)</f>
        <v>#REF!</v>
      </c>
      <c r="AC758" s="2" t="e">
        <f>VLOOKUP(I758,#REF!,2,FALSE)</f>
        <v>#REF!</v>
      </c>
      <c r="AD758" s="2" t="e">
        <f>VLOOKUP(H758,#REF!,13,FALSE)</f>
        <v>#REF!</v>
      </c>
      <c r="AE758" s="2" t="e">
        <f>VLOOKUP(I758,#REF!,7,FALSE)</f>
        <v>#REF!</v>
      </c>
      <c r="AG758" s="2" t="e">
        <f>VLOOKUP(H758,#REF!,13,FALSE)</f>
        <v>#REF!</v>
      </c>
      <c r="AH758" s="2" t="e">
        <f>VLOOKUP(I758,#REF!,2,FALSE)</f>
        <v>#REF!</v>
      </c>
      <c r="AJ758" s="185" t="e">
        <f>VLOOKUP(H758,#REF!,3,FALSE)</f>
        <v>#REF!</v>
      </c>
      <c r="AK758" s="186"/>
      <c r="AL758" s="185" t="e">
        <f>VLOOKUP(H758,#REF!,13,FALSE)</f>
        <v>#REF!</v>
      </c>
      <c r="AM758" s="185" t="e">
        <f>VLOOKUP(CLEAN(H758),#REF!,7,FALSE)</f>
        <v>#REF!</v>
      </c>
      <c r="AN758" s="2" t="e">
        <f>VLOOKUP(H758,#REF!,8,FALSE)</f>
        <v>#REF!</v>
      </c>
      <c r="AO758" s="189" t="e">
        <f>VLOOKUP(H758,#REF!,2,FALSE)</f>
        <v>#REF!</v>
      </c>
      <c r="AP758" s="189" t="e">
        <f>VLOOKUP(H758,#REF!,2,FALSE)</f>
        <v>#REF!</v>
      </c>
      <c r="AQ758" s="189"/>
      <c r="AR758" s="2" t="e">
        <f>VLOOKUP(CLEAN(H758),#REF!,2,FALSE)</f>
        <v>#REF!</v>
      </c>
      <c r="AT758" s="2" t="e">
        <f>VLOOKUP(H758,#REF!,13,FALSE)</f>
        <v>#REF!</v>
      </c>
      <c r="AU758" s="2" t="e">
        <f>VLOOKUP(H758,#REF!,13,FALSE)</f>
        <v>#REF!</v>
      </c>
      <c r="AV758" s="2" t="e">
        <f>VLOOKUP(H758,#REF!,13,FALSE)</f>
        <v>#REF!</v>
      </c>
      <c r="AW758" s="2" t="e">
        <f>VLOOKUP(H758,#REF!,13,FALSE)</f>
        <v>#REF!</v>
      </c>
      <c r="AX758" s="2" t="e">
        <f>VLOOKUP(H758,#REF!,9,FALSE)</f>
        <v>#REF!</v>
      </c>
      <c r="AZ758" s="189" t="e">
        <f>VLOOKUP(H758,#REF!,2,FALSE)</f>
        <v>#REF!</v>
      </c>
      <c r="BF758" s="189" t="e">
        <f>VLOOKUP(CLEAN(H758),#REF!,2,FALSE)</f>
        <v>#REF!</v>
      </c>
      <c r="BG758" s="189" t="e">
        <f>T758-BF758</f>
        <v>#REF!</v>
      </c>
      <c r="BO758" s="2" t="e">
        <f>VLOOKUP(H758,#REF!,13,FALSE)</f>
        <v>#REF!</v>
      </c>
      <c r="BP758" s="2" t="e">
        <f>VLOOKUP(H758,#REF!,2,FALSE)</f>
        <v>#REF!</v>
      </c>
      <c r="BQ758" s="2" t="e">
        <f>VLOOKUP(H758,#REF!,13,FALSE)</f>
        <v>#REF!</v>
      </c>
      <c r="BR758" s="2" t="e">
        <f>VLOOKUP(H758,#REF!,3,FALSE)</f>
        <v>#REF!</v>
      </c>
    </row>
    <row r="759" spans="1:70" s="2" customFormat="1" ht="15" customHeight="1" outlineLevel="2">
      <c r="A759" s="5">
        <v>31</v>
      </c>
      <c r="B759" s="5" t="s">
        <v>5</v>
      </c>
      <c r="C759" s="5" t="s">
        <v>241</v>
      </c>
      <c r="D759" s="5" t="s">
        <v>30</v>
      </c>
      <c r="E759" s="9" t="s">
        <v>42</v>
      </c>
      <c r="F759" s="5" t="s">
        <v>457</v>
      </c>
      <c r="G759" s="5" t="s">
        <v>144</v>
      </c>
      <c r="H759" s="12">
        <v>30464752</v>
      </c>
      <c r="I759" s="42" t="str">
        <f t="shared" si="453"/>
        <v>30464752-EJECUCION</v>
      </c>
      <c r="J759" s="12"/>
      <c r="K759" s="307" t="str">
        <f t="shared" si="454"/>
        <v>30464752</v>
      </c>
      <c r="L759" s="15" t="s">
        <v>127</v>
      </c>
      <c r="M759" s="23">
        <v>472546000</v>
      </c>
      <c r="N759" s="34">
        <v>0</v>
      </c>
      <c r="O759" s="34">
        <f>348946000-95788</f>
        <v>348850212</v>
      </c>
      <c r="P759" s="310">
        <v>0</v>
      </c>
      <c r="Q759" s="34">
        <v>0</v>
      </c>
      <c r="R759" s="308">
        <v>0</v>
      </c>
      <c r="S759" s="34">
        <f t="shared" si="455"/>
        <v>0</v>
      </c>
      <c r="T759" s="34">
        <v>0</v>
      </c>
      <c r="U759" s="34">
        <v>29829335</v>
      </c>
      <c r="V759" s="34">
        <f>P759+Q759+R759+T759+U759</f>
        <v>29829335</v>
      </c>
      <c r="W759" s="34">
        <f>O759-V759</f>
        <v>319020877</v>
      </c>
      <c r="X759" s="34">
        <f>M759-(N759+O759)</f>
        <v>123695788</v>
      </c>
      <c r="Y759" s="48" t="s">
        <v>239</v>
      </c>
      <c r="Z759" s="48" t="s">
        <v>8</v>
      </c>
      <c r="AA759" s="2" t="s">
        <v>844</v>
      </c>
      <c r="AB759" s="2" t="e">
        <f>VLOOKUP(H759,#REF!,2,FALSE)</f>
        <v>#REF!</v>
      </c>
      <c r="AC759" s="2" t="e">
        <f>VLOOKUP(I759,#REF!,2,FALSE)</f>
        <v>#REF!</v>
      </c>
      <c r="AD759" s="2" t="e">
        <f>VLOOKUP(H759,#REF!,13,FALSE)</f>
        <v>#REF!</v>
      </c>
      <c r="AE759" s="2" t="e">
        <f>VLOOKUP(I759,#REF!,7,FALSE)</f>
        <v>#REF!</v>
      </c>
      <c r="AG759" s="2" t="e">
        <f>VLOOKUP(H759,#REF!,13,FALSE)</f>
        <v>#REF!</v>
      </c>
      <c r="AH759" s="2" t="e">
        <f>VLOOKUP(I759,#REF!,2,FALSE)</f>
        <v>#REF!</v>
      </c>
      <c r="AJ759" s="185" t="e">
        <f>VLOOKUP(H759,#REF!,3,FALSE)</f>
        <v>#REF!</v>
      </c>
      <c r="AK759" s="185"/>
      <c r="AL759" s="185" t="e">
        <f>VLOOKUP(H759,#REF!,13,FALSE)</f>
        <v>#REF!</v>
      </c>
      <c r="AM759" s="185" t="e">
        <f>VLOOKUP(CLEAN(H759),#REF!,7,FALSE)</f>
        <v>#REF!</v>
      </c>
      <c r="AN759" s="2" t="e">
        <f>VLOOKUP(H759,#REF!,8,FALSE)</f>
        <v>#REF!</v>
      </c>
      <c r="AO759" s="189" t="e">
        <f>VLOOKUP(H759,#REF!,2,FALSE)</f>
        <v>#REF!</v>
      </c>
      <c r="AP759" s="189" t="e">
        <f>VLOOKUP(H759,#REF!,2,FALSE)</f>
        <v>#REF!</v>
      </c>
      <c r="AQ759" s="189"/>
      <c r="AR759" s="2" t="e">
        <f>VLOOKUP(CLEAN(H759),#REF!,2,FALSE)</f>
        <v>#REF!</v>
      </c>
      <c r="AT759" s="2" t="e">
        <f>VLOOKUP(H759,#REF!,13,FALSE)</f>
        <v>#REF!</v>
      </c>
      <c r="AU759" s="2" t="e">
        <f>VLOOKUP(H759,#REF!,13,FALSE)</f>
        <v>#REF!</v>
      </c>
      <c r="AV759" s="2" t="e">
        <f>VLOOKUP(H759,#REF!,13,FALSE)</f>
        <v>#REF!</v>
      </c>
      <c r="AW759" s="2" t="e">
        <f>VLOOKUP(H759,#REF!,13,FALSE)</f>
        <v>#REF!</v>
      </c>
      <c r="AX759" s="2" t="e">
        <f>VLOOKUP(H759,#REF!,9,FALSE)</f>
        <v>#REF!</v>
      </c>
      <c r="AZ759" s="189" t="e">
        <f>VLOOKUP(H759,#REF!,2,FALSE)</f>
        <v>#REF!</v>
      </c>
      <c r="BF759" s="189" t="e">
        <f>VLOOKUP(CLEAN(H759),#REF!,2,FALSE)</f>
        <v>#REF!</v>
      </c>
      <c r="BG759" s="189" t="e">
        <f>T759-BF759</f>
        <v>#REF!</v>
      </c>
      <c r="BO759" s="2" t="e">
        <f>VLOOKUP(H759,#REF!,13,FALSE)</f>
        <v>#REF!</v>
      </c>
      <c r="BP759" s="2" t="e">
        <f>VLOOKUP(H759,#REF!,2,FALSE)</f>
        <v>#REF!</v>
      </c>
      <c r="BQ759" s="2" t="e">
        <f>VLOOKUP(H759,#REF!,13,FALSE)</f>
        <v>#REF!</v>
      </c>
      <c r="BR759" s="2" t="e">
        <f>VLOOKUP(H759,#REF!,3,FALSE)</f>
        <v>#REF!</v>
      </c>
    </row>
    <row r="760" spans="1:70" s="2" customFormat="1" ht="15" customHeight="1" outlineLevel="2">
      <c r="A760" s="5">
        <v>33</v>
      </c>
      <c r="B760" s="5" t="s">
        <v>54</v>
      </c>
      <c r="C760" s="5" t="s">
        <v>251</v>
      </c>
      <c r="D760" s="5" t="s">
        <v>30</v>
      </c>
      <c r="E760" s="9" t="s">
        <v>42</v>
      </c>
      <c r="F760" s="5" t="s">
        <v>73</v>
      </c>
      <c r="G760" s="5" t="s">
        <v>144</v>
      </c>
      <c r="H760" s="12" t="s">
        <v>223</v>
      </c>
      <c r="I760" s="42" t="str">
        <f t="shared" si="453"/>
        <v>S/C-EJECUCION</v>
      </c>
      <c r="J760" s="12"/>
      <c r="K760" s="307" t="str">
        <f t="shared" si="454"/>
        <v>S/C</v>
      </c>
      <c r="L760" s="15" t="s">
        <v>373</v>
      </c>
      <c r="M760" s="23">
        <f>1454473805+842</f>
        <v>1454474647</v>
      </c>
      <c r="N760" s="34">
        <v>0</v>
      </c>
      <c r="O760" s="34">
        <f>1381816800+72657005+842</f>
        <v>1454474647</v>
      </c>
      <c r="P760" s="310">
        <v>0</v>
      </c>
      <c r="Q760" s="34">
        <v>195672093</v>
      </c>
      <c r="R760" s="308">
        <v>375747719</v>
      </c>
      <c r="S760" s="34">
        <f t="shared" si="455"/>
        <v>571419812</v>
      </c>
      <c r="T760" s="34">
        <v>477867570</v>
      </c>
      <c r="U760" s="34">
        <v>260371533</v>
      </c>
      <c r="V760" s="34">
        <f>P760+Q760+R760+T760+U760</f>
        <v>1309658915</v>
      </c>
      <c r="W760" s="34">
        <f>O760-V760</f>
        <v>144815732</v>
      </c>
      <c r="X760" s="34">
        <f>M760-(N760+O760)</f>
        <v>0</v>
      </c>
      <c r="Y760" s="48" t="s">
        <v>239</v>
      </c>
      <c r="Z760" s="48" t="s">
        <v>12</v>
      </c>
      <c r="AA760" s="2" t="e">
        <v>#N/A</v>
      </c>
      <c r="AB760" s="2" t="e">
        <f>VLOOKUP(H760,#REF!,2,FALSE)</f>
        <v>#REF!</v>
      </c>
      <c r="AC760" s="2" t="e">
        <f>VLOOKUP(I760,#REF!,2,FALSE)</f>
        <v>#REF!</v>
      </c>
      <c r="AD760" s="2" t="e">
        <f>VLOOKUP(H760,#REF!,13,FALSE)</f>
        <v>#REF!</v>
      </c>
      <c r="AE760" s="177" t="e">
        <f>VLOOKUP(I760,#REF!,7,FALSE)</f>
        <v>#REF!</v>
      </c>
      <c r="AG760" s="2" t="e">
        <f>VLOOKUP(H760,#REF!,13,FALSE)</f>
        <v>#REF!</v>
      </c>
      <c r="AH760" s="2" t="e">
        <f>VLOOKUP(I760,#REF!,2,FALSE)</f>
        <v>#REF!</v>
      </c>
      <c r="AJ760" s="185" t="e">
        <f>VLOOKUP(H760,#REF!,3,FALSE)</f>
        <v>#REF!</v>
      </c>
      <c r="AK760" s="185"/>
      <c r="AL760" s="185"/>
      <c r="AM760" s="185" t="e">
        <f>VLOOKUP(CLEAN(H760),#REF!,7,FALSE)</f>
        <v>#REF!</v>
      </c>
      <c r="AN760" s="2" t="e">
        <f>VLOOKUP(H760,#REF!,8,FALSE)</f>
        <v>#REF!</v>
      </c>
      <c r="AO760" s="189" t="e">
        <f>VLOOKUP(H760,#REF!,2,FALSE)</f>
        <v>#REF!</v>
      </c>
      <c r="AP760" s="189" t="e">
        <f>VLOOKUP(H760,#REF!,2,FALSE)</f>
        <v>#REF!</v>
      </c>
      <c r="AQ760" s="189"/>
      <c r="AR760" s="2" t="e">
        <f>VLOOKUP(CLEAN(H760),#REF!,2,FALSE)</f>
        <v>#REF!</v>
      </c>
      <c r="AT760" s="2" t="e">
        <f>VLOOKUP(H760,#REF!,13,FALSE)</f>
        <v>#REF!</v>
      </c>
      <c r="AU760" s="2" t="e">
        <f>VLOOKUP(H760,#REF!,13,FALSE)</f>
        <v>#REF!</v>
      </c>
      <c r="AV760" s="2" t="e">
        <f>VLOOKUP(H760,#REF!,13,FALSE)</f>
        <v>#REF!</v>
      </c>
      <c r="AW760" s="2" t="e">
        <f>VLOOKUP(H760,#REF!,13,FALSE)</f>
        <v>#REF!</v>
      </c>
      <c r="AX760" s="2" t="e">
        <f>VLOOKUP(H760,#REF!,9,FALSE)</f>
        <v>#REF!</v>
      </c>
      <c r="AZ760" s="2" t="e">
        <f>VLOOKUP(H760,#REF!,2,FALSE)</f>
        <v>#REF!</v>
      </c>
      <c r="BF760" s="189" t="e">
        <f>VLOOKUP(CLEAN(H760),#REF!,2,FALSE)</f>
        <v>#REF!</v>
      </c>
      <c r="BG760" s="189" t="e">
        <f>T760-BF760</f>
        <v>#REF!</v>
      </c>
      <c r="BO760" s="2" t="e">
        <f>VLOOKUP(H760,#REF!,13,FALSE)</f>
        <v>#REF!</v>
      </c>
      <c r="BP760" s="2" t="e">
        <f>VLOOKUP(H760,#REF!,2,FALSE)</f>
        <v>#REF!</v>
      </c>
      <c r="BQ760" s="2" t="e">
        <f>VLOOKUP(H760,#REF!,13,FALSE)</f>
        <v>#REF!</v>
      </c>
      <c r="BR760" s="2" t="e">
        <f>VLOOKUP(H760,#REF!,3,FALSE)</f>
        <v>#REF!</v>
      </c>
    </row>
    <row r="761" spans="1:70" ht="15" customHeight="1" outlineLevel="2">
      <c r="A761" s="7"/>
      <c r="B761" s="7"/>
      <c r="C761" s="7"/>
      <c r="D761" s="7"/>
      <c r="E761" s="7"/>
      <c r="F761" s="7"/>
      <c r="G761" s="7"/>
      <c r="H761" s="11"/>
      <c r="I761" s="11"/>
      <c r="J761" s="11"/>
      <c r="K761" s="11"/>
      <c r="L761" s="17" t="s">
        <v>691</v>
      </c>
      <c r="M761" s="27">
        <f>SUBTOTAL(9,M756:M760)</f>
        <v>13445026760</v>
      </c>
      <c r="N761" s="27">
        <f t="shared" ref="N761:O761" si="456">SUBTOTAL(9,N756:N760)</f>
        <v>8106564183</v>
      </c>
      <c r="O761" s="27">
        <f t="shared" si="456"/>
        <v>7062726110.666667</v>
      </c>
      <c r="P761" s="24">
        <f t="shared" ref="P761:X761" si="457">SUBTOTAL(9,P756:P760)</f>
        <v>0</v>
      </c>
      <c r="Q761" s="24">
        <f t="shared" si="457"/>
        <v>195672093</v>
      </c>
      <c r="R761" s="24">
        <f t="shared" si="457"/>
        <v>1369170867</v>
      </c>
      <c r="S761" s="27">
        <f t="shared" si="457"/>
        <v>1564842960</v>
      </c>
      <c r="T761" s="27">
        <f t="shared" si="457"/>
        <v>477867570</v>
      </c>
      <c r="U761" s="27">
        <f t="shared" si="457"/>
        <v>292250868</v>
      </c>
      <c r="V761" s="27">
        <f t="shared" si="457"/>
        <v>2334961398</v>
      </c>
      <c r="W761" s="27">
        <f t="shared" si="457"/>
        <v>4727764712.666666</v>
      </c>
      <c r="X761" s="314">
        <f t="shared" si="457"/>
        <v>-1724263533.6666667</v>
      </c>
      <c r="Y761" s="47"/>
      <c r="Z761" s="47"/>
      <c r="AM761" s="185" t="e">
        <f>VLOOKUP(CLEAN(H761),#REF!,7,FALSE)</f>
        <v>#REF!</v>
      </c>
      <c r="AO761"/>
      <c r="AP761"/>
      <c r="AQ761"/>
      <c r="AR761" s="2" t="e">
        <f>VLOOKUP(CLEAN(H761),#REF!,2,FALSE)</f>
        <v>#REF!</v>
      </c>
      <c r="AZ761" s="2" t="e">
        <f>VLOOKUP(H761,#REF!,2,FALSE)</f>
        <v>#REF!</v>
      </c>
      <c r="BO761" s="2" t="e">
        <f>VLOOKUP(H761,#REF!,13,FALSE)</f>
        <v>#REF!</v>
      </c>
      <c r="BQ761" s="2" t="e">
        <f>VLOOKUP(H761,#REF!,13,FALSE)</f>
        <v>#REF!</v>
      </c>
    </row>
    <row r="762" spans="1:70" ht="15" customHeight="1" outlineLevel="2">
      <c r="A762" s="7"/>
      <c r="B762" s="7"/>
      <c r="C762" s="7"/>
      <c r="D762" s="7"/>
      <c r="E762" s="7"/>
      <c r="F762" s="7"/>
      <c r="G762" s="7"/>
      <c r="H762" s="11"/>
      <c r="I762" s="11"/>
      <c r="J762" s="11"/>
      <c r="K762" s="11"/>
      <c r="L762" s="292"/>
      <c r="M762" s="22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47"/>
      <c r="Z762" s="47"/>
      <c r="AM762" s="185" t="e">
        <f>VLOOKUP(CLEAN(H762),#REF!,7,FALSE)</f>
        <v>#REF!</v>
      </c>
      <c r="AO762"/>
      <c r="AP762"/>
      <c r="AQ762"/>
      <c r="AR762" s="2" t="e">
        <f>VLOOKUP(CLEAN(H762),#REF!,2,FALSE)</f>
        <v>#REF!</v>
      </c>
      <c r="AZ762" s="2" t="e">
        <f>VLOOKUP(H762,#REF!,2,FALSE)</f>
        <v>#REF!</v>
      </c>
      <c r="BO762" s="2" t="e">
        <f>VLOOKUP(H762,#REF!,13,FALSE)</f>
        <v>#REF!</v>
      </c>
      <c r="BP762" s="293"/>
      <c r="BQ762" s="2" t="e">
        <f>VLOOKUP(H762,#REF!,13,FALSE)</f>
        <v>#REF!</v>
      </c>
    </row>
    <row r="763" spans="1:70" ht="15" customHeight="1" outlineLevel="2">
      <c r="A763" s="7"/>
      <c r="B763" s="7"/>
      <c r="C763" s="7"/>
      <c r="D763" s="7"/>
      <c r="E763" s="7"/>
      <c r="F763" s="7"/>
      <c r="G763" s="7"/>
      <c r="H763" s="11"/>
      <c r="I763" s="11"/>
      <c r="J763" s="11"/>
      <c r="K763" s="11"/>
      <c r="L763" s="18" t="s">
        <v>701</v>
      </c>
      <c r="M763" s="22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47"/>
      <c r="Z763" s="47"/>
      <c r="AM763" s="185" t="e">
        <f>VLOOKUP(CLEAN(H763),#REF!,7,FALSE)</f>
        <v>#REF!</v>
      </c>
      <c r="AO763"/>
      <c r="AP763"/>
      <c r="AQ763"/>
      <c r="AR763" s="2" t="e">
        <f>VLOOKUP(CLEAN(H763),#REF!,2,FALSE)</f>
        <v>#REF!</v>
      </c>
      <c r="AZ763" s="2" t="e">
        <f>VLOOKUP(H763,#REF!,2,FALSE)</f>
        <v>#REF!</v>
      </c>
      <c r="BO763" s="2" t="e">
        <f>VLOOKUP(H763,#REF!,13,FALSE)</f>
        <v>#REF!</v>
      </c>
      <c r="BQ763" s="2" t="e">
        <f>VLOOKUP(H763,#REF!,13,FALSE)</f>
        <v>#REF!</v>
      </c>
    </row>
    <row r="764" spans="1:70" s="2" customFormat="1" ht="15" customHeight="1" outlineLevel="2">
      <c r="A764" s="5">
        <v>31</v>
      </c>
      <c r="B764" s="5" t="s">
        <v>54</v>
      </c>
      <c r="C764" s="5" t="s">
        <v>238</v>
      </c>
      <c r="D764" s="5" t="s">
        <v>30</v>
      </c>
      <c r="E764" s="9" t="s">
        <v>42</v>
      </c>
      <c r="F764" s="5" t="s">
        <v>457</v>
      </c>
      <c r="G764" s="5" t="s">
        <v>144</v>
      </c>
      <c r="H764" s="12">
        <v>30135059</v>
      </c>
      <c r="I764" s="42" t="str">
        <f t="shared" ref="I764" si="458">CONCATENATE(H764,"-",G764)</f>
        <v>30135059-EJECUCION</v>
      </c>
      <c r="J764" s="12"/>
      <c r="K764" s="307" t="str">
        <f t="shared" ref="K764" si="459">CLEAN(H764)</f>
        <v>30135059</v>
      </c>
      <c r="L764" s="15" t="s">
        <v>221</v>
      </c>
      <c r="M764" s="23">
        <v>6962481000</v>
      </c>
      <c r="N764" s="34">
        <v>0</v>
      </c>
      <c r="O764" s="34">
        <v>200000000</v>
      </c>
      <c r="P764" s="310">
        <v>0</v>
      </c>
      <c r="Q764" s="34">
        <v>0</v>
      </c>
      <c r="R764" s="308">
        <v>0</v>
      </c>
      <c r="S764" s="34">
        <f>P764+Q764+R764</f>
        <v>0</v>
      </c>
      <c r="T764" s="34">
        <v>0</v>
      </c>
      <c r="U764" s="34">
        <v>0</v>
      </c>
      <c r="V764" s="34">
        <f>P764+Q764+R764+T764+U764</f>
        <v>0</v>
      </c>
      <c r="W764" s="34">
        <f>O764-V764</f>
        <v>200000000</v>
      </c>
      <c r="X764" s="34">
        <f>M764-(N764+O764)</f>
        <v>6762481000</v>
      </c>
      <c r="Y764" s="48" t="s">
        <v>243</v>
      </c>
      <c r="Z764" s="48" t="s">
        <v>8</v>
      </c>
      <c r="AA764" s="2" t="s">
        <v>844</v>
      </c>
      <c r="AB764" s="2" t="e">
        <f>VLOOKUP(H764,#REF!,2,FALSE)</f>
        <v>#REF!</v>
      </c>
      <c r="AC764" s="2" t="e">
        <f>VLOOKUP(I764,#REF!,2,FALSE)</f>
        <v>#REF!</v>
      </c>
      <c r="AD764" s="2" t="e">
        <f>VLOOKUP(H764,#REF!,13,FALSE)</f>
        <v>#REF!</v>
      </c>
      <c r="AE764" s="2" t="e">
        <f>VLOOKUP(I764,#REF!,7,FALSE)</f>
        <v>#REF!</v>
      </c>
      <c r="AG764" s="2" t="e">
        <f>VLOOKUP(H764,#REF!,13,FALSE)</f>
        <v>#REF!</v>
      </c>
      <c r="AH764" s="2" t="e">
        <f>VLOOKUP(I764,#REF!,2,FALSE)</f>
        <v>#REF!</v>
      </c>
      <c r="AJ764" s="185" t="e">
        <f>VLOOKUP(H764,#REF!,3,FALSE)</f>
        <v>#REF!</v>
      </c>
      <c r="AK764" s="185"/>
      <c r="AL764" s="185" t="e">
        <f>VLOOKUP(H764,#REF!,13,FALSE)</f>
        <v>#REF!</v>
      </c>
      <c r="AM764" s="185" t="e">
        <f>VLOOKUP(CLEAN(H764),#REF!,7,FALSE)</f>
        <v>#REF!</v>
      </c>
      <c r="AN764" s="2" t="e">
        <f>VLOOKUP(H764,#REF!,8,FALSE)</f>
        <v>#REF!</v>
      </c>
      <c r="AO764" s="189" t="e">
        <f>VLOOKUP(H764,#REF!,2,FALSE)</f>
        <v>#REF!</v>
      </c>
      <c r="AP764" s="189" t="e">
        <f>VLOOKUP(H764,#REF!,2,FALSE)</f>
        <v>#REF!</v>
      </c>
      <c r="AQ764" s="189"/>
      <c r="AR764" s="2" t="e">
        <f>VLOOKUP(CLEAN(H764),#REF!,2,FALSE)</f>
        <v>#REF!</v>
      </c>
      <c r="AT764" s="2" t="e">
        <f>VLOOKUP(H764,#REF!,13,FALSE)</f>
        <v>#REF!</v>
      </c>
      <c r="AU764" s="2" t="e">
        <f>VLOOKUP(H764,#REF!,13,FALSE)</f>
        <v>#REF!</v>
      </c>
      <c r="AV764" s="2" t="e">
        <f>VLOOKUP(H764,#REF!,13,FALSE)</f>
        <v>#REF!</v>
      </c>
      <c r="AW764" s="2" t="e">
        <f>VLOOKUP(H764,#REF!,13,FALSE)</f>
        <v>#REF!</v>
      </c>
      <c r="AX764" s="2" t="e">
        <f>VLOOKUP(H764,#REF!,9,FALSE)</f>
        <v>#REF!</v>
      </c>
      <c r="AY764" s="2" t="e">
        <f>VLOOKUP(H764,#REF!,2,FALSE)</f>
        <v>#REF!</v>
      </c>
      <c r="AZ764" s="189" t="e">
        <f>VLOOKUP(H764,#REF!,2,FALSE)</f>
        <v>#REF!</v>
      </c>
      <c r="BF764" s="189" t="e">
        <f>VLOOKUP(CLEAN(H764),#REF!,2,FALSE)</f>
        <v>#REF!</v>
      </c>
      <c r="BG764" s="189" t="e">
        <f>T764-BF764</f>
        <v>#REF!</v>
      </c>
      <c r="BO764" s="2" t="e">
        <f>VLOOKUP(H764,#REF!,13,FALSE)</f>
        <v>#REF!</v>
      </c>
      <c r="BP764" s="2" t="e">
        <f>VLOOKUP(H764,#REF!,2,FALSE)</f>
        <v>#REF!</v>
      </c>
      <c r="BQ764" s="2" t="e">
        <f>VLOOKUP(H764,#REF!,13,FALSE)</f>
        <v>#REF!</v>
      </c>
      <c r="BR764" s="2" t="e">
        <f>VLOOKUP(H764,#REF!,3,FALSE)</f>
        <v>#REF!</v>
      </c>
    </row>
    <row r="765" spans="1:70" ht="15" customHeight="1" outlineLevel="2">
      <c r="A765" s="7"/>
      <c r="B765" s="7"/>
      <c r="C765" s="7"/>
      <c r="D765" s="7"/>
      <c r="E765" s="7"/>
      <c r="F765" s="7"/>
      <c r="G765" s="7"/>
      <c r="H765" s="11"/>
      <c r="I765" s="11"/>
      <c r="J765" s="11"/>
      <c r="K765" s="11"/>
      <c r="L765" s="17" t="s">
        <v>702</v>
      </c>
      <c r="M765" s="27">
        <f>SUBTOTAL(9,M764)</f>
        <v>6962481000</v>
      </c>
      <c r="N765" s="27">
        <f t="shared" ref="N765:O765" si="460">SUBTOTAL(9,N764)</f>
        <v>0</v>
      </c>
      <c r="O765" s="27">
        <f t="shared" si="460"/>
        <v>200000000</v>
      </c>
      <c r="P765" s="24">
        <f t="shared" ref="P765:X765" si="461">SUBTOTAL(9,P764)</f>
        <v>0</v>
      </c>
      <c r="Q765" s="24">
        <f t="shared" si="461"/>
        <v>0</v>
      </c>
      <c r="R765" s="24">
        <f t="shared" si="461"/>
        <v>0</v>
      </c>
      <c r="S765" s="27">
        <f t="shared" si="461"/>
        <v>0</v>
      </c>
      <c r="T765" s="27">
        <f t="shared" si="461"/>
        <v>0</v>
      </c>
      <c r="U765" s="27">
        <f t="shared" si="461"/>
        <v>0</v>
      </c>
      <c r="V765" s="27">
        <f t="shared" si="461"/>
        <v>0</v>
      </c>
      <c r="W765" s="27">
        <f t="shared" si="461"/>
        <v>200000000</v>
      </c>
      <c r="X765" s="27">
        <f t="shared" si="461"/>
        <v>6762481000</v>
      </c>
      <c r="Y765" s="47"/>
      <c r="Z765" s="47"/>
      <c r="AM765" s="185" t="e">
        <f>VLOOKUP(CLEAN(H765),#REF!,7,FALSE)</f>
        <v>#REF!</v>
      </c>
      <c r="AO765"/>
      <c r="AP765"/>
      <c r="AQ765"/>
      <c r="AR765" s="2" t="e">
        <f>VLOOKUP(CLEAN(H765),#REF!,2,FALSE)</f>
        <v>#REF!</v>
      </c>
      <c r="AZ765" s="2" t="e">
        <f>VLOOKUP(H765,#REF!,2,FALSE)</f>
        <v>#REF!</v>
      </c>
      <c r="BO765" s="2" t="e">
        <f>VLOOKUP(H765,#REF!,13,FALSE)</f>
        <v>#REF!</v>
      </c>
      <c r="BQ765" s="2" t="e">
        <f>VLOOKUP(H765,#REF!,13,FALSE)</f>
        <v>#REF!</v>
      </c>
    </row>
    <row r="766" spans="1:70" ht="15" customHeight="1" outlineLevel="2">
      <c r="A766" s="7"/>
      <c r="B766" s="7"/>
      <c r="C766" s="7"/>
      <c r="D766" s="7"/>
      <c r="E766" s="7"/>
      <c r="F766" s="7"/>
      <c r="G766" s="7"/>
      <c r="H766" s="11"/>
      <c r="I766" s="11"/>
      <c r="J766" s="11"/>
      <c r="K766" s="11"/>
      <c r="L766" s="292"/>
      <c r="M766" s="22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47"/>
      <c r="Z766" s="47"/>
      <c r="AM766" s="185" t="e">
        <f>VLOOKUP(CLEAN(H766),#REF!,7,FALSE)</f>
        <v>#REF!</v>
      </c>
      <c r="AO766"/>
      <c r="AP766"/>
      <c r="AQ766"/>
      <c r="AR766" s="2" t="e">
        <f>VLOOKUP(CLEAN(H766),#REF!,2,FALSE)</f>
        <v>#REF!</v>
      </c>
      <c r="AZ766" s="2" t="e">
        <f>VLOOKUP(H766,#REF!,2,FALSE)</f>
        <v>#REF!</v>
      </c>
      <c r="BO766" s="2" t="e">
        <f>VLOOKUP(H766,#REF!,13,FALSE)</f>
        <v>#REF!</v>
      </c>
      <c r="BP766" s="293"/>
      <c r="BQ766" s="2" t="e">
        <f>VLOOKUP(H766,#REF!,13,FALSE)</f>
        <v>#REF!</v>
      </c>
    </row>
    <row r="767" spans="1:70" ht="15" customHeight="1" outlineLevel="2">
      <c r="A767" s="7"/>
      <c r="B767" s="7"/>
      <c r="C767" s="7"/>
      <c r="D767" s="7"/>
      <c r="E767" s="7"/>
      <c r="F767" s="7"/>
      <c r="G767" s="7"/>
      <c r="H767" s="11"/>
      <c r="I767" s="11"/>
      <c r="J767" s="11"/>
      <c r="K767" s="11"/>
      <c r="L767" s="18" t="s">
        <v>698</v>
      </c>
      <c r="M767" s="22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47"/>
      <c r="Z767" s="47"/>
      <c r="AO767"/>
      <c r="AP767"/>
      <c r="AQ767"/>
      <c r="AR767" s="2" t="e">
        <f>VLOOKUP(CLEAN(H767),#REF!,2,FALSE)</f>
        <v>#REF!</v>
      </c>
      <c r="AZ767" s="2" t="e">
        <f>VLOOKUP(H767,#REF!,2,FALSE)</f>
        <v>#REF!</v>
      </c>
      <c r="BO767" s="2" t="e">
        <f>VLOOKUP(H767,#REF!,13,FALSE)</f>
        <v>#REF!</v>
      </c>
      <c r="BQ767" s="2" t="e">
        <f>VLOOKUP(H767,#REF!,13,FALSE)</f>
        <v>#REF!</v>
      </c>
    </row>
    <row r="768" spans="1:70" s="2" customFormat="1" ht="15" customHeight="1" outlineLevel="2">
      <c r="A768" s="5">
        <v>31</v>
      </c>
      <c r="B768" s="5" t="s">
        <v>54</v>
      </c>
      <c r="C768" s="5" t="s">
        <v>241</v>
      </c>
      <c r="D768" s="5" t="s">
        <v>30</v>
      </c>
      <c r="E768" s="9" t="s">
        <v>42</v>
      </c>
      <c r="F768" s="5" t="s">
        <v>89</v>
      </c>
      <c r="G768" s="5" t="s">
        <v>144</v>
      </c>
      <c r="H768" s="12">
        <v>34538270</v>
      </c>
      <c r="I768" s="42" t="str">
        <f>CONCATENATE(H768,"-",G768)</f>
        <v>34538270-EJECUCION</v>
      </c>
      <c r="J768" s="12"/>
      <c r="K768" s="307" t="str">
        <f>CLEAN(H768)</f>
        <v>34538270</v>
      </c>
      <c r="L768" s="15" t="s">
        <v>292</v>
      </c>
      <c r="M768" s="23">
        <v>1298249800</v>
      </c>
      <c r="N768" s="34">
        <v>0</v>
      </c>
      <c r="O768" s="34">
        <v>129824980</v>
      </c>
      <c r="P768" s="310">
        <v>0</v>
      </c>
      <c r="Q768" s="34">
        <v>0</v>
      </c>
      <c r="R768" s="308">
        <v>0</v>
      </c>
      <c r="S768" s="34">
        <f t="shared" ref="S768:S769" si="462">P768+Q768+R768</f>
        <v>0</v>
      </c>
      <c r="T768" s="34">
        <v>0</v>
      </c>
      <c r="U768" s="34">
        <v>0</v>
      </c>
      <c r="V768" s="34">
        <f>P768+Q768+R768+T768+U768</f>
        <v>0</v>
      </c>
      <c r="W768" s="34">
        <f>O768-V768</f>
        <v>129824980</v>
      </c>
      <c r="X768" s="34">
        <f>M768-(N768+O768)</f>
        <v>1168424820</v>
      </c>
      <c r="Y768" s="48" t="s">
        <v>85</v>
      </c>
      <c r="Z768" s="48" t="s">
        <v>10</v>
      </c>
      <c r="AA768" s="2" t="e">
        <v>#N/A</v>
      </c>
      <c r="AB768" s="2" t="e">
        <f>VLOOKUP(H768,#REF!,2,FALSE)</f>
        <v>#REF!</v>
      </c>
      <c r="AC768" s="2" t="e">
        <f>VLOOKUP(I768,#REF!,2,FALSE)</f>
        <v>#REF!</v>
      </c>
      <c r="AD768" s="2" t="e">
        <f>VLOOKUP(H768,#REF!,13,FALSE)</f>
        <v>#REF!</v>
      </c>
      <c r="AE768" s="2" t="e">
        <f>VLOOKUP(I768,#REF!,7,FALSE)</f>
        <v>#REF!</v>
      </c>
      <c r="AG768" s="2" t="e">
        <f>VLOOKUP(H768,#REF!,13,FALSE)</f>
        <v>#REF!</v>
      </c>
      <c r="AH768" s="2" t="e">
        <f>VLOOKUP(I768,#REF!,2,FALSE)</f>
        <v>#REF!</v>
      </c>
      <c r="AJ768" s="185" t="e">
        <f>VLOOKUP(H768,#REF!,3,FALSE)</f>
        <v>#REF!</v>
      </c>
      <c r="AK768" s="185" t="s">
        <v>685</v>
      </c>
      <c r="AL768" s="185" t="e">
        <f>VLOOKUP(H768,#REF!,13,FALSE)</f>
        <v>#REF!</v>
      </c>
      <c r="AM768" s="185" t="e">
        <f>VLOOKUP(CLEAN(H768),#REF!,7,FALSE)</f>
        <v>#REF!</v>
      </c>
      <c r="AN768" s="2" t="e">
        <f>VLOOKUP(H768,#REF!,8,FALSE)</f>
        <v>#REF!</v>
      </c>
      <c r="AO768" s="189" t="e">
        <f>VLOOKUP(H768,#REF!,2,FALSE)</f>
        <v>#REF!</v>
      </c>
      <c r="AP768" s="189" t="e">
        <f>VLOOKUP(H768,#REF!,2,FALSE)</f>
        <v>#REF!</v>
      </c>
      <c r="AQ768" s="189"/>
      <c r="AR768" s="2" t="e">
        <f>VLOOKUP(CLEAN(H768),#REF!,2,FALSE)</f>
        <v>#REF!</v>
      </c>
      <c r="AT768" s="2" t="e">
        <f>VLOOKUP(H768,#REF!,13,FALSE)</f>
        <v>#REF!</v>
      </c>
      <c r="AU768" s="2" t="e">
        <f>VLOOKUP(H768,#REF!,13,FALSE)</f>
        <v>#REF!</v>
      </c>
      <c r="AV768" s="2" t="e">
        <f>VLOOKUP(H768,#REF!,13,FALSE)</f>
        <v>#REF!</v>
      </c>
      <c r="AW768" s="2" t="e">
        <f>VLOOKUP(H768,#REF!,13,FALSE)</f>
        <v>#REF!</v>
      </c>
      <c r="AX768" s="2" t="e">
        <f>VLOOKUP(H768,#REF!,9,FALSE)</f>
        <v>#REF!</v>
      </c>
      <c r="AZ768" s="2" t="e">
        <f>VLOOKUP(H768,#REF!,2,FALSE)</f>
        <v>#REF!</v>
      </c>
      <c r="BF768" s="189" t="e">
        <f>VLOOKUP(CLEAN(H768),#REF!,2,FALSE)</f>
        <v>#REF!</v>
      </c>
      <c r="BG768" s="189" t="e">
        <f>T768-BF768</f>
        <v>#REF!</v>
      </c>
      <c r="BO768" s="2" t="e">
        <f>VLOOKUP(H768,#REF!,13,FALSE)</f>
        <v>#REF!</v>
      </c>
      <c r="BP768" s="2" t="e">
        <f>VLOOKUP(H768,#REF!,2,FALSE)</f>
        <v>#REF!</v>
      </c>
      <c r="BQ768" s="2" t="e">
        <f>VLOOKUP(H768,#REF!,13,FALSE)</f>
        <v>#REF!</v>
      </c>
      <c r="BR768" s="2" t="e">
        <f>VLOOKUP(H768,#REF!,3,FALSE)</f>
        <v>#REF!</v>
      </c>
    </row>
    <row r="769" spans="1:70" s="2" customFormat="1" ht="15" customHeight="1" outlineLevel="2">
      <c r="A769" s="5">
        <v>29</v>
      </c>
      <c r="B769" s="5" t="s">
        <v>11</v>
      </c>
      <c r="C769" s="5" t="s">
        <v>240</v>
      </c>
      <c r="D769" s="5" t="s">
        <v>30</v>
      </c>
      <c r="E769" s="5" t="s">
        <v>42</v>
      </c>
      <c r="F769" s="5" t="s">
        <v>457</v>
      </c>
      <c r="G769" s="5" t="s">
        <v>144</v>
      </c>
      <c r="H769" s="12">
        <v>40002366</v>
      </c>
      <c r="I769" s="311" t="str">
        <f>CONCATENATE(H769,"-",G769)</f>
        <v>40002366-EJECUCION</v>
      </c>
      <c r="J769" s="190"/>
      <c r="K769" s="309" t="str">
        <f>CLEAN(H769)</f>
        <v>40002366</v>
      </c>
      <c r="L769" s="15" t="s">
        <v>819</v>
      </c>
      <c r="M769" s="23">
        <v>647866000</v>
      </c>
      <c r="N769" s="34">
        <v>0</v>
      </c>
      <c r="O769" s="34">
        <v>240000000</v>
      </c>
      <c r="P769" s="310">
        <v>0</v>
      </c>
      <c r="Q769" s="34">
        <v>0</v>
      </c>
      <c r="R769" s="308">
        <v>0</v>
      </c>
      <c r="S769" s="34">
        <f t="shared" si="462"/>
        <v>0</v>
      </c>
      <c r="T769" s="34">
        <v>0</v>
      </c>
      <c r="U769" s="34">
        <v>0</v>
      </c>
      <c r="V769" s="34">
        <f>P769+Q769+R769+T769+U769</f>
        <v>0</v>
      </c>
      <c r="W769" s="34">
        <f>O769-V769</f>
        <v>240000000</v>
      </c>
      <c r="X769" s="34">
        <f>M769-(N769+O769)</f>
        <v>407866000</v>
      </c>
      <c r="Y769" s="48" t="s">
        <v>85</v>
      </c>
      <c r="Z769" s="48" t="s">
        <v>10</v>
      </c>
      <c r="AA769" s="2" t="e">
        <v>#N/A</v>
      </c>
      <c r="AB769" s="2" t="e">
        <f>VLOOKUP(H769,#REF!,2,FALSE)</f>
        <v>#REF!</v>
      </c>
      <c r="AC769" s="2" t="e">
        <f>VLOOKUP(I769,#REF!,2,FALSE)</f>
        <v>#REF!</v>
      </c>
      <c r="AD769" s="2" t="e">
        <f>VLOOKUP(H769,#REF!,13,FALSE)</f>
        <v>#REF!</v>
      </c>
      <c r="AE769" s="2" t="e">
        <f>VLOOKUP(I769,#REF!,7,FALSE)</f>
        <v>#REF!</v>
      </c>
      <c r="AG769" s="2" t="e">
        <f>VLOOKUP(H769,#REF!,13,FALSE)</f>
        <v>#REF!</v>
      </c>
      <c r="AH769" s="2" t="e">
        <f>VLOOKUP(I769,#REF!,2,FALSE)</f>
        <v>#REF!</v>
      </c>
      <c r="AJ769" s="185" t="e">
        <f>VLOOKUP(H769,#REF!,3,FALSE)</f>
        <v>#REF!</v>
      </c>
      <c r="AK769" s="185"/>
      <c r="AL769" s="185" t="e">
        <f>VLOOKUP(H769,#REF!,13,FALSE)</f>
        <v>#REF!</v>
      </c>
      <c r="AM769" s="185" t="e">
        <f>VLOOKUP(CLEAN(H769),#REF!,7,FALSE)</f>
        <v>#REF!</v>
      </c>
      <c r="AN769" s="2" t="e">
        <f>VLOOKUP(H769,#REF!,8,FALSE)</f>
        <v>#REF!</v>
      </c>
      <c r="AO769" s="189" t="e">
        <f>VLOOKUP(H769,#REF!,2,FALSE)</f>
        <v>#REF!</v>
      </c>
      <c r="AP769" s="189" t="e">
        <f>VLOOKUP(H769,#REF!,2,FALSE)</f>
        <v>#REF!</v>
      </c>
      <c r="AQ769" s="189"/>
      <c r="AR769" s="2" t="e">
        <f>VLOOKUP(CLEAN(H769),#REF!,2,FALSE)</f>
        <v>#REF!</v>
      </c>
      <c r="AT769" s="2" t="e">
        <f>VLOOKUP(H769,#REF!,13,FALSE)</f>
        <v>#REF!</v>
      </c>
      <c r="AU769" s="2" t="e">
        <f>VLOOKUP(H769,#REF!,13,FALSE)</f>
        <v>#REF!</v>
      </c>
      <c r="AV769" s="2" t="e">
        <f>VLOOKUP(H769,#REF!,13,FALSE)</f>
        <v>#REF!</v>
      </c>
      <c r="AW769" s="2" t="e">
        <f>VLOOKUP(H769,#REF!,13,FALSE)</f>
        <v>#REF!</v>
      </c>
      <c r="AX769" s="2" t="e">
        <f>VLOOKUP(H769,#REF!,9,FALSE)</f>
        <v>#REF!</v>
      </c>
      <c r="AY769" s="2" t="e">
        <f>VLOOKUP(H769,#REF!,2,FALSE)</f>
        <v>#REF!</v>
      </c>
      <c r="AZ769" s="2" t="e">
        <f>VLOOKUP(H769,#REF!,2,FALSE)</f>
        <v>#REF!</v>
      </c>
      <c r="BF769" s="189" t="e">
        <f>VLOOKUP(CLEAN(H769),#REF!,2,FALSE)</f>
        <v>#REF!</v>
      </c>
      <c r="BG769" s="189" t="e">
        <f>T769-BF769</f>
        <v>#REF!</v>
      </c>
      <c r="BO769" s="2" t="e">
        <f>VLOOKUP(H769,#REF!,13,FALSE)</f>
        <v>#REF!</v>
      </c>
      <c r="BP769" s="2" t="e">
        <f>VLOOKUP(H769,#REF!,2,FALSE)</f>
        <v>#REF!</v>
      </c>
      <c r="BQ769" s="2" t="e">
        <f>VLOOKUP(H769,#REF!,13,FALSE)</f>
        <v>#REF!</v>
      </c>
      <c r="BR769" s="2" t="e">
        <f>VLOOKUP(H769,#REF!,3,FALSE)</f>
        <v>#REF!</v>
      </c>
    </row>
    <row r="770" spans="1:70" ht="15" customHeight="1" outlineLevel="2">
      <c r="A770" s="7"/>
      <c r="B770" s="7"/>
      <c r="C770" s="7"/>
      <c r="D770" s="7"/>
      <c r="E770" s="7"/>
      <c r="F770" s="7"/>
      <c r="G770" s="7"/>
      <c r="H770" s="11"/>
      <c r="I770" s="11"/>
      <c r="J770" s="11"/>
      <c r="K770" s="11"/>
      <c r="L770" s="17" t="s">
        <v>692</v>
      </c>
      <c r="M770" s="27">
        <f>SUBTOTAL(9,M768:M769)</f>
        <v>1946115800</v>
      </c>
      <c r="N770" s="27">
        <f t="shared" ref="N770:O770" si="463">SUBTOTAL(9,N768:N769)</f>
        <v>0</v>
      </c>
      <c r="O770" s="27">
        <f t="shared" si="463"/>
        <v>369824980</v>
      </c>
      <c r="P770" s="24">
        <f t="shared" ref="P770:X770" si="464">SUBTOTAL(9,P768:P769)</f>
        <v>0</v>
      </c>
      <c r="Q770" s="24">
        <f t="shared" si="464"/>
        <v>0</v>
      </c>
      <c r="R770" s="24">
        <f t="shared" si="464"/>
        <v>0</v>
      </c>
      <c r="S770" s="27">
        <f t="shared" si="464"/>
        <v>0</v>
      </c>
      <c r="T770" s="27">
        <f t="shared" si="464"/>
        <v>0</v>
      </c>
      <c r="U770" s="27">
        <f t="shared" si="464"/>
        <v>0</v>
      </c>
      <c r="V770" s="27">
        <f t="shared" si="464"/>
        <v>0</v>
      </c>
      <c r="W770" s="27">
        <f t="shared" si="464"/>
        <v>369824980</v>
      </c>
      <c r="X770" s="27">
        <f t="shared" si="464"/>
        <v>1576290820</v>
      </c>
      <c r="Y770" s="47"/>
      <c r="Z770" s="47"/>
      <c r="AO770"/>
      <c r="AP770"/>
      <c r="AQ770"/>
      <c r="AR770" s="2" t="e">
        <f>VLOOKUP(CLEAN(H770),#REF!,2,FALSE)</f>
        <v>#REF!</v>
      </c>
      <c r="AZ770" s="2" t="e">
        <f>VLOOKUP(H770,#REF!,2,FALSE)</f>
        <v>#REF!</v>
      </c>
      <c r="BO770" s="2" t="e">
        <f>VLOOKUP(H770,#REF!,13,FALSE)</f>
        <v>#REF!</v>
      </c>
      <c r="BQ770" s="2" t="e">
        <f>VLOOKUP(H770,#REF!,13,FALSE)</f>
        <v>#REF!</v>
      </c>
    </row>
    <row r="771" spans="1:70" ht="15" customHeight="1" outlineLevel="2">
      <c r="A771" s="7"/>
      <c r="B771" s="7"/>
      <c r="C771" s="7"/>
      <c r="D771" s="7"/>
      <c r="E771" s="7"/>
      <c r="F771" s="7"/>
      <c r="G771" s="7"/>
      <c r="H771" s="11"/>
      <c r="I771" s="11"/>
      <c r="J771" s="11"/>
      <c r="K771" s="11"/>
      <c r="L771" s="292"/>
      <c r="M771" s="22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47"/>
      <c r="Z771" s="47"/>
      <c r="AO771"/>
      <c r="AP771"/>
      <c r="AQ771"/>
      <c r="AR771" s="2" t="e">
        <f>VLOOKUP(CLEAN(H771),#REF!,2,FALSE)</f>
        <v>#REF!</v>
      </c>
      <c r="AZ771" s="2" t="e">
        <f>VLOOKUP(H771,#REF!,2,FALSE)</f>
        <v>#REF!</v>
      </c>
      <c r="BO771" s="2" t="e">
        <f>VLOOKUP(H771,#REF!,13,FALSE)</f>
        <v>#REF!</v>
      </c>
      <c r="BP771" s="293"/>
      <c r="BQ771" s="2" t="e">
        <f>VLOOKUP(H771,#REF!,13,FALSE)</f>
        <v>#REF!</v>
      </c>
    </row>
    <row r="772" spans="1:70" ht="15" customHeight="1" outlineLevel="2">
      <c r="A772" s="7"/>
      <c r="B772" s="7"/>
      <c r="C772" s="7"/>
      <c r="D772" s="7"/>
      <c r="E772" s="7"/>
      <c r="F772" s="7"/>
      <c r="G772" s="7"/>
      <c r="H772" s="11"/>
      <c r="I772" s="11"/>
      <c r="J772" s="11"/>
      <c r="K772" s="11"/>
      <c r="L772" s="18" t="s">
        <v>696</v>
      </c>
      <c r="M772" s="22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47"/>
      <c r="Z772" s="47"/>
      <c r="AM772" s="185" t="e">
        <f>VLOOKUP(CLEAN(H772),#REF!,7,FALSE)</f>
        <v>#REF!</v>
      </c>
      <c r="AO772"/>
      <c r="AP772"/>
      <c r="AQ772"/>
      <c r="AR772" s="2" t="e">
        <f>VLOOKUP(CLEAN(H772),#REF!,2,FALSE)</f>
        <v>#REF!</v>
      </c>
      <c r="AZ772" s="2" t="e">
        <f>VLOOKUP(H772,#REF!,2,FALSE)</f>
        <v>#REF!</v>
      </c>
      <c r="BO772" s="2" t="e">
        <f>VLOOKUP(H772,#REF!,13,FALSE)</f>
        <v>#REF!</v>
      </c>
      <c r="BQ772" s="2" t="e">
        <f>VLOOKUP(H772,#REF!,13,FALSE)</f>
        <v>#REF!</v>
      </c>
    </row>
    <row r="773" spans="1:70" s="2" customFormat="1" ht="15" customHeight="1" outlineLevel="2">
      <c r="A773" s="5">
        <v>31</v>
      </c>
      <c r="B773" s="5" t="s">
        <v>54</v>
      </c>
      <c r="C773" s="5" t="s">
        <v>240</v>
      </c>
      <c r="D773" s="5" t="s">
        <v>30</v>
      </c>
      <c r="E773" s="9" t="s">
        <v>42</v>
      </c>
      <c r="F773" s="5" t="s">
        <v>89</v>
      </c>
      <c r="G773" s="5" t="s">
        <v>144</v>
      </c>
      <c r="H773" s="12">
        <v>30083300</v>
      </c>
      <c r="I773" s="42" t="str">
        <f t="shared" ref="I773:I779" si="465">CONCATENATE(H773,"-",G773)</f>
        <v>30083300-EJECUCION</v>
      </c>
      <c r="J773" s="12" t="s">
        <v>736</v>
      </c>
      <c r="K773" s="307" t="str">
        <f t="shared" ref="K773:K779" si="466">CLEAN(H773)</f>
        <v>30083300</v>
      </c>
      <c r="L773" s="15" t="s">
        <v>231</v>
      </c>
      <c r="M773" s="23">
        <v>4454843000</v>
      </c>
      <c r="N773" s="34">
        <v>0</v>
      </c>
      <c r="O773" s="34">
        <f>140000000</f>
        <v>140000000</v>
      </c>
      <c r="P773" s="310">
        <v>0</v>
      </c>
      <c r="Q773" s="34">
        <v>0</v>
      </c>
      <c r="R773" s="308">
        <v>0</v>
      </c>
      <c r="S773" s="34">
        <f t="shared" ref="S773:S779" si="467">P773+Q773+R773</f>
        <v>0</v>
      </c>
      <c r="T773" s="34">
        <v>0</v>
      </c>
      <c r="U773" s="34">
        <v>0</v>
      </c>
      <c r="V773" s="34">
        <f>P773+Q773+R773+T773+U773</f>
        <v>0</v>
      </c>
      <c r="W773" s="34">
        <f>O773-V773</f>
        <v>140000000</v>
      </c>
      <c r="X773" s="34">
        <f>M773-(N773+O773)</f>
        <v>4314843000</v>
      </c>
      <c r="Y773" s="48" t="s">
        <v>420</v>
      </c>
      <c r="Z773" s="48" t="s">
        <v>8</v>
      </c>
      <c r="AA773" s="2" t="s">
        <v>844</v>
      </c>
      <c r="AB773" s="2" t="e">
        <f>VLOOKUP(H773,#REF!,2,FALSE)</f>
        <v>#REF!</v>
      </c>
      <c r="AC773" s="2" t="e">
        <f>VLOOKUP(I773,#REF!,2,FALSE)</f>
        <v>#REF!</v>
      </c>
      <c r="AD773" s="2" t="e">
        <f>VLOOKUP(H773,#REF!,13,FALSE)</f>
        <v>#REF!</v>
      </c>
      <c r="AE773" s="2" t="e">
        <f>VLOOKUP(I773,#REF!,7,FALSE)</f>
        <v>#REF!</v>
      </c>
      <c r="AG773" s="2" t="e">
        <f>VLOOKUP(H773,#REF!,13,FALSE)</f>
        <v>#REF!</v>
      </c>
      <c r="AH773" s="2" t="e">
        <f>VLOOKUP(I773,#REF!,2,FALSE)</f>
        <v>#REF!</v>
      </c>
      <c r="AJ773" s="185" t="e">
        <f>VLOOKUP(H773,#REF!,3,FALSE)</f>
        <v>#REF!</v>
      </c>
      <c r="AK773" s="185"/>
      <c r="AL773" s="185" t="e">
        <f>VLOOKUP(H773,#REF!,13,FALSE)</f>
        <v>#REF!</v>
      </c>
      <c r="AM773" s="185" t="e">
        <f>VLOOKUP(CLEAN(H773),#REF!,7,FALSE)</f>
        <v>#REF!</v>
      </c>
      <c r="AN773" s="2" t="e">
        <f>VLOOKUP(H773,#REF!,8,FALSE)</f>
        <v>#REF!</v>
      </c>
      <c r="AO773" s="189" t="e">
        <f>VLOOKUP(H773,#REF!,2,FALSE)</f>
        <v>#REF!</v>
      </c>
      <c r="AP773" s="189" t="e">
        <f>VLOOKUP(H773,#REF!,2,FALSE)</f>
        <v>#REF!</v>
      </c>
      <c r="AQ773" s="189"/>
      <c r="AR773" s="2" t="e">
        <f>VLOOKUP(CLEAN(H773),#REF!,2,FALSE)</f>
        <v>#REF!</v>
      </c>
      <c r="AT773" s="2" t="e">
        <f>VLOOKUP(H773,#REF!,13,FALSE)</f>
        <v>#REF!</v>
      </c>
      <c r="AU773" s="2" t="e">
        <f>VLOOKUP(H773,#REF!,13,FALSE)</f>
        <v>#REF!</v>
      </c>
      <c r="AV773" s="2" t="e">
        <f>VLOOKUP(H773,#REF!,13,FALSE)</f>
        <v>#REF!</v>
      </c>
      <c r="AW773" s="2" t="e">
        <f>VLOOKUP(H773,#REF!,13,FALSE)</f>
        <v>#REF!</v>
      </c>
      <c r="AX773" s="2" t="e">
        <f>VLOOKUP(H773,#REF!,9,FALSE)</f>
        <v>#REF!</v>
      </c>
      <c r="AZ773" s="2" t="e">
        <f>VLOOKUP(H773,#REF!,2,FALSE)</f>
        <v>#REF!</v>
      </c>
      <c r="BF773" s="189" t="e">
        <f>VLOOKUP(CLEAN(H773),#REF!,2,FALSE)</f>
        <v>#REF!</v>
      </c>
      <c r="BG773" s="189" t="e">
        <f>T773-BF773</f>
        <v>#REF!</v>
      </c>
      <c r="BO773" s="2" t="e">
        <f>VLOOKUP(H773,#REF!,13,FALSE)</f>
        <v>#REF!</v>
      </c>
      <c r="BP773" s="2" t="e">
        <f>VLOOKUP(H773,#REF!,2,FALSE)</f>
        <v>#REF!</v>
      </c>
      <c r="BQ773" s="2" t="e">
        <f>VLOOKUP(H773,#REF!,13,FALSE)</f>
        <v>#REF!</v>
      </c>
      <c r="BR773" s="2" t="e">
        <f>VLOOKUP(H773,#REF!,3,FALSE)</f>
        <v>#REF!</v>
      </c>
    </row>
    <row r="774" spans="1:70" s="2" customFormat="1" ht="15" customHeight="1" outlineLevel="2">
      <c r="A774" s="5">
        <v>24</v>
      </c>
      <c r="B774" s="5" t="s">
        <v>54</v>
      </c>
      <c r="C774" s="5" t="s">
        <v>576</v>
      </c>
      <c r="D774" s="5" t="s">
        <v>30</v>
      </c>
      <c r="E774" s="9" t="s">
        <v>42</v>
      </c>
      <c r="F774" s="5" t="s">
        <v>75</v>
      </c>
      <c r="G774" s="5" t="s">
        <v>144</v>
      </c>
      <c r="H774" s="12" t="s">
        <v>223</v>
      </c>
      <c r="I774" s="42" t="str">
        <f t="shared" si="465"/>
        <v>S/C-EJECUCION</v>
      </c>
      <c r="J774" s="12"/>
      <c r="K774" s="307" t="str">
        <f t="shared" si="466"/>
        <v>S/C</v>
      </c>
      <c r="L774" s="15" t="s">
        <v>384</v>
      </c>
      <c r="M774" s="23">
        <f>2433000000-77078572</f>
        <v>2355921428</v>
      </c>
      <c r="N774" s="34">
        <v>0</v>
      </c>
      <c r="O774" s="34">
        <f>2433000000-77078572</f>
        <v>2355921428</v>
      </c>
      <c r="P774" s="310">
        <v>0</v>
      </c>
      <c r="Q774" s="34">
        <v>0</v>
      </c>
      <c r="R774" s="308">
        <v>0</v>
      </c>
      <c r="S774" s="34">
        <f t="shared" si="467"/>
        <v>0</v>
      </c>
      <c r="T774" s="34">
        <v>0</v>
      </c>
      <c r="U774" s="34">
        <v>0</v>
      </c>
      <c r="V774" s="34">
        <f>P774+Q774+R774+T774+U774</f>
        <v>0</v>
      </c>
      <c r="W774" s="34">
        <f>O774-V774</f>
        <v>2355921428</v>
      </c>
      <c r="X774" s="34">
        <f>M774-(N774+O774)</f>
        <v>0</v>
      </c>
      <c r="Y774" s="48" t="s">
        <v>50</v>
      </c>
      <c r="Z774" s="48" t="s">
        <v>256</v>
      </c>
      <c r="AA774" s="2" t="e">
        <v>#N/A</v>
      </c>
      <c r="AB774" s="2" t="e">
        <f>VLOOKUP(H774,#REF!,2,FALSE)</f>
        <v>#REF!</v>
      </c>
      <c r="AC774" s="2" t="e">
        <f>VLOOKUP(I774,#REF!,2,FALSE)</f>
        <v>#REF!</v>
      </c>
      <c r="AD774" s="2" t="e">
        <f>VLOOKUP(H774,#REF!,13,FALSE)</f>
        <v>#REF!</v>
      </c>
      <c r="AE774" s="2" t="e">
        <f>VLOOKUP(I774,#REF!,7,FALSE)</f>
        <v>#REF!</v>
      </c>
      <c r="AG774" s="2" t="e">
        <f>VLOOKUP(H774,#REF!,13,FALSE)</f>
        <v>#REF!</v>
      </c>
      <c r="AH774" s="2" t="e">
        <f>VLOOKUP(I774,#REF!,2,FALSE)</f>
        <v>#REF!</v>
      </c>
      <c r="AJ774" s="185" t="e">
        <f>VLOOKUP(H774,#REF!,3,FALSE)</f>
        <v>#REF!</v>
      </c>
      <c r="AK774" s="185"/>
      <c r="AL774" s="185"/>
      <c r="AM774" s="185" t="e">
        <f>VLOOKUP(CLEAN(H774),#REF!,7,FALSE)</f>
        <v>#REF!</v>
      </c>
      <c r="AN774" s="2" t="e">
        <f>VLOOKUP(H774,#REF!,8,FALSE)</f>
        <v>#REF!</v>
      </c>
      <c r="AO774" s="189" t="e">
        <f>VLOOKUP(H774,#REF!,2,FALSE)</f>
        <v>#REF!</v>
      </c>
      <c r="AP774" s="189" t="e">
        <f>VLOOKUP(H774,#REF!,2,FALSE)</f>
        <v>#REF!</v>
      </c>
      <c r="AQ774" s="189"/>
      <c r="AR774" s="2" t="e">
        <f>VLOOKUP(CLEAN(H774),#REF!,2,FALSE)</f>
        <v>#REF!</v>
      </c>
      <c r="AT774" s="2" t="e">
        <f>VLOOKUP(H774,#REF!,13,FALSE)</f>
        <v>#REF!</v>
      </c>
      <c r="AU774" s="2" t="e">
        <f>VLOOKUP(H774,#REF!,13,FALSE)</f>
        <v>#REF!</v>
      </c>
      <c r="AV774" s="2" t="e">
        <f>VLOOKUP(H774,#REF!,13,FALSE)</f>
        <v>#REF!</v>
      </c>
      <c r="AW774" s="2" t="e">
        <f>VLOOKUP(H774,#REF!,13,FALSE)</f>
        <v>#REF!</v>
      </c>
      <c r="AX774" s="2" t="e">
        <f>VLOOKUP(H774,#REF!,9,FALSE)</f>
        <v>#REF!</v>
      </c>
      <c r="AZ774" s="2" t="e">
        <f>VLOOKUP(H774,#REF!,2,FALSE)</f>
        <v>#REF!</v>
      </c>
      <c r="BF774" s="189" t="e">
        <f>VLOOKUP(CLEAN(H774),#REF!,2,FALSE)</f>
        <v>#REF!</v>
      </c>
      <c r="BG774" s="189" t="e">
        <f>T774-BF774</f>
        <v>#REF!</v>
      </c>
      <c r="BO774" s="2" t="e">
        <f>VLOOKUP(H774,#REF!,13,FALSE)</f>
        <v>#REF!</v>
      </c>
      <c r="BP774" s="2" t="e">
        <f>VLOOKUP(H774,#REF!,2,FALSE)</f>
        <v>#REF!</v>
      </c>
      <c r="BQ774" s="2" t="e">
        <f>VLOOKUP(H774,#REF!,13,FALSE)</f>
        <v>#REF!</v>
      </c>
      <c r="BR774" s="2" t="e">
        <f>VLOOKUP(H774,#REF!,3,FALSE)</f>
        <v>#REF!</v>
      </c>
    </row>
    <row r="775" spans="1:70" s="2" customFormat="1" ht="15" customHeight="1" outlineLevel="2">
      <c r="A775" s="5">
        <v>24</v>
      </c>
      <c r="B775" s="5" t="s">
        <v>54</v>
      </c>
      <c r="C775" s="5" t="s">
        <v>238</v>
      </c>
      <c r="D775" s="5" t="s">
        <v>30</v>
      </c>
      <c r="E775" s="9" t="s">
        <v>42</v>
      </c>
      <c r="F775" s="5" t="s">
        <v>457</v>
      </c>
      <c r="G775" s="5" t="s">
        <v>144</v>
      </c>
      <c r="H775" s="12" t="s">
        <v>374</v>
      </c>
      <c r="I775" s="42" t="str">
        <f t="shared" si="465"/>
        <v>SUBT 24-EJECUCION</v>
      </c>
      <c r="J775" s="12"/>
      <c r="K775" s="307" t="str">
        <f t="shared" si="466"/>
        <v>SUBT 24</v>
      </c>
      <c r="L775" s="15" t="s">
        <v>375</v>
      </c>
      <c r="M775" s="23">
        <v>359099988.79963976</v>
      </c>
      <c r="N775" s="34">
        <v>0</v>
      </c>
      <c r="O775" s="23">
        <v>359099988.79963976</v>
      </c>
      <c r="P775" s="310">
        <v>0</v>
      </c>
      <c r="Q775" s="34">
        <v>0</v>
      </c>
      <c r="R775" s="308">
        <v>0</v>
      </c>
      <c r="S775" s="34">
        <f t="shared" si="467"/>
        <v>0</v>
      </c>
      <c r="T775" s="34">
        <v>810468</v>
      </c>
      <c r="U775" s="34">
        <v>64889</v>
      </c>
      <c r="V775" s="34">
        <f>P775+Q775+R775+T775+U775</f>
        <v>875357</v>
      </c>
      <c r="W775" s="34">
        <f>O775-V775</f>
        <v>358224631.79963976</v>
      </c>
      <c r="X775" s="34">
        <f>M775-(N775+O775)</f>
        <v>0</v>
      </c>
      <c r="Y775" s="48" t="s">
        <v>419</v>
      </c>
      <c r="Z775" s="48" t="s">
        <v>256</v>
      </c>
      <c r="AA775" s="2" t="e">
        <v>#N/A</v>
      </c>
      <c r="AB775" s="2" t="e">
        <f>VLOOKUP(H775,#REF!,2,FALSE)</f>
        <v>#REF!</v>
      </c>
      <c r="AC775" s="2" t="e">
        <f>VLOOKUP(I775,#REF!,2,FALSE)</f>
        <v>#REF!</v>
      </c>
      <c r="AD775" s="2" t="e">
        <f>VLOOKUP(H775,#REF!,13,FALSE)</f>
        <v>#REF!</v>
      </c>
      <c r="AE775" s="2" t="e">
        <f>VLOOKUP(I775,#REF!,7,FALSE)</f>
        <v>#REF!</v>
      </c>
      <c r="AG775" s="2" t="e">
        <f>VLOOKUP(H775,#REF!,13,FALSE)</f>
        <v>#REF!</v>
      </c>
      <c r="AH775" s="2" t="e">
        <f>VLOOKUP(I775,#REF!,2,FALSE)</f>
        <v>#REF!</v>
      </c>
      <c r="AJ775" s="185" t="e">
        <f>VLOOKUP(H775,#REF!,3,FALSE)</f>
        <v>#REF!</v>
      </c>
      <c r="AK775" s="185"/>
      <c r="AL775" s="185"/>
      <c r="AM775" s="185" t="e">
        <f>VLOOKUP(CLEAN(H775),#REF!,7,FALSE)</f>
        <v>#REF!</v>
      </c>
      <c r="AN775" s="2" t="e">
        <f>VLOOKUP(H775,#REF!,8,FALSE)</f>
        <v>#REF!</v>
      </c>
      <c r="AO775" s="189" t="e">
        <f>VLOOKUP(H775,#REF!,2,FALSE)</f>
        <v>#REF!</v>
      </c>
      <c r="AP775" s="189" t="e">
        <f>VLOOKUP(H775,#REF!,2,FALSE)</f>
        <v>#REF!</v>
      </c>
      <c r="AQ775" s="189"/>
      <c r="AR775" s="2" t="e">
        <f>VLOOKUP(CLEAN(H775),#REF!,2,FALSE)</f>
        <v>#REF!</v>
      </c>
      <c r="AT775" s="2" t="e">
        <f>VLOOKUP(H775,#REF!,13,FALSE)</f>
        <v>#REF!</v>
      </c>
      <c r="AU775" s="2" t="e">
        <f>VLOOKUP(H775,#REF!,13,FALSE)</f>
        <v>#REF!</v>
      </c>
      <c r="AV775" s="2" t="e">
        <f>VLOOKUP(H775,#REF!,13,FALSE)</f>
        <v>#REF!</v>
      </c>
      <c r="AW775" s="2" t="e">
        <f>VLOOKUP(H775,#REF!,13,FALSE)</f>
        <v>#REF!</v>
      </c>
      <c r="AX775" s="2" t="e">
        <f>VLOOKUP(H775,#REF!,9,FALSE)</f>
        <v>#REF!</v>
      </c>
      <c r="AZ775" s="2" t="e">
        <f>VLOOKUP(H775,#REF!,2,FALSE)</f>
        <v>#REF!</v>
      </c>
      <c r="BF775" s="189" t="e">
        <f>VLOOKUP(CLEAN(H775),#REF!,2,FALSE)</f>
        <v>#REF!</v>
      </c>
      <c r="BG775" s="189" t="e">
        <f>T775-BF775</f>
        <v>#REF!</v>
      </c>
      <c r="BO775" s="2" t="e">
        <f>VLOOKUP(H775,#REF!,13,FALSE)</f>
        <v>#REF!</v>
      </c>
      <c r="BP775" s="2" t="e">
        <f>VLOOKUP(H775,#REF!,2,FALSE)</f>
        <v>#REF!</v>
      </c>
      <c r="BQ775" s="2" t="e">
        <f>VLOOKUP(H775,#REF!,13,FALSE)</f>
        <v>#REF!</v>
      </c>
      <c r="BR775" s="2" t="e">
        <f>VLOOKUP(H775,#REF!,3,FALSE)</f>
        <v>#REF!</v>
      </c>
    </row>
    <row r="776" spans="1:70" s="2" customFormat="1" ht="15" customHeight="1" outlineLevel="2">
      <c r="A776" s="5">
        <v>24</v>
      </c>
      <c r="B776" s="5" t="s">
        <v>54</v>
      </c>
      <c r="C776" s="5" t="s">
        <v>253</v>
      </c>
      <c r="D776" s="5" t="s">
        <v>30</v>
      </c>
      <c r="E776" s="9" t="s">
        <v>42</v>
      </c>
      <c r="F776" s="5" t="s">
        <v>457</v>
      </c>
      <c r="G776" s="5" t="s">
        <v>144</v>
      </c>
      <c r="H776" s="12" t="s">
        <v>374</v>
      </c>
      <c r="I776" s="42" t="str">
        <f t="shared" si="465"/>
        <v>SUBT 24-EJECUCION</v>
      </c>
      <c r="J776" s="12"/>
      <c r="K776" s="307" t="str">
        <f t="shared" si="466"/>
        <v>SUBT 24</v>
      </c>
      <c r="L776" s="15" t="s">
        <v>376</v>
      </c>
      <c r="M776" s="23">
        <v>359099988.79963976</v>
      </c>
      <c r="N776" s="34">
        <v>0</v>
      </c>
      <c r="O776" s="23">
        <v>359099988.79963976</v>
      </c>
      <c r="P776" s="310">
        <v>0</v>
      </c>
      <c r="Q776" s="34">
        <v>0</v>
      </c>
      <c r="R776" s="308">
        <v>0</v>
      </c>
      <c r="S776" s="34">
        <f t="shared" si="467"/>
        <v>0</v>
      </c>
      <c r="T776" s="34">
        <v>0</v>
      </c>
      <c r="U776" s="34">
        <v>0</v>
      </c>
      <c r="V776" s="34">
        <f>P776+Q776+R776+T776+U776</f>
        <v>0</v>
      </c>
      <c r="W776" s="34">
        <f>O776-V776</f>
        <v>359099988.79963976</v>
      </c>
      <c r="X776" s="34">
        <f>M776-(N776+O776)</f>
        <v>0</v>
      </c>
      <c r="Y776" s="48" t="s">
        <v>419</v>
      </c>
      <c r="Z776" s="48" t="s">
        <v>256</v>
      </c>
      <c r="AA776" s="2" t="e">
        <v>#N/A</v>
      </c>
      <c r="AB776" s="2" t="e">
        <f>VLOOKUP(H776,#REF!,2,FALSE)</f>
        <v>#REF!</v>
      </c>
      <c r="AC776" s="2" t="e">
        <f>VLOOKUP(I776,#REF!,2,FALSE)</f>
        <v>#REF!</v>
      </c>
      <c r="AD776" s="2" t="e">
        <f>VLOOKUP(H776,#REF!,13,FALSE)</f>
        <v>#REF!</v>
      </c>
      <c r="AE776" s="2" t="e">
        <f>VLOOKUP(I776,#REF!,7,FALSE)</f>
        <v>#REF!</v>
      </c>
      <c r="AG776" s="2" t="e">
        <f>VLOOKUP(H776,#REF!,13,FALSE)</f>
        <v>#REF!</v>
      </c>
      <c r="AH776" s="2" t="e">
        <f>VLOOKUP(I776,#REF!,2,FALSE)</f>
        <v>#REF!</v>
      </c>
      <c r="AJ776" s="185" t="e">
        <f>VLOOKUP(H776,#REF!,3,FALSE)</f>
        <v>#REF!</v>
      </c>
      <c r="AK776" s="185"/>
      <c r="AL776" s="185"/>
      <c r="AM776" s="185" t="e">
        <f>VLOOKUP(CLEAN(H776),#REF!,7,FALSE)</f>
        <v>#REF!</v>
      </c>
      <c r="AN776" s="2" t="e">
        <f>VLOOKUP(H776,#REF!,8,FALSE)</f>
        <v>#REF!</v>
      </c>
      <c r="AO776" s="189" t="e">
        <f>VLOOKUP(H776,#REF!,2,FALSE)</f>
        <v>#REF!</v>
      </c>
      <c r="AP776" s="189" t="e">
        <f>VLOOKUP(H776,#REF!,2,FALSE)</f>
        <v>#REF!</v>
      </c>
      <c r="AQ776" s="189"/>
      <c r="AR776" s="2" t="e">
        <f>VLOOKUP(CLEAN(H776),#REF!,2,FALSE)</f>
        <v>#REF!</v>
      </c>
      <c r="AT776" s="2" t="e">
        <f>VLOOKUP(H776,#REF!,13,FALSE)</f>
        <v>#REF!</v>
      </c>
      <c r="AU776" s="2" t="e">
        <f>VLOOKUP(H776,#REF!,13,FALSE)</f>
        <v>#REF!</v>
      </c>
      <c r="AV776" s="2" t="e">
        <f>VLOOKUP(H776,#REF!,13,FALSE)</f>
        <v>#REF!</v>
      </c>
      <c r="AW776" s="2" t="e">
        <f>VLOOKUP(H776,#REF!,13,FALSE)</f>
        <v>#REF!</v>
      </c>
      <c r="AX776" s="2" t="e">
        <f>VLOOKUP(H776,#REF!,9,FALSE)</f>
        <v>#REF!</v>
      </c>
      <c r="AZ776" s="2" t="e">
        <f>VLOOKUP(H776,#REF!,2,FALSE)</f>
        <v>#REF!</v>
      </c>
      <c r="BF776" s="189" t="e">
        <f>VLOOKUP(CLEAN(H776),#REF!,2,FALSE)</f>
        <v>#REF!</v>
      </c>
      <c r="BG776" s="189" t="e">
        <f>T776-BF776</f>
        <v>#REF!</v>
      </c>
      <c r="BO776" s="2" t="e">
        <f>VLOOKUP(H776,#REF!,13,FALSE)</f>
        <v>#REF!</v>
      </c>
      <c r="BP776" s="2" t="e">
        <f>VLOOKUP(H776,#REF!,2,FALSE)</f>
        <v>#REF!</v>
      </c>
      <c r="BQ776" s="2" t="e">
        <f>VLOOKUP(H776,#REF!,13,FALSE)</f>
        <v>#REF!</v>
      </c>
      <c r="BR776" s="2" t="e">
        <f>VLOOKUP(H776,#REF!,3,FALSE)</f>
        <v>#REF!</v>
      </c>
    </row>
    <row r="777" spans="1:70" s="2" customFormat="1" ht="15" customHeight="1" outlineLevel="2">
      <c r="A777" s="5">
        <v>24</v>
      </c>
      <c r="B777" s="5" t="s">
        <v>54</v>
      </c>
      <c r="C777" s="5" t="s">
        <v>242</v>
      </c>
      <c r="D777" s="5" t="s">
        <v>30</v>
      </c>
      <c r="E777" s="9" t="s">
        <v>42</v>
      </c>
      <c r="F777" s="5" t="s">
        <v>457</v>
      </c>
      <c r="G777" s="5" t="s">
        <v>144</v>
      </c>
      <c r="H777" s="12" t="s">
        <v>374</v>
      </c>
      <c r="I777" s="42" t="str">
        <f t="shared" si="465"/>
        <v>SUBT 24-EJECUCION</v>
      </c>
      <c r="J777" s="12"/>
      <c r="K777" s="307" t="str">
        <f t="shared" si="466"/>
        <v>SUBT 24</v>
      </c>
      <c r="L777" s="15" t="s">
        <v>377</v>
      </c>
      <c r="M777" s="23">
        <v>359099988.79963976</v>
      </c>
      <c r="N777" s="34">
        <v>0</v>
      </c>
      <c r="O777" s="23">
        <v>359099988.79963976</v>
      </c>
      <c r="P777" s="310">
        <v>0</v>
      </c>
      <c r="Q777" s="34">
        <v>0</v>
      </c>
      <c r="R777" s="308">
        <v>0</v>
      </c>
      <c r="S777" s="34">
        <f t="shared" si="467"/>
        <v>0</v>
      </c>
      <c r="T777" s="34">
        <v>0</v>
      </c>
      <c r="U777" s="34">
        <v>0</v>
      </c>
      <c r="V777" s="34">
        <f>P777+Q777+R777+T777+U777</f>
        <v>0</v>
      </c>
      <c r="W777" s="34">
        <f>O777-V777</f>
        <v>359099988.79963976</v>
      </c>
      <c r="X777" s="34">
        <f>M777-(N777+O777)</f>
        <v>0</v>
      </c>
      <c r="Y777" s="48" t="s">
        <v>419</v>
      </c>
      <c r="Z777" s="48" t="s">
        <v>256</v>
      </c>
      <c r="AA777" s="2" t="e">
        <v>#N/A</v>
      </c>
      <c r="AB777" s="2" t="e">
        <f>VLOOKUP(H777,#REF!,2,FALSE)</f>
        <v>#REF!</v>
      </c>
      <c r="AC777" s="2" t="e">
        <f>VLOOKUP(I777,#REF!,2,FALSE)</f>
        <v>#REF!</v>
      </c>
      <c r="AD777" s="2" t="e">
        <f>VLOOKUP(H777,#REF!,13,FALSE)</f>
        <v>#REF!</v>
      </c>
      <c r="AE777" s="2" t="e">
        <f>VLOOKUP(I777,#REF!,7,FALSE)</f>
        <v>#REF!</v>
      </c>
      <c r="AG777" s="2" t="e">
        <f>VLOOKUP(H777,#REF!,13,FALSE)</f>
        <v>#REF!</v>
      </c>
      <c r="AH777" s="2" t="e">
        <f>VLOOKUP(I777,#REF!,2,FALSE)</f>
        <v>#REF!</v>
      </c>
      <c r="AJ777" s="185" t="e">
        <f>VLOOKUP(H777,#REF!,3,FALSE)</f>
        <v>#REF!</v>
      </c>
      <c r="AK777" s="185"/>
      <c r="AL777" s="185"/>
      <c r="AM777" s="185" t="e">
        <f>VLOOKUP(CLEAN(H777),#REF!,7,FALSE)</f>
        <v>#REF!</v>
      </c>
      <c r="AN777" s="2" t="e">
        <f>VLOOKUP(H777,#REF!,8,FALSE)</f>
        <v>#REF!</v>
      </c>
      <c r="AO777" s="189" t="e">
        <f>VLOOKUP(H777,#REF!,2,FALSE)</f>
        <v>#REF!</v>
      </c>
      <c r="AP777" s="189" t="e">
        <f>VLOOKUP(H777,#REF!,2,FALSE)</f>
        <v>#REF!</v>
      </c>
      <c r="AQ777" s="189"/>
      <c r="AR777" s="2" t="e">
        <f>VLOOKUP(CLEAN(H777),#REF!,2,FALSE)</f>
        <v>#REF!</v>
      </c>
      <c r="AT777" s="2" t="e">
        <f>VLOOKUP(H777,#REF!,13,FALSE)</f>
        <v>#REF!</v>
      </c>
      <c r="AU777" s="2" t="e">
        <f>VLOOKUP(H777,#REF!,13,FALSE)</f>
        <v>#REF!</v>
      </c>
      <c r="AV777" s="2" t="e">
        <f>VLOOKUP(H777,#REF!,13,FALSE)</f>
        <v>#REF!</v>
      </c>
      <c r="AW777" s="2" t="e">
        <f>VLOOKUP(H777,#REF!,13,FALSE)</f>
        <v>#REF!</v>
      </c>
      <c r="AX777" s="2" t="e">
        <f>VLOOKUP(H777,#REF!,9,FALSE)</f>
        <v>#REF!</v>
      </c>
      <c r="AZ777" s="2" t="e">
        <f>VLOOKUP(H777,#REF!,2,FALSE)</f>
        <v>#REF!</v>
      </c>
      <c r="BF777" s="189" t="e">
        <f>VLOOKUP(CLEAN(H777),#REF!,2,FALSE)</f>
        <v>#REF!</v>
      </c>
      <c r="BG777" s="189" t="e">
        <f>T777-BF777</f>
        <v>#REF!</v>
      </c>
      <c r="BO777" s="2" t="e">
        <f>VLOOKUP(H777,#REF!,13,FALSE)</f>
        <v>#REF!</v>
      </c>
      <c r="BP777" s="2" t="e">
        <f>VLOOKUP(H777,#REF!,2,FALSE)</f>
        <v>#REF!</v>
      </c>
      <c r="BQ777" s="2" t="e">
        <f>VLOOKUP(H777,#REF!,13,FALSE)</f>
        <v>#REF!</v>
      </c>
      <c r="BR777" s="2" t="e">
        <f>VLOOKUP(H777,#REF!,3,FALSE)</f>
        <v>#REF!</v>
      </c>
    </row>
    <row r="778" spans="1:70" s="2" customFormat="1" ht="15" customHeight="1" outlineLevel="2">
      <c r="A778" s="5">
        <v>24</v>
      </c>
      <c r="B778" s="5" t="s">
        <v>54</v>
      </c>
      <c r="C778" s="5" t="s">
        <v>576</v>
      </c>
      <c r="D778" s="5" t="s">
        <v>30</v>
      </c>
      <c r="E778" s="9" t="s">
        <v>42</v>
      </c>
      <c r="F778" s="5" t="s">
        <v>75</v>
      </c>
      <c r="G778" s="5" t="s">
        <v>144</v>
      </c>
      <c r="H778" s="12">
        <v>30483006</v>
      </c>
      <c r="I778" s="42" t="str">
        <f t="shared" si="465"/>
        <v>30483006-EJECUCION</v>
      </c>
      <c r="J778" s="12"/>
      <c r="K778" s="307" t="str">
        <f t="shared" si="466"/>
        <v>30483006</v>
      </c>
      <c r="L778" s="15" t="s">
        <v>290</v>
      </c>
      <c r="M778" s="23">
        <v>111000000</v>
      </c>
      <c r="N778" s="34">
        <v>0</v>
      </c>
      <c r="O778" s="34">
        <v>111000000</v>
      </c>
      <c r="P778" s="310">
        <v>0</v>
      </c>
      <c r="Q778" s="34">
        <v>0</v>
      </c>
      <c r="R778" s="308">
        <v>0</v>
      </c>
      <c r="S778" s="34">
        <f t="shared" si="467"/>
        <v>0</v>
      </c>
      <c r="T778" s="34">
        <v>0</v>
      </c>
      <c r="U778" s="34">
        <v>0</v>
      </c>
      <c r="V778" s="34">
        <f>P778+Q778+R778+T778+U778</f>
        <v>0</v>
      </c>
      <c r="W778" s="34">
        <f>O778-V778</f>
        <v>111000000</v>
      </c>
      <c r="X778" s="34">
        <f>M778-(N778+O778)</f>
        <v>0</v>
      </c>
      <c r="Y778" s="48" t="s">
        <v>258</v>
      </c>
      <c r="Z778" s="48" t="s">
        <v>256</v>
      </c>
      <c r="AA778" s="2" t="e">
        <v>#N/A</v>
      </c>
      <c r="AB778" s="2" t="e">
        <f>VLOOKUP(H778,#REF!,2,FALSE)</f>
        <v>#REF!</v>
      </c>
      <c r="AC778" s="2" t="e">
        <f>VLOOKUP(I778,#REF!,2,FALSE)</f>
        <v>#REF!</v>
      </c>
      <c r="AD778" s="2" t="e">
        <f>VLOOKUP(H778,#REF!,13,FALSE)</f>
        <v>#REF!</v>
      </c>
      <c r="AE778" s="2" t="e">
        <f>VLOOKUP(I778,#REF!,7,FALSE)</f>
        <v>#REF!</v>
      </c>
      <c r="AG778" s="2" t="e">
        <f>VLOOKUP(H778,#REF!,13,FALSE)</f>
        <v>#REF!</v>
      </c>
      <c r="AH778" s="2" t="e">
        <f>VLOOKUP(I778,#REF!,2,FALSE)</f>
        <v>#REF!</v>
      </c>
      <c r="AJ778" s="185" t="e">
        <f>VLOOKUP(H778,#REF!,3,FALSE)</f>
        <v>#REF!</v>
      </c>
      <c r="AK778" s="185"/>
      <c r="AL778" s="185"/>
      <c r="AM778" s="185" t="e">
        <f>VLOOKUP(CLEAN(H778),#REF!,7,FALSE)</f>
        <v>#REF!</v>
      </c>
      <c r="AN778" s="2" t="e">
        <f>VLOOKUP(H778,#REF!,8,FALSE)</f>
        <v>#REF!</v>
      </c>
      <c r="AO778" s="189" t="e">
        <f>VLOOKUP(H778,#REF!,2,FALSE)</f>
        <v>#REF!</v>
      </c>
      <c r="AP778" s="189" t="e">
        <f>VLOOKUP(H778,#REF!,2,FALSE)</f>
        <v>#REF!</v>
      </c>
      <c r="AQ778" s="189"/>
      <c r="AR778" s="2" t="e">
        <f>VLOOKUP(CLEAN(H778),#REF!,2,FALSE)</f>
        <v>#REF!</v>
      </c>
      <c r="AT778" s="2" t="e">
        <f>VLOOKUP(H778,#REF!,13,FALSE)</f>
        <v>#REF!</v>
      </c>
      <c r="AU778" s="2" t="e">
        <f>VLOOKUP(H778,#REF!,13,FALSE)</f>
        <v>#REF!</v>
      </c>
      <c r="AV778" s="2" t="e">
        <f>VLOOKUP(H778,#REF!,13,FALSE)</f>
        <v>#REF!</v>
      </c>
      <c r="AW778" s="2" t="e">
        <f>VLOOKUP(H778,#REF!,13,FALSE)</f>
        <v>#REF!</v>
      </c>
      <c r="AX778" s="2" t="e">
        <f>VLOOKUP(H778,#REF!,9,FALSE)</f>
        <v>#REF!</v>
      </c>
      <c r="AZ778" s="2" t="e">
        <f>VLOOKUP(H778,#REF!,2,FALSE)</f>
        <v>#REF!</v>
      </c>
      <c r="BF778" s="189" t="e">
        <f>VLOOKUP(CLEAN(H778),#REF!,2,FALSE)</f>
        <v>#REF!</v>
      </c>
      <c r="BG778" s="189" t="e">
        <f>T778-BF778</f>
        <v>#REF!</v>
      </c>
      <c r="BO778" s="2" t="e">
        <f>VLOOKUP(H778,#REF!,13,FALSE)</f>
        <v>#REF!</v>
      </c>
      <c r="BP778" s="2" t="e">
        <f>VLOOKUP(H778,#REF!,2,FALSE)</f>
        <v>#REF!</v>
      </c>
      <c r="BQ778" s="2" t="e">
        <f>VLOOKUP(H778,#REF!,13,FALSE)</f>
        <v>#REF!</v>
      </c>
      <c r="BR778" s="2" t="e">
        <f>VLOOKUP(H778,#REF!,3,FALSE)</f>
        <v>#REF!</v>
      </c>
    </row>
    <row r="779" spans="1:70" s="2" customFormat="1" ht="15" customHeight="1" outlineLevel="2">
      <c r="A779" s="5">
        <v>31</v>
      </c>
      <c r="B779" s="5" t="s">
        <v>54</v>
      </c>
      <c r="C779" s="5" t="s">
        <v>240</v>
      </c>
      <c r="D779" s="5" t="s">
        <v>30</v>
      </c>
      <c r="E779" s="9" t="s">
        <v>42</v>
      </c>
      <c r="F779" s="5" t="s">
        <v>457</v>
      </c>
      <c r="G779" s="5" t="s">
        <v>144</v>
      </c>
      <c r="H779" s="12">
        <v>30083335</v>
      </c>
      <c r="I779" s="42" t="str">
        <f t="shared" si="465"/>
        <v>30083335-EJECUCION</v>
      </c>
      <c r="J779" s="12" t="s">
        <v>737</v>
      </c>
      <c r="K779" s="307" t="str">
        <f t="shared" si="466"/>
        <v>30083335</v>
      </c>
      <c r="L779" s="15" t="s">
        <v>232</v>
      </c>
      <c r="M779" s="23">
        <v>2016128000</v>
      </c>
      <c r="N779" s="34">
        <v>0</v>
      </c>
      <c r="O779" s="34">
        <f>1664807268/3</f>
        <v>554935756</v>
      </c>
      <c r="P779" s="310">
        <v>0</v>
      </c>
      <c r="Q779" s="34">
        <v>0</v>
      </c>
      <c r="R779" s="308">
        <v>0</v>
      </c>
      <c r="S779" s="34">
        <f t="shared" si="467"/>
        <v>0</v>
      </c>
      <c r="T779" s="34">
        <v>0</v>
      </c>
      <c r="U779" s="34">
        <v>0</v>
      </c>
      <c r="V779" s="34">
        <f>P779+Q779+R779+T779+U779</f>
        <v>0</v>
      </c>
      <c r="W779" s="34">
        <f>O779-V779</f>
        <v>554935756</v>
      </c>
      <c r="X779" s="34">
        <f>M779-(N779+O779)</f>
        <v>1461192244</v>
      </c>
      <c r="Y779" s="48" t="s">
        <v>435</v>
      </c>
      <c r="Z779" s="48" t="s">
        <v>8</v>
      </c>
      <c r="AA779" s="2" t="e">
        <v>#N/A</v>
      </c>
      <c r="AB779" s="2" t="e">
        <f>VLOOKUP(H779,#REF!,2,FALSE)</f>
        <v>#REF!</v>
      </c>
      <c r="AC779" s="2" t="e">
        <f>VLOOKUP(I779,#REF!,2,FALSE)</f>
        <v>#REF!</v>
      </c>
      <c r="AD779" s="2" t="e">
        <f>VLOOKUP(H779,#REF!,13,FALSE)</f>
        <v>#REF!</v>
      </c>
      <c r="AE779" s="2" t="e">
        <f>VLOOKUP(I779,#REF!,7,FALSE)</f>
        <v>#REF!</v>
      </c>
      <c r="AG779" s="2" t="e">
        <f>VLOOKUP(H779,#REF!,13,FALSE)</f>
        <v>#REF!</v>
      </c>
      <c r="AH779" s="2" t="e">
        <f>VLOOKUP(I779,#REF!,2,FALSE)</f>
        <v>#REF!</v>
      </c>
      <c r="AJ779" s="185" t="e">
        <f>VLOOKUP(H779,#REF!,3,FALSE)</f>
        <v>#REF!</v>
      </c>
      <c r="AK779" s="185"/>
      <c r="AL779" s="185" t="e">
        <f>VLOOKUP(H779,#REF!,13,FALSE)</f>
        <v>#REF!</v>
      </c>
      <c r="AM779" s="185" t="e">
        <f>VLOOKUP(CLEAN(H779),#REF!,7,FALSE)</f>
        <v>#REF!</v>
      </c>
      <c r="AN779" s="2" t="e">
        <f>VLOOKUP(H779,#REF!,8,FALSE)</f>
        <v>#REF!</v>
      </c>
      <c r="AO779" s="189" t="e">
        <f>VLOOKUP(H779,#REF!,2,FALSE)</f>
        <v>#REF!</v>
      </c>
      <c r="AP779" s="189" t="e">
        <f>VLOOKUP(H779,#REF!,2,FALSE)</f>
        <v>#REF!</v>
      </c>
      <c r="AQ779" s="189"/>
      <c r="AR779" s="2" t="e">
        <f>VLOOKUP(CLEAN(H779),#REF!,2,FALSE)</f>
        <v>#REF!</v>
      </c>
      <c r="AT779" s="2" t="e">
        <f>VLOOKUP(H779,#REF!,13,FALSE)</f>
        <v>#REF!</v>
      </c>
      <c r="AU779" s="2" t="e">
        <f>VLOOKUP(H779,#REF!,13,FALSE)</f>
        <v>#REF!</v>
      </c>
      <c r="AV779" s="2" t="e">
        <f>VLOOKUP(H779,#REF!,13,FALSE)</f>
        <v>#REF!</v>
      </c>
      <c r="AW779" s="2" t="e">
        <f>VLOOKUP(H779,#REF!,13,FALSE)</f>
        <v>#REF!</v>
      </c>
      <c r="AX779" s="2" t="e">
        <f>VLOOKUP(H779,#REF!,9,FALSE)</f>
        <v>#REF!</v>
      </c>
      <c r="AZ779" s="2" t="e">
        <f>VLOOKUP(H779,#REF!,2,FALSE)</f>
        <v>#REF!</v>
      </c>
      <c r="BF779" s="189" t="e">
        <f>VLOOKUP(CLEAN(H779),#REF!,2,FALSE)</f>
        <v>#REF!</v>
      </c>
      <c r="BG779" s="189" t="e">
        <f>T779-BF779</f>
        <v>#REF!</v>
      </c>
      <c r="BO779" s="2" t="e">
        <f>VLOOKUP(H779,#REF!,13,FALSE)</f>
        <v>#REF!</v>
      </c>
      <c r="BP779" s="2" t="e">
        <f>VLOOKUP(H779,#REF!,2,FALSE)</f>
        <v>#REF!</v>
      </c>
      <c r="BQ779" s="2" t="e">
        <f>VLOOKUP(H779,#REF!,13,FALSE)</f>
        <v>#REF!</v>
      </c>
      <c r="BR779" s="2" t="e">
        <f>VLOOKUP(H779,#REF!,3,FALSE)</f>
        <v>#REF!</v>
      </c>
    </row>
    <row r="780" spans="1:70" ht="15" customHeight="1" outlineLevel="2">
      <c r="A780" s="7"/>
      <c r="B780" s="7"/>
      <c r="C780" s="7"/>
      <c r="D780" s="7"/>
      <c r="E780" s="7"/>
      <c r="F780" s="7"/>
      <c r="G780" s="7"/>
      <c r="H780" s="11"/>
      <c r="I780" s="11"/>
      <c r="J780" s="11"/>
      <c r="K780" s="11"/>
      <c r="L780" s="17" t="s">
        <v>693</v>
      </c>
      <c r="M780" s="27">
        <f t="shared" ref="M780:X780" si="468">SUBTOTAL(9,M773:M779)</f>
        <v>10015192394.398918</v>
      </c>
      <c r="N780" s="27">
        <f t="shared" si="468"/>
        <v>0</v>
      </c>
      <c r="O780" s="27">
        <f t="shared" si="468"/>
        <v>4239157150.3989191</v>
      </c>
      <c r="P780" s="24">
        <f t="shared" si="468"/>
        <v>0</v>
      </c>
      <c r="Q780" s="24">
        <f t="shared" si="468"/>
        <v>0</v>
      </c>
      <c r="R780" s="24">
        <f t="shared" si="468"/>
        <v>0</v>
      </c>
      <c r="S780" s="27">
        <f t="shared" si="468"/>
        <v>0</v>
      </c>
      <c r="T780" s="27">
        <f t="shared" si="468"/>
        <v>810468</v>
      </c>
      <c r="U780" s="27">
        <f t="shared" si="468"/>
        <v>64889</v>
      </c>
      <c r="V780" s="27">
        <f t="shared" si="468"/>
        <v>875357</v>
      </c>
      <c r="W780" s="27">
        <f t="shared" si="468"/>
        <v>4238281793.3989191</v>
      </c>
      <c r="X780" s="27">
        <f t="shared" si="468"/>
        <v>5776035244</v>
      </c>
      <c r="Y780" s="27"/>
      <c r="Z780" s="27"/>
      <c r="AM780" s="185" t="e">
        <f>VLOOKUP(CLEAN(H780),#REF!,7,FALSE)</f>
        <v>#REF!</v>
      </c>
      <c r="AO780"/>
      <c r="AP780"/>
      <c r="AQ780"/>
      <c r="AR780" s="2" t="e">
        <f>VLOOKUP(CLEAN(H780),#REF!,2,FALSE)</f>
        <v>#REF!</v>
      </c>
      <c r="AZ780" s="2" t="e">
        <f>VLOOKUP(H780,#REF!,2,FALSE)</f>
        <v>#REF!</v>
      </c>
      <c r="BO780" s="2" t="e">
        <f>VLOOKUP(H780,#REF!,13,FALSE)</f>
        <v>#REF!</v>
      </c>
      <c r="BQ780" s="2" t="e">
        <f>VLOOKUP(H780,#REF!,13,FALSE)</f>
        <v>#REF!</v>
      </c>
    </row>
    <row r="781" spans="1:70" ht="15" customHeight="1" outlineLevel="2">
      <c r="A781" s="7"/>
      <c r="B781" s="7"/>
      <c r="C781" s="7"/>
      <c r="D781" s="7"/>
      <c r="E781" s="7"/>
      <c r="F781" s="7"/>
      <c r="G781" s="7"/>
      <c r="H781" s="11"/>
      <c r="I781" s="11"/>
      <c r="J781" s="11"/>
      <c r="K781" s="11"/>
      <c r="L781" s="292"/>
      <c r="M781" s="22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47"/>
      <c r="Z781" s="47"/>
      <c r="AM781" s="185" t="e">
        <f>VLOOKUP(CLEAN(H781),#REF!,7,FALSE)</f>
        <v>#REF!</v>
      </c>
      <c r="AO781"/>
      <c r="AP781"/>
      <c r="AQ781"/>
      <c r="AR781" s="2" t="e">
        <f>VLOOKUP(CLEAN(H781),#REF!,2,FALSE)</f>
        <v>#REF!</v>
      </c>
      <c r="AZ781" s="2" t="e">
        <f>VLOOKUP(H781,#REF!,2,FALSE)</f>
        <v>#REF!</v>
      </c>
      <c r="BO781" s="2" t="e">
        <f>VLOOKUP(H781,#REF!,13,FALSE)</f>
        <v>#REF!</v>
      </c>
      <c r="BP781" s="293"/>
      <c r="BQ781" s="2" t="e">
        <f>VLOOKUP(H781,#REF!,13,FALSE)</f>
        <v>#REF!</v>
      </c>
    </row>
    <row r="782" spans="1:70" ht="15" customHeight="1" outlineLevel="1">
      <c r="A782" s="7"/>
      <c r="B782" s="7"/>
      <c r="C782" s="7"/>
      <c r="D782" s="7"/>
      <c r="E782" s="8"/>
      <c r="F782" s="7"/>
      <c r="G782" s="7"/>
      <c r="H782" s="11"/>
      <c r="I782" s="11"/>
      <c r="J782" s="11"/>
      <c r="K782" s="11"/>
      <c r="L782" s="16" t="s">
        <v>206</v>
      </c>
      <c r="M782" s="25">
        <f t="shared" ref="M782:X782" si="469">M765+M761+M780+M770</f>
        <v>32368815954.398918</v>
      </c>
      <c r="N782" s="25">
        <f t="shared" si="469"/>
        <v>8106564183</v>
      </c>
      <c r="O782" s="25">
        <f t="shared" si="469"/>
        <v>11871708241.065586</v>
      </c>
      <c r="P782" s="25">
        <f t="shared" si="469"/>
        <v>0</v>
      </c>
      <c r="Q782" s="25">
        <f t="shared" si="469"/>
        <v>195672093</v>
      </c>
      <c r="R782" s="25">
        <f t="shared" si="469"/>
        <v>1369170867</v>
      </c>
      <c r="S782" s="25">
        <f t="shared" si="469"/>
        <v>1564842960</v>
      </c>
      <c r="T782" s="25">
        <f t="shared" si="469"/>
        <v>478678038</v>
      </c>
      <c r="U782" s="25">
        <f t="shared" si="469"/>
        <v>292315757</v>
      </c>
      <c r="V782" s="25">
        <f t="shared" si="469"/>
        <v>2335836755</v>
      </c>
      <c r="W782" s="25">
        <f t="shared" si="469"/>
        <v>9535871486.0655861</v>
      </c>
      <c r="X782" s="25">
        <f t="shared" si="469"/>
        <v>12390543530.333332</v>
      </c>
      <c r="Y782" s="47"/>
      <c r="Z782" s="47"/>
      <c r="AM782" s="185" t="e">
        <f>VLOOKUP(CLEAN(H782),#REF!,7,FALSE)</f>
        <v>#REF!</v>
      </c>
      <c r="AO782"/>
      <c r="AP782"/>
      <c r="AQ782"/>
      <c r="AR782" s="2" t="e">
        <f>VLOOKUP(CLEAN(H782),#REF!,2,FALSE)</f>
        <v>#REF!</v>
      </c>
      <c r="AZ782" s="2" t="e">
        <f>VLOOKUP(H782,#REF!,2,FALSE)</f>
        <v>#REF!</v>
      </c>
      <c r="BO782" s="2" t="e">
        <f>VLOOKUP(H782,#REF!,13,FALSE)</f>
        <v>#REF!</v>
      </c>
      <c r="BQ782" s="2" t="e">
        <f>VLOOKUP(H782,#REF!,13,FALSE)</f>
        <v>#REF!</v>
      </c>
    </row>
    <row r="783" spans="1:70" s="3" customFormat="1" ht="15" customHeight="1" outlineLevel="1">
      <c r="A783" s="7"/>
      <c r="B783" s="7"/>
      <c r="C783" s="7"/>
      <c r="D783" s="7"/>
      <c r="E783" s="8"/>
      <c r="F783" s="7"/>
      <c r="G783" s="7"/>
      <c r="H783" s="11"/>
      <c r="I783" s="11"/>
      <c r="J783" s="11"/>
      <c r="K783" s="11"/>
      <c r="L783" s="294"/>
      <c r="M783" s="26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47"/>
      <c r="Z783" s="47"/>
      <c r="AJ783" s="186"/>
      <c r="AK783" s="186"/>
      <c r="AL783" s="186"/>
      <c r="AM783" s="185" t="e">
        <f>VLOOKUP(CLEAN(H783),#REF!,7,FALSE)</f>
        <v>#REF!</v>
      </c>
      <c r="AR783" s="2" t="e">
        <f>VLOOKUP(CLEAN(H783),#REF!,2,FALSE)</f>
        <v>#REF!</v>
      </c>
      <c r="AZ783" s="2" t="e">
        <f>VLOOKUP(H783,#REF!,2,FALSE)</f>
        <v>#REF!</v>
      </c>
      <c r="BF783" s="193"/>
      <c r="BO783" s="2" t="e">
        <f>VLOOKUP(H783,#REF!,13,FALSE)</f>
        <v>#REF!</v>
      </c>
      <c r="BP783" s="7"/>
      <c r="BQ783" s="2" t="e">
        <f>VLOOKUP(H783,#REF!,13,FALSE)</f>
        <v>#REF!</v>
      </c>
    </row>
    <row r="784" spans="1:70" ht="18.75" customHeight="1" outlineLevel="1">
      <c r="A784" s="7"/>
      <c r="B784" s="7"/>
      <c r="C784" s="7"/>
      <c r="D784" s="7"/>
      <c r="E784" s="8"/>
      <c r="F784" s="7"/>
      <c r="G784" s="7"/>
      <c r="H784" s="11"/>
      <c r="I784" s="11"/>
      <c r="J784" s="11"/>
      <c r="K784" s="11"/>
      <c r="L784" s="45" t="s">
        <v>207</v>
      </c>
      <c r="M784" s="46">
        <f>M782+M752+M726+M697+M677+M650+M633+M608+M587+M522+M557</f>
        <v>105081558889.39893</v>
      </c>
      <c r="N784" s="46">
        <f t="shared" ref="N784:O784" si="470">N782+N752+N726+N697+N677+N650+N633+N608+N587+N522+N557</f>
        <v>31079750849</v>
      </c>
      <c r="O784" s="46">
        <f t="shared" si="470"/>
        <v>25601238590.565586</v>
      </c>
      <c r="P784" s="46">
        <f>P782+P752+P726+P697+P677+P650+P633+P608+P587+P522+P557</f>
        <v>301312990</v>
      </c>
      <c r="Q784" s="46">
        <f>Q782+Q752+Q726+Q697+Q677+Q650+Q633+Q608+Q587+Q522+Q557</f>
        <v>1003937107</v>
      </c>
      <c r="R784" s="46">
        <f>R782+R752+R726+R697+R677+R650+R633+R608+R587+R522+R557</f>
        <v>2834937959</v>
      </c>
      <c r="S784" s="46">
        <f t="shared" ref="S784:U784" si="471">S782+S752+S726+S697+S677+S650+S633+S608+S587+S522+S557</f>
        <v>4140188056</v>
      </c>
      <c r="T784" s="46">
        <f t="shared" si="471"/>
        <v>1391818908</v>
      </c>
      <c r="U784" s="46">
        <f t="shared" si="471"/>
        <v>1467413601</v>
      </c>
      <c r="V784" s="46">
        <f>V782+V752+V726+V697+V677+V650+V633+V608+V587+V522+V557</f>
        <v>6999420565</v>
      </c>
      <c r="W784" s="46">
        <f>W782+W752+W726+W697+W677+W650+W633+W608+W587+W522+W557</f>
        <v>18601818025.565586</v>
      </c>
      <c r="X784" s="46">
        <f>X782+X752+X726+X697+X677+X650+X633+X608+X587+X522+X557</f>
        <v>48400569449.833328</v>
      </c>
      <c r="Y784" s="47"/>
      <c r="Z784" s="47"/>
      <c r="AM784" s="185" t="e">
        <f>VLOOKUP(CLEAN(H784),#REF!,7,FALSE)</f>
        <v>#REF!</v>
      </c>
      <c r="AO784"/>
      <c r="AP784"/>
      <c r="AQ784"/>
      <c r="AR784" s="2" t="e">
        <f>VLOOKUP(CLEAN(H784),#REF!,2,FALSE)</f>
        <v>#REF!</v>
      </c>
      <c r="AZ784" s="2" t="e">
        <f>VLOOKUP(H784,#REF!,2,FALSE)</f>
        <v>#REF!</v>
      </c>
      <c r="BO784" s="2" t="e">
        <f>VLOOKUP(H784,#REF!,13,FALSE)</f>
        <v>#REF!</v>
      </c>
      <c r="BP784" s="1"/>
      <c r="BQ784" s="2" t="e">
        <f>VLOOKUP(H784,#REF!,13,FALSE)</f>
        <v>#REF!</v>
      </c>
    </row>
    <row r="785" spans="1:70" s="3" customFormat="1" ht="15" customHeight="1" outlineLevel="1">
      <c r="A785" s="7"/>
      <c r="B785" s="7"/>
      <c r="C785" s="7"/>
      <c r="D785" s="7"/>
      <c r="E785" s="8"/>
      <c r="F785" s="7"/>
      <c r="G785" s="7"/>
      <c r="H785" s="11"/>
      <c r="I785" s="11"/>
      <c r="J785" s="11"/>
      <c r="K785" s="11"/>
      <c r="L785" s="294"/>
      <c r="M785" s="26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47"/>
      <c r="Z785" s="47"/>
      <c r="AJ785" s="186"/>
      <c r="AK785" s="186"/>
      <c r="AL785" s="186"/>
      <c r="AM785" s="185" t="e">
        <f>VLOOKUP(CLEAN(H785),#REF!,7,FALSE)</f>
        <v>#REF!</v>
      </c>
      <c r="AR785" s="2" t="e">
        <f>VLOOKUP(CLEAN(H785),#REF!,2,FALSE)</f>
        <v>#REF!</v>
      </c>
      <c r="AZ785" s="2" t="e">
        <f>VLOOKUP(H785,#REF!,2,FALSE)</f>
        <v>#REF!</v>
      </c>
      <c r="BF785" s="193"/>
      <c r="BO785" s="2" t="e">
        <f>VLOOKUP(H785,#REF!,13,FALSE)</f>
        <v>#REF!</v>
      </c>
      <c r="BP785" s="7"/>
      <c r="BQ785" s="2" t="e">
        <f>VLOOKUP(H785,#REF!,13,FALSE)</f>
        <v>#REF!</v>
      </c>
    </row>
    <row r="786" spans="1:70" ht="26.25" customHeight="1" outlineLevel="1">
      <c r="A786" s="7"/>
      <c r="B786" s="7"/>
      <c r="C786" s="7"/>
      <c r="D786" s="7"/>
      <c r="E786" s="8"/>
      <c r="F786" s="7"/>
      <c r="G786" s="7"/>
      <c r="H786" s="11"/>
      <c r="I786" s="11"/>
      <c r="J786" s="11"/>
      <c r="K786" s="11"/>
      <c r="L786" s="57" t="s">
        <v>208</v>
      </c>
      <c r="M786" s="26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47"/>
      <c r="Z786" s="47"/>
      <c r="AM786" s="185" t="e">
        <f>VLOOKUP(CLEAN(H786),#REF!,7,FALSE)</f>
        <v>#REF!</v>
      </c>
      <c r="AO786"/>
      <c r="AP786"/>
      <c r="AQ786"/>
      <c r="AR786" s="2" t="e">
        <f>VLOOKUP(CLEAN(H786),#REF!,2,FALSE)</f>
        <v>#REF!</v>
      </c>
      <c r="AZ786" s="2" t="e">
        <f>VLOOKUP(H786,#REF!,2,FALSE)</f>
        <v>#REF!</v>
      </c>
      <c r="BO786" s="2" t="e">
        <f>VLOOKUP(H786,#REF!,13,FALSE)</f>
        <v>#REF!</v>
      </c>
      <c r="BQ786" s="2" t="e">
        <f>VLOOKUP(H786,#REF!,13,FALSE)</f>
        <v>#REF!</v>
      </c>
    </row>
    <row r="787" spans="1:70" ht="15" customHeight="1" outlineLevel="1">
      <c r="A787" s="7"/>
      <c r="B787" s="7"/>
      <c r="C787" s="7"/>
      <c r="D787" s="7"/>
      <c r="E787" s="8"/>
      <c r="F787" s="7"/>
      <c r="G787" s="7"/>
      <c r="H787" s="11"/>
      <c r="I787" s="11"/>
      <c r="J787" s="11"/>
      <c r="K787" s="11"/>
      <c r="L787" s="18" t="s">
        <v>695</v>
      </c>
      <c r="M787" s="26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47"/>
      <c r="Z787" s="47"/>
      <c r="AM787" s="185" t="e">
        <f>VLOOKUP(CLEAN(H787),#REF!,7,FALSE)</f>
        <v>#REF!</v>
      </c>
      <c r="AO787"/>
      <c r="AP787"/>
      <c r="AQ787"/>
      <c r="AR787" s="2" t="e">
        <f>VLOOKUP(CLEAN(H787),#REF!,2,FALSE)</f>
        <v>#REF!</v>
      </c>
      <c r="AZ787" s="2" t="e">
        <f>VLOOKUP(H787,#REF!,2,FALSE)</f>
        <v>#REF!</v>
      </c>
      <c r="BO787" s="2" t="e">
        <f>VLOOKUP(H787,#REF!,13,FALSE)</f>
        <v>#REF!</v>
      </c>
      <c r="BQ787" s="2" t="e">
        <f>VLOOKUP(H787,#REF!,13,FALSE)</f>
        <v>#REF!</v>
      </c>
    </row>
    <row r="788" spans="1:70" s="2" customFormat="1" ht="15" customHeight="1" outlineLevel="2">
      <c r="A788" s="5">
        <v>31</v>
      </c>
      <c r="B788" s="5" t="s">
        <v>5</v>
      </c>
      <c r="C788" s="5" t="s">
        <v>311</v>
      </c>
      <c r="D788" s="5" t="s">
        <v>43</v>
      </c>
      <c r="E788" s="5" t="s">
        <v>44</v>
      </c>
      <c r="F788" s="5" t="s">
        <v>77</v>
      </c>
      <c r="G788" s="5" t="s">
        <v>144</v>
      </c>
      <c r="H788" s="12">
        <v>30082185</v>
      </c>
      <c r="I788" s="42" t="str">
        <f t="shared" ref="I788:I790" si="472">CONCATENATE(H788,"-",G788)</f>
        <v>30082185-EJECUCION</v>
      </c>
      <c r="J788" s="12"/>
      <c r="K788" s="307" t="str">
        <f t="shared" ref="K788:K790" si="473">CLEAN(H788)</f>
        <v>30082185</v>
      </c>
      <c r="L788" s="15" t="s">
        <v>529</v>
      </c>
      <c r="M788" s="23">
        <v>581129687</v>
      </c>
      <c r="N788" s="34">
        <v>519795995</v>
      </c>
      <c r="O788" s="34">
        <v>16014885</v>
      </c>
      <c r="P788" s="310">
        <v>0</v>
      </c>
      <c r="Q788" s="34">
        <v>0</v>
      </c>
      <c r="R788" s="308">
        <v>0</v>
      </c>
      <c r="S788" s="34">
        <f t="shared" ref="S788:S790" si="474">P788+Q788+R788</f>
        <v>0</v>
      </c>
      <c r="T788" s="34">
        <v>0</v>
      </c>
      <c r="U788" s="34">
        <v>16014885</v>
      </c>
      <c r="V788" s="34">
        <f>P788+Q788+R788+T788+U788</f>
        <v>16014885</v>
      </c>
      <c r="W788" s="34">
        <f>O788-V788</f>
        <v>0</v>
      </c>
      <c r="X788" s="34">
        <f>M788-(N788+O788)</f>
        <v>45318807</v>
      </c>
      <c r="Y788" s="48" t="s">
        <v>239</v>
      </c>
      <c r="Z788" s="48" t="s">
        <v>8</v>
      </c>
      <c r="AA788" s="2" t="s">
        <v>842</v>
      </c>
      <c r="AB788" s="2" t="e">
        <f>VLOOKUP(H788,#REF!,2,FALSE)</f>
        <v>#REF!</v>
      </c>
      <c r="AC788" s="2" t="e">
        <f>VLOOKUP(I788,#REF!,2,FALSE)</f>
        <v>#REF!</v>
      </c>
      <c r="AD788" s="2" t="e">
        <f>VLOOKUP(H788,#REF!,13,FALSE)</f>
        <v>#REF!</v>
      </c>
      <c r="AE788" s="177" t="e">
        <f>VLOOKUP(I788,#REF!,7,FALSE)</f>
        <v>#REF!</v>
      </c>
      <c r="AG788" s="2" t="e">
        <f>VLOOKUP(H788,#REF!,13,FALSE)</f>
        <v>#REF!</v>
      </c>
      <c r="AH788" s="2" t="e">
        <f>VLOOKUP(I788,#REF!,2,FALSE)</f>
        <v>#REF!</v>
      </c>
      <c r="AJ788" s="185" t="e">
        <f>VLOOKUP(H788,#REF!,3,FALSE)</f>
        <v>#REF!</v>
      </c>
      <c r="AK788" s="185"/>
      <c r="AL788" s="185" t="e">
        <f>VLOOKUP(H788,#REF!,13,FALSE)</f>
        <v>#REF!</v>
      </c>
      <c r="AM788" s="185" t="e">
        <f>VLOOKUP(CLEAN(H788),#REF!,7,FALSE)</f>
        <v>#REF!</v>
      </c>
      <c r="AN788" s="2" t="e">
        <f>VLOOKUP(H788,#REF!,8,FALSE)</f>
        <v>#REF!</v>
      </c>
      <c r="AO788" s="189" t="e">
        <f>VLOOKUP(H788,#REF!,2,FALSE)</f>
        <v>#REF!</v>
      </c>
      <c r="AP788" s="189" t="e">
        <f>VLOOKUP(H788,#REF!,2,FALSE)</f>
        <v>#REF!</v>
      </c>
      <c r="AQ788" s="189"/>
      <c r="AR788" s="2" t="e">
        <f>VLOOKUP(CLEAN(H788),#REF!,2,FALSE)</f>
        <v>#REF!</v>
      </c>
      <c r="AT788" s="2" t="e">
        <f>VLOOKUP(H788,#REF!,13,FALSE)</f>
        <v>#REF!</v>
      </c>
      <c r="AU788" s="2" t="e">
        <f>VLOOKUP(H788,#REF!,13,FALSE)</f>
        <v>#REF!</v>
      </c>
      <c r="AV788" s="2" t="e">
        <f>VLOOKUP(H788,#REF!,13,FALSE)</f>
        <v>#REF!</v>
      </c>
      <c r="AW788" s="2" t="e">
        <f>VLOOKUP(H788,#REF!,13,FALSE)</f>
        <v>#REF!</v>
      </c>
      <c r="AX788" s="2" t="e">
        <f>VLOOKUP(H788,#REF!,9,FALSE)</f>
        <v>#REF!</v>
      </c>
      <c r="AZ788" s="2" t="e">
        <f>VLOOKUP(H788,#REF!,2,FALSE)</f>
        <v>#REF!</v>
      </c>
      <c r="BF788" s="189" t="e">
        <f>VLOOKUP(CLEAN(H788),#REF!,2,FALSE)</f>
        <v>#REF!</v>
      </c>
      <c r="BG788" s="189" t="e">
        <f>T788-BF788</f>
        <v>#REF!</v>
      </c>
      <c r="BO788" s="2" t="e">
        <f>VLOOKUP(H788,#REF!,13,FALSE)</f>
        <v>#REF!</v>
      </c>
      <c r="BP788" s="2" t="e">
        <f>VLOOKUP(H788,#REF!,2,FALSE)</f>
        <v>#REF!</v>
      </c>
      <c r="BQ788" s="2" t="e">
        <f>VLOOKUP(H788,#REF!,13,FALSE)</f>
        <v>#REF!</v>
      </c>
      <c r="BR788" s="2" t="e">
        <f>VLOOKUP(H788,#REF!,3,FALSE)</f>
        <v>#REF!</v>
      </c>
    </row>
    <row r="789" spans="1:70" s="2" customFormat="1" ht="15" customHeight="1" outlineLevel="2">
      <c r="A789" s="5">
        <v>29</v>
      </c>
      <c r="B789" s="5" t="s">
        <v>11</v>
      </c>
      <c r="C789" s="5" t="s">
        <v>251</v>
      </c>
      <c r="D789" s="5" t="s">
        <v>43</v>
      </c>
      <c r="E789" s="5" t="s">
        <v>44</v>
      </c>
      <c r="F789" s="5" t="s">
        <v>457</v>
      </c>
      <c r="G789" s="5" t="s">
        <v>144</v>
      </c>
      <c r="H789" s="12">
        <v>30342976</v>
      </c>
      <c r="I789" s="311" t="str">
        <f t="shared" si="472"/>
        <v>30342976-EJECUCION</v>
      </c>
      <c r="J789" s="190"/>
      <c r="K789" s="309" t="str">
        <f t="shared" si="473"/>
        <v>30342976</v>
      </c>
      <c r="L789" s="15" t="s">
        <v>1002</v>
      </c>
      <c r="M789" s="23">
        <v>314897000</v>
      </c>
      <c r="N789" s="34">
        <v>0</v>
      </c>
      <c r="O789" s="34">
        <v>59435540</v>
      </c>
      <c r="P789" s="310">
        <v>0</v>
      </c>
      <c r="Q789" s="34">
        <v>0</v>
      </c>
      <c r="R789" s="308">
        <v>0</v>
      </c>
      <c r="S789" s="34">
        <f t="shared" si="474"/>
        <v>0</v>
      </c>
      <c r="T789" s="34">
        <v>0</v>
      </c>
      <c r="U789" s="34">
        <v>0</v>
      </c>
      <c r="V789" s="34">
        <f>P789+Q789+R789+T789+U789</f>
        <v>0</v>
      </c>
      <c r="W789" s="34">
        <f>O789-V789</f>
        <v>59435540</v>
      </c>
      <c r="X789" s="34">
        <f>M789-(N789+O789)</f>
        <v>255461460</v>
      </c>
      <c r="Y789" s="48" t="s">
        <v>239</v>
      </c>
      <c r="Z789" s="48" t="s">
        <v>10</v>
      </c>
      <c r="AE789" s="177"/>
      <c r="AJ789" s="185"/>
      <c r="AK789" s="185"/>
      <c r="AL789" s="185"/>
      <c r="AM789" s="185"/>
      <c r="AO789" s="189"/>
      <c r="AP789" s="189"/>
      <c r="AQ789" s="189"/>
      <c r="BF789" s="189"/>
      <c r="BG789" s="189"/>
      <c r="BP789" s="2" t="e">
        <f>VLOOKUP(H789,#REF!,2,FALSE)</f>
        <v>#REF!</v>
      </c>
      <c r="BQ789" s="2" t="e">
        <f>VLOOKUP(H789,#REF!,13,FALSE)</f>
        <v>#REF!</v>
      </c>
      <c r="BR789" s="2" t="e">
        <f>VLOOKUP(H789,#REF!,3,FALSE)</f>
        <v>#REF!</v>
      </c>
    </row>
    <row r="790" spans="1:70" s="2" customFormat="1" ht="15" customHeight="1" outlineLevel="2">
      <c r="A790" s="5">
        <v>31</v>
      </c>
      <c r="B790" s="5" t="s">
        <v>54</v>
      </c>
      <c r="C790" s="5" t="s">
        <v>311</v>
      </c>
      <c r="D790" s="5" t="s">
        <v>43</v>
      </c>
      <c r="E790" s="5" t="s">
        <v>44</v>
      </c>
      <c r="F790" s="5" t="s">
        <v>77</v>
      </c>
      <c r="G790" s="5" t="s">
        <v>144</v>
      </c>
      <c r="H790" s="12">
        <v>30135078</v>
      </c>
      <c r="I790" s="311" t="str">
        <f t="shared" si="472"/>
        <v>30135078-EJECUCION</v>
      </c>
      <c r="J790" s="190"/>
      <c r="K790" s="309" t="str">
        <f t="shared" si="473"/>
        <v>30135078</v>
      </c>
      <c r="L790" s="15" t="s">
        <v>293</v>
      </c>
      <c r="M790" s="23">
        <v>421404000</v>
      </c>
      <c r="N790" s="34">
        <v>0</v>
      </c>
      <c r="O790" s="34">
        <v>409138979</v>
      </c>
      <c r="P790" s="310">
        <v>0</v>
      </c>
      <c r="Q790" s="34">
        <v>0</v>
      </c>
      <c r="R790" s="308">
        <v>0</v>
      </c>
      <c r="S790" s="34">
        <f t="shared" si="474"/>
        <v>0</v>
      </c>
      <c r="T790" s="34">
        <v>200000000</v>
      </c>
      <c r="U790" s="34">
        <v>180339000</v>
      </c>
      <c r="V790" s="34">
        <f>P790+Q790+R790+T790+U790</f>
        <v>380339000</v>
      </c>
      <c r="W790" s="34">
        <f>O790-V790</f>
        <v>28799979</v>
      </c>
      <c r="X790" s="34">
        <f>M790-(N790+O790)</f>
        <v>12265021</v>
      </c>
      <c r="Y790" s="48" t="s">
        <v>239</v>
      </c>
      <c r="Z790" s="48" t="s">
        <v>8</v>
      </c>
      <c r="AA790" s="2" t="s">
        <v>842</v>
      </c>
      <c r="AB790" s="2" t="e">
        <f>VLOOKUP(H790,#REF!,2,FALSE)</f>
        <v>#REF!</v>
      </c>
      <c r="AC790" s="2" t="e">
        <f>VLOOKUP(I790,#REF!,2,FALSE)</f>
        <v>#REF!</v>
      </c>
      <c r="AD790" s="2" t="e">
        <f>VLOOKUP(H790,#REF!,13,FALSE)</f>
        <v>#REF!</v>
      </c>
      <c r="AE790" s="2" t="e">
        <f>VLOOKUP(I790,#REF!,7,FALSE)</f>
        <v>#REF!</v>
      </c>
      <c r="AG790" s="2" t="e">
        <f>VLOOKUP(H790,#REF!,13,FALSE)</f>
        <v>#REF!</v>
      </c>
      <c r="AH790" s="2" t="e">
        <f>VLOOKUP(I790,#REF!,2,FALSE)</f>
        <v>#REF!</v>
      </c>
      <c r="AJ790" s="185" t="e">
        <f>VLOOKUP(H790,#REF!,3,FALSE)</f>
        <v>#REF!</v>
      </c>
      <c r="AK790" s="185"/>
      <c r="AL790" s="185" t="e">
        <f>VLOOKUP(H790,#REF!,13,FALSE)</f>
        <v>#REF!</v>
      </c>
      <c r="AM790" s="185" t="e">
        <f>VLOOKUP(CLEAN(H790),#REF!,7,FALSE)</f>
        <v>#REF!</v>
      </c>
      <c r="AN790" s="2" t="e">
        <f>VLOOKUP(H790,#REF!,8,FALSE)</f>
        <v>#REF!</v>
      </c>
      <c r="AO790" s="189" t="e">
        <f>VLOOKUP(H790,#REF!,2,FALSE)</f>
        <v>#REF!</v>
      </c>
      <c r="AP790" s="189" t="e">
        <f>VLOOKUP(H790,#REF!,2,FALSE)</f>
        <v>#REF!</v>
      </c>
      <c r="AQ790" s="189" t="e">
        <f>AO790-AP790</f>
        <v>#REF!</v>
      </c>
      <c r="AR790" s="2" t="e">
        <f>VLOOKUP(CLEAN(H790),#REF!,2,FALSE)</f>
        <v>#REF!</v>
      </c>
      <c r="AT790" s="2" t="e">
        <f>VLOOKUP(H790,#REF!,13,FALSE)</f>
        <v>#REF!</v>
      </c>
      <c r="AU790" s="2" t="e">
        <f>VLOOKUP(H790,#REF!,13,FALSE)</f>
        <v>#REF!</v>
      </c>
      <c r="AV790" s="2" t="e">
        <f>VLOOKUP(H790,#REF!,13,FALSE)</f>
        <v>#REF!</v>
      </c>
      <c r="AW790" s="2" t="e">
        <f>VLOOKUP(H790,#REF!,13,FALSE)</f>
        <v>#REF!</v>
      </c>
      <c r="AX790" s="2" t="e">
        <f>VLOOKUP(H790,#REF!,9,FALSE)</f>
        <v>#REF!</v>
      </c>
      <c r="AZ790" s="189" t="e">
        <f>VLOOKUP(H790,#REF!,2,FALSE)</f>
        <v>#REF!</v>
      </c>
      <c r="BF790" s="189" t="e">
        <f>VLOOKUP(CLEAN(H790),#REF!,2,FALSE)</f>
        <v>#REF!</v>
      </c>
      <c r="BG790" s="189" t="e">
        <f>T790-BF790</f>
        <v>#REF!</v>
      </c>
      <c r="BO790" s="2" t="e">
        <f>VLOOKUP(H790,#REF!,13,FALSE)</f>
        <v>#REF!</v>
      </c>
      <c r="BP790" s="2" t="e">
        <f>VLOOKUP(H790,#REF!,2,FALSE)</f>
        <v>#REF!</v>
      </c>
      <c r="BQ790" s="2" t="e">
        <f>VLOOKUP(H790,#REF!,13,FALSE)</f>
        <v>#REF!</v>
      </c>
      <c r="BR790" s="2" t="e">
        <f>VLOOKUP(H790,#REF!,3,FALSE)</f>
        <v>#REF!</v>
      </c>
    </row>
    <row r="791" spans="1:70" ht="15" customHeight="1" outlineLevel="2">
      <c r="A791" s="7"/>
      <c r="B791" s="7"/>
      <c r="C791" s="7"/>
      <c r="D791" s="7"/>
      <c r="E791" s="7"/>
      <c r="F791" s="7"/>
      <c r="G791" s="7"/>
      <c r="H791" s="11"/>
      <c r="I791" s="11"/>
      <c r="J791" s="11"/>
      <c r="K791" s="11"/>
      <c r="L791" s="17" t="s">
        <v>691</v>
      </c>
      <c r="M791" s="27">
        <f>SUBTOTAL(9,M788:M790)</f>
        <v>1317430687</v>
      </c>
      <c r="N791" s="27">
        <f t="shared" ref="N791:O791" si="475">SUBTOTAL(9,N788:N790)</f>
        <v>519795995</v>
      </c>
      <c r="O791" s="27">
        <f t="shared" si="475"/>
        <v>484589404</v>
      </c>
      <c r="P791" s="27">
        <f t="shared" ref="P791:X791" si="476">SUBTOTAL(9,P788:P790)</f>
        <v>0</v>
      </c>
      <c r="Q791" s="27">
        <f t="shared" si="476"/>
        <v>0</v>
      </c>
      <c r="R791" s="27">
        <f t="shared" si="476"/>
        <v>0</v>
      </c>
      <c r="S791" s="27">
        <f t="shared" si="476"/>
        <v>0</v>
      </c>
      <c r="T791" s="27">
        <f t="shared" si="476"/>
        <v>200000000</v>
      </c>
      <c r="U791" s="27">
        <f t="shared" si="476"/>
        <v>196353885</v>
      </c>
      <c r="V791" s="27">
        <f t="shared" si="476"/>
        <v>396353885</v>
      </c>
      <c r="W791" s="27">
        <f t="shared" si="476"/>
        <v>88235519</v>
      </c>
      <c r="X791" s="27">
        <f t="shared" si="476"/>
        <v>313045288</v>
      </c>
      <c r="Y791" s="47"/>
      <c r="Z791" s="47"/>
      <c r="AM791" s="185" t="e">
        <f>VLOOKUP(CLEAN(H791),#REF!,7,FALSE)</f>
        <v>#REF!</v>
      </c>
      <c r="AO791"/>
      <c r="AP791"/>
      <c r="AQ791"/>
      <c r="AR791" s="2" t="e">
        <f>VLOOKUP(CLEAN(H791),#REF!,2,FALSE)</f>
        <v>#REF!</v>
      </c>
      <c r="AZ791" s="2" t="e">
        <f>VLOOKUP(H791,#REF!,2,FALSE)</f>
        <v>#REF!</v>
      </c>
      <c r="BO791" s="2" t="e">
        <f>VLOOKUP(H791,#REF!,13,FALSE)</f>
        <v>#REF!</v>
      </c>
      <c r="BQ791" s="2" t="e">
        <f>VLOOKUP(H791,#REF!,13,FALSE)</f>
        <v>#REF!</v>
      </c>
    </row>
    <row r="792" spans="1:70" ht="15" customHeight="1" outlineLevel="2">
      <c r="A792" s="7"/>
      <c r="B792" s="7"/>
      <c r="C792" s="7"/>
      <c r="D792" s="7"/>
      <c r="E792" s="7"/>
      <c r="F792" s="7"/>
      <c r="G792" s="7"/>
      <c r="H792" s="11"/>
      <c r="I792" s="11"/>
      <c r="J792" s="11"/>
      <c r="K792" s="11"/>
      <c r="L792" s="292"/>
      <c r="M792" s="22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47"/>
      <c r="Z792" s="47"/>
      <c r="AM792" s="185" t="e">
        <f>VLOOKUP(CLEAN(H792),#REF!,7,FALSE)</f>
        <v>#REF!</v>
      </c>
      <c r="AO792"/>
      <c r="AP792"/>
      <c r="AQ792"/>
      <c r="AR792" s="2" t="e">
        <f>VLOOKUP(CLEAN(H792),#REF!,2,FALSE)</f>
        <v>#REF!</v>
      </c>
      <c r="AZ792" s="2" t="e">
        <f>VLOOKUP(H792,#REF!,2,FALSE)</f>
        <v>#REF!</v>
      </c>
      <c r="BO792" s="2" t="e">
        <f>VLOOKUP(H792,#REF!,13,FALSE)</f>
        <v>#REF!</v>
      </c>
      <c r="BP792" s="293"/>
      <c r="BQ792" s="2" t="e">
        <f>VLOOKUP(H792,#REF!,13,FALSE)</f>
        <v>#REF!</v>
      </c>
    </row>
    <row r="793" spans="1:70" ht="15" customHeight="1" outlineLevel="2">
      <c r="A793" s="7"/>
      <c r="B793" s="7"/>
      <c r="C793" s="7"/>
      <c r="D793" s="7"/>
      <c r="E793" s="7"/>
      <c r="F793" s="7"/>
      <c r="G793" s="7"/>
      <c r="H793" s="11"/>
      <c r="I793" s="11"/>
      <c r="J793" s="11"/>
      <c r="K793" s="11"/>
      <c r="L793" s="18" t="s">
        <v>697</v>
      </c>
      <c r="M793" s="22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47"/>
      <c r="Z793" s="47"/>
      <c r="AO793"/>
      <c r="AP793"/>
      <c r="AQ793"/>
      <c r="AR793" s="2" t="e">
        <f>VLOOKUP(CLEAN(H793),#REF!,2,FALSE)</f>
        <v>#REF!</v>
      </c>
      <c r="AZ793" s="2" t="e">
        <f>VLOOKUP(H793,#REF!,2,FALSE)</f>
        <v>#REF!</v>
      </c>
      <c r="BO793" s="2" t="e">
        <f>VLOOKUP(H793,#REF!,13,FALSE)</f>
        <v>#REF!</v>
      </c>
      <c r="BQ793" s="2" t="e">
        <f>VLOOKUP(H793,#REF!,13,FALSE)</f>
        <v>#REF!</v>
      </c>
    </row>
    <row r="794" spans="1:70" s="2" customFormat="1" ht="15" customHeight="1" outlineLevel="2">
      <c r="A794" s="5">
        <v>31</v>
      </c>
      <c r="B794" s="5" t="s">
        <v>5</v>
      </c>
      <c r="C794" s="5" t="s">
        <v>241</v>
      </c>
      <c r="D794" s="5" t="s">
        <v>43</v>
      </c>
      <c r="E794" s="5" t="s">
        <v>44</v>
      </c>
      <c r="F794" s="5" t="s">
        <v>77</v>
      </c>
      <c r="G794" s="5" t="s">
        <v>144</v>
      </c>
      <c r="H794" s="12">
        <v>30342727</v>
      </c>
      <c r="I794" s="42" t="str">
        <f t="shared" ref="I794:I795" si="477">CONCATENATE(H794,"-",G794)</f>
        <v>30342727-EJECUCION</v>
      </c>
      <c r="J794" s="12"/>
      <c r="K794" s="307" t="str">
        <f t="shared" ref="K794:K795" si="478">CLEAN(H794)</f>
        <v>30342727</v>
      </c>
      <c r="L794" s="15" t="s">
        <v>386</v>
      </c>
      <c r="M794" s="23">
        <v>1524137492</v>
      </c>
      <c r="N794" s="34">
        <v>1371654075</v>
      </c>
      <c r="O794" s="34">
        <v>152483417</v>
      </c>
      <c r="P794" s="310">
        <v>70108794</v>
      </c>
      <c r="Q794" s="34">
        <v>0</v>
      </c>
      <c r="R794" s="308">
        <v>82374623</v>
      </c>
      <c r="S794" s="34">
        <f t="shared" ref="S794:S795" si="479">P794+Q794+R794</f>
        <v>152483417</v>
      </c>
      <c r="T794" s="34">
        <v>0</v>
      </c>
      <c r="U794" s="34">
        <v>0</v>
      </c>
      <c r="V794" s="34">
        <f>P794+Q794+R794+T794+U794</f>
        <v>152483417</v>
      </c>
      <c r="W794" s="34">
        <f>O794-V794</f>
        <v>0</v>
      </c>
      <c r="X794" s="34">
        <f>M794-(N794+O794)</f>
        <v>0</v>
      </c>
      <c r="Y794" s="48" t="s">
        <v>460</v>
      </c>
      <c r="Z794" s="48" t="s">
        <v>10</v>
      </c>
      <c r="AA794" s="2" t="e">
        <v>#N/A</v>
      </c>
      <c r="AB794" s="2" t="e">
        <f>VLOOKUP(H794,#REF!,2,FALSE)</f>
        <v>#REF!</v>
      </c>
      <c r="AC794" s="2" t="e">
        <f>VLOOKUP(I794,#REF!,2,FALSE)</f>
        <v>#REF!</v>
      </c>
      <c r="AD794" s="2" t="e">
        <f>VLOOKUP(H794,#REF!,13,FALSE)</f>
        <v>#REF!</v>
      </c>
      <c r="AE794" s="2" t="e">
        <f>VLOOKUP(I794,#REF!,7,FALSE)</f>
        <v>#REF!</v>
      </c>
      <c r="AG794" s="2" t="e">
        <f>VLOOKUP(H794,#REF!,13,FALSE)</f>
        <v>#REF!</v>
      </c>
      <c r="AH794" s="2" t="e">
        <f>VLOOKUP(I794,#REF!,2,FALSE)</f>
        <v>#REF!</v>
      </c>
      <c r="AJ794" s="185" t="e">
        <f>VLOOKUP(H794,#REF!,3,FALSE)</f>
        <v>#REF!</v>
      </c>
      <c r="AK794" s="185"/>
      <c r="AL794" s="185" t="e">
        <f>VLOOKUP(H794,#REF!,13,FALSE)</f>
        <v>#REF!</v>
      </c>
      <c r="AM794" s="185" t="e">
        <f>VLOOKUP(CLEAN(H794),#REF!,7,FALSE)</f>
        <v>#REF!</v>
      </c>
      <c r="AN794" s="2" t="e">
        <f>VLOOKUP(H794,#REF!,8,FALSE)</f>
        <v>#REF!</v>
      </c>
      <c r="AO794" s="189" t="e">
        <f>VLOOKUP(H794,#REF!,2,FALSE)</f>
        <v>#REF!</v>
      </c>
      <c r="AP794" s="189" t="e">
        <f>VLOOKUP(H794,#REF!,2,FALSE)</f>
        <v>#REF!</v>
      </c>
      <c r="AQ794" s="189"/>
      <c r="AR794" s="2" t="e">
        <f>VLOOKUP(CLEAN(H794),#REF!,2,FALSE)</f>
        <v>#REF!</v>
      </c>
      <c r="AT794" s="2" t="e">
        <f>VLOOKUP(H794,#REF!,13,FALSE)</f>
        <v>#REF!</v>
      </c>
      <c r="AU794" s="2" t="e">
        <f>VLOOKUP(H794,#REF!,13,FALSE)</f>
        <v>#REF!</v>
      </c>
      <c r="AV794" s="2" t="e">
        <f>VLOOKUP(H794,#REF!,13,FALSE)</f>
        <v>#REF!</v>
      </c>
      <c r="AW794" s="2" t="e">
        <f>VLOOKUP(H794,#REF!,13,FALSE)</f>
        <v>#REF!</v>
      </c>
      <c r="AX794" s="2" t="e">
        <f>VLOOKUP(H794,#REF!,9,FALSE)</f>
        <v>#REF!</v>
      </c>
      <c r="AZ794" s="189" t="e">
        <f>VLOOKUP(H794,#REF!,2,FALSE)</f>
        <v>#REF!</v>
      </c>
      <c r="BF794" s="189" t="e">
        <f>VLOOKUP(CLEAN(H794),#REF!,2,FALSE)</f>
        <v>#REF!</v>
      </c>
      <c r="BG794" s="189" t="e">
        <f>T794-BF794</f>
        <v>#REF!</v>
      </c>
      <c r="BO794" s="2" t="e">
        <f>VLOOKUP(H794,#REF!,13,FALSE)</f>
        <v>#REF!</v>
      </c>
      <c r="BP794" s="2" t="e">
        <f>VLOOKUP(H794,#REF!,2,FALSE)</f>
        <v>#REF!</v>
      </c>
      <c r="BQ794" s="2" t="e">
        <f>VLOOKUP(H794,#REF!,13,FALSE)</f>
        <v>#REF!</v>
      </c>
      <c r="BR794" s="2" t="e">
        <f>VLOOKUP(H794,#REF!,3,FALSE)</f>
        <v>#REF!</v>
      </c>
    </row>
    <row r="795" spans="1:70" s="2" customFormat="1" ht="15" customHeight="1" outlineLevel="2">
      <c r="A795" s="5">
        <v>31</v>
      </c>
      <c r="B795" s="5" t="s">
        <v>5</v>
      </c>
      <c r="C795" s="5" t="s">
        <v>242</v>
      </c>
      <c r="D795" s="5" t="s">
        <v>43</v>
      </c>
      <c r="E795" s="5" t="s">
        <v>44</v>
      </c>
      <c r="F795" s="5" t="s">
        <v>77</v>
      </c>
      <c r="G795" s="5" t="s">
        <v>144</v>
      </c>
      <c r="H795" s="12">
        <v>30136060</v>
      </c>
      <c r="I795" s="42" t="str">
        <f t="shared" si="477"/>
        <v>30136060-EJECUCION</v>
      </c>
      <c r="J795" s="12"/>
      <c r="K795" s="307" t="str">
        <f t="shared" si="478"/>
        <v>30136060</v>
      </c>
      <c r="L795" s="15" t="s">
        <v>527</v>
      </c>
      <c r="M795" s="23">
        <v>1971939680</v>
      </c>
      <c r="N795" s="34">
        <v>1971939680</v>
      </c>
      <c r="O795" s="34">
        <v>0</v>
      </c>
      <c r="P795" s="310">
        <v>0</v>
      </c>
      <c r="Q795" s="34">
        <v>0</v>
      </c>
      <c r="R795" s="308">
        <v>0</v>
      </c>
      <c r="S795" s="34">
        <f t="shared" si="479"/>
        <v>0</v>
      </c>
      <c r="T795" s="34">
        <v>0</v>
      </c>
      <c r="U795" s="34">
        <v>0</v>
      </c>
      <c r="V795" s="34">
        <f>P795+Q795+R795+T795+U795</f>
        <v>0</v>
      </c>
      <c r="W795" s="34">
        <f>O795-V795</f>
        <v>0</v>
      </c>
      <c r="X795" s="34">
        <f>M795-(N795+O795)</f>
        <v>0</v>
      </c>
      <c r="Y795" s="48" t="s">
        <v>460</v>
      </c>
      <c r="Z795" s="48" t="s">
        <v>8</v>
      </c>
      <c r="AA795" s="2" t="e">
        <v>#N/A</v>
      </c>
      <c r="AB795" s="2" t="e">
        <f>VLOOKUP(H795,#REF!,2,FALSE)</f>
        <v>#REF!</v>
      </c>
      <c r="AC795" s="2" t="e">
        <f>VLOOKUP(I795,#REF!,2,FALSE)</f>
        <v>#REF!</v>
      </c>
      <c r="AD795" s="2" t="e">
        <f>VLOOKUP(H795,#REF!,13,FALSE)</f>
        <v>#REF!</v>
      </c>
      <c r="AE795" s="177" t="e">
        <f>VLOOKUP(I795,#REF!,7,FALSE)</f>
        <v>#REF!</v>
      </c>
      <c r="AG795" s="2" t="e">
        <f>VLOOKUP(H795,#REF!,13,FALSE)</f>
        <v>#REF!</v>
      </c>
      <c r="AH795" s="2" t="e">
        <f>VLOOKUP(I795,#REF!,2,FALSE)</f>
        <v>#REF!</v>
      </c>
      <c r="AJ795" s="185" t="e">
        <f>VLOOKUP(H795,#REF!,3,FALSE)</f>
        <v>#REF!</v>
      </c>
      <c r="AK795" s="185"/>
      <c r="AL795" s="185" t="e">
        <f>VLOOKUP(H795,#REF!,13,FALSE)</f>
        <v>#REF!</v>
      </c>
      <c r="AM795" s="185" t="e">
        <f>VLOOKUP(CLEAN(H795),#REF!,7,FALSE)</f>
        <v>#REF!</v>
      </c>
      <c r="AN795" s="2" t="e">
        <f>VLOOKUP(H795,#REF!,8,FALSE)</f>
        <v>#REF!</v>
      </c>
      <c r="AO795" s="189" t="e">
        <f>VLOOKUP(H795,#REF!,2,FALSE)</f>
        <v>#REF!</v>
      </c>
      <c r="AP795" s="189" t="e">
        <f>VLOOKUP(H795,#REF!,2,FALSE)</f>
        <v>#REF!</v>
      </c>
      <c r="AQ795" s="189"/>
      <c r="AR795" s="2" t="e">
        <f>VLOOKUP(CLEAN(H795),#REF!,2,FALSE)</f>
        <v>#REF!</v>
      </c>
      <c r="AT795" s="2" t="e">
        <f>VLOOKUP(H795,#REF!,13,FALSE)</f>
        <v>#REF!</v>
      </c>
      <c r="AU795" s="2" t="e">
        <f>VLOOKUP(H795,#REF!,13,FALSE)</f>
        <v>#REF!</v>
      </c>
      <c r="AV795" s="2" t="e">
        <f>VLOOKUP(H795,#REF!,13,FALSE)</f>
        <v>#REF!</v>
      </c>
      <c r="AW795" s="2" t="e">
        <f>VLOOKUP(H795,#REF!,13,FALSE)</f>
        <v>#REF!</v>
      </c>
      <c r="AX795" s="2" t="e">
        <f>VLOOKUP(H795,#REF!,9,FALSE)</f>
        <v>#REF!</v>
      </c>
      <c r="AZ795" s="189" t="e">
        <f>VLOOKUP(H795,#REF!,2,FALSE)</f>
        <v>#REF!</v>
      </c>
      <c r="BF795" s="189" t="e">
        <f>VLOOKUP(CLEAN(H795),#REF!,2,FALSE)</f>
        <v>#REF!</v>
      </c>
      <c r="BG795" s="189" t="e">
        <f>T795-BF795</f>
        <v>#REF!</v>
      </c>
      <c r="BO795" s="2" t="e">
        <f>VLOOKUP(H795,#REF!,13,FALSE)</f>
        <v>#REF!</v>
      </c>
      <c r="BP795" s="2" t="e">
        <f>VLOOKUP(H795,#REF!,2,FALSE)</f>
        <v>#REF!</v>
      </c>
      <c r="BQ795" s="2" t="e">
        <f>VLOOKUP(H795,#REF!,13,FALSE)</f>
        <v>#REF!</v>
      </c>
      <c r="BR795" s="2" t="e">
        <f>VLOOKUP(H795,#REF!,3,FALSE)</f>
        <v>#REF!</v>
      </c>
    </row>
    <row r="796" spans="1:70" ht="15" customHeight="1" outlineLevel="2">
      <c r="A796" s="7"/>
      <c r="B796" s="7"/>
      <c r="C796" s="7"/>
      <c r="D796" s="7"/>
      <c r="E796" s="7"/>
      <c r="F796" s="7"/>
      <c r="G796" s="7"/>
      <c r="H796" s="11"/>
      <c r="I796" s="11"/>
      <c r="J796" s="11"/>
      <c r="K796" s="11"/>
      <c r="L796" s="17" t="s">
        <v>694</v>
      </c>
      <c r="M796" s="27">
        <f>SUBTOTAL(9,M794:M795)</f>
        <v>3496077172</v>
      </c>
      <c r="N796" s="27">
        <f t="shared" ref="N796:O796" si="480">SUBTOTAL(9,N794:N795)</f>
        <v>3343593755</v>
      </c>
      <c r="O796" s="27">
        <f t="shared" si="480"/>
        <v>152483417</v>
      </c>
      <c r="P796" s="24">
        <f t="shared" ref="P796:X796" si="481">SUBTOTAL(9,P794:P795)</f>
        <v>70108794</v>
      </c>
      <c r="Q796" s="24">
        <f t="shared" si="481"/>
        <v>0</v>
      </c>
      <c r="R796" s="24">
        <f t="shared" si="481"/>
        <v>82374623</v>
      </c>
      <c r="S796" s="27">
        <f t="shared" si="481"/>
        <v>152483417</v>
      </c>
      <c r="T796" s="27">
        <f t="shared" si="481"/>
        <v>0</v>
      </c>
      <c r="U796" s="27">
        <f t="shared" si="481"/>
        <v>0</v>
      </c>
      <c r="V796" s="27">
        <f t="shared" si="481"/>
        <v>152483417</v>
      </c>
      <c r="W796" s="27">
        <f t="shared" si="481"/>
        <v>0</v>
      </c>
      <c r="X796" s="27">
        <f t="shared" si="481"/>
        <v>0</v>
      </c>
      <c r="Y796" s="47"/>
      <c r="Z796" s="47"/>
      <c r="AO796"/>
      <c r="AP796"/>
      <c r="AQ796"/>
      <c r="AR796" s="2" t="e">
        <f>VLOOKUP(CLEAN(H796),#REF!,2,FALSE)</f>
        <v>#REF!</v>
      </c>
      <c r="AZ796" s="2" t="e">
        <f>VLOOKUP(H796,#REF!,2,FALSE)</f>
        <v>#REF!</v>
      </c>
      <c r="BO796" s="2" t="e">
        <f>VLOOKUP(H796,#REF!,13,FALSE)</f>
        <v>#REF!</v>
      </c>
      <c r="BQ796" s="2" t="e">
        <f>VLOOKUP(H796,#REF!,13,FALSE)</f>
        <v>#REF!</v>
      </c>
    </row>
    <row r="797" spans="1:70" ht="15" customHeight="1" outlineLevel="2">
      <c r="A797" s="7"/>
      <c r="B797" s="7"/>
      <c r="C797" s="7"/>
      <c r="D797" s="7"/>
      <c r="E797" s="7"/>
      <c r="F797" s="7"/>
      <c r="G797" s="7"/>
      <c r="H797" s="11"/>
      <c r="I797" s="11"/>
      <c r="J797" s="11"/>
      <c r="K797" s="11"/>
      <c r="L797" s="292"/>
      <c r="M797" s="22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47"/>
      <c r="Z797" s="47"/>
      <c r="AO797"/>
      <c r="AP797"/>
      <c r="AQ797"/>
      <c r="AR797" s="2" t="e">
        <f>VLOOKUP(CLEAN(H797),#REF!,2,FALSE)</f>
        <v>#REF!</v>
      </c>
      <c r="AZ797" s="2" t="e">
        <f>VLOOKUP(H797,#REF!,2,FALSE)</f>
        <v>#REF!</v>
      </c>
      <c r="BO797" s="2" t="e">
        <f>VLOOKUP(H797,#REF!,13,FALSE)</f>
        <v>#REF!</v>
      </c>
      <c r="BP797" s="293"/>
      <c r="BQ797" s="2" t="e">
        <f>VLOOKUP(H797,#REF!,13,FALSE)</f>
        <v>#REF!</v>
      </c>
    </row>
    <row r="798" spans="1:70" ht="15" customHeight="1" outlineLevel="2">
      <c r="A798" s="7"/>
      <c r="B798" s="7"/>
      <c r="C798" s="7"/>
      <c r="D798" s="7"/>
      <c r="E798" s="7"/>
      <c r="F798" s="7"/>
      <c r="G798" s="7"/>
      <c r="H798" s="11"/>
      <c r="I798" s="11"/>
      <c r="J798" s="11"/>
      <c r="K798" s="11"/>
      <c r="L798" s="18" t="s">
        <v>701</v>
      </c>
      <c r="M798" s="22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47"/>
      <c r="Z798" s="47"/>
      <c r="AM798" s="185" t="e">
        <f>VLOOKUP(CLEAN(H798),#REF!,7,FALSE)</f>
        <v>#REF!</v>
      </c>
      <c r="AO798"/>
      <c r="AP798"/>
      <c r="AQ798"/>
      <c r="AR798" s="2" t="e">
        <f>VLOOKUP(CLEAN(H798),#REF!,2,FALSE)</f>
        <v>#REF!</v>
      </c>
      <c r="AZ798" s="2" t="e">
        <f>VLOOKUP(H798,#REF!,2,FALSE)</f>
        <v>#REF!</v>
      </c>
      <c r="BO798" s="2" t="e">
        <f>VLOOKUP(H798,#REF!,13,FALSE)</f>
        <v>#REF!</v>
      </c>
      <c r="BQ798" s="2" t="e">
        <f>VLOOKUP(H798,#REF!,13,FALSE)</f>
        <v>#REF!</v>
      </c>
    </row>
    <row r="799" spans="1:70" s="2" customFormat="1" ht="15" customHeight="1" outlineLevel="2">
      <c r="A799" s="5">
        <v>31</v>
      </c>
      <c r="B799" s="5" t="s">
        <v>54</v>
      </c>
      <c r="C799" s="5" t="s">
        <v>311</v>
      </c>
      <c r="D799" s="5" t="s">
        <v>43</v>
      </c>
      <c r="E799" s="5" t="s">
        <v>44</v>
      </c>
      <c r="F799" s="5" t="s">
        <v>77</v>
      </c>
      <c r="G799" s="5" t="s">
        <v>144</v>
      </c>
      <c r="H799" s="12">
        <v>30342276</v>
      </c>
      <c r="I799" s="42" t="str">
        <f t="shared" ref="I799:I803" si="482">CONCATENATE(H799,"-",G799)</f>
        <v>30342276-EJECUCION</v>
      </c>
      <c r="J799" s="12"/>
      <c r="K799" s="307" t="str">
        <f t="shared" ref="K799:K803" si="483">CLEAN(H799)</f>
        <v>30342276</v>
      </c>
      <c r="L799" s="15" t="s">
        <v>362</v>
      </c>
      <c r="M799" s="23">
        <v>551663000</v>
      </c>
      <c r="N799" s="34">
        <v>0</v>
      </c>
      <c r="O799" s="34">
        <v>160501698</v>
      </c>
      <c r="P799" s="310">
        <v>0</v>
      </c>
      <c r="Q799" s="34">
        <v>0</v>
      </c>
      <c r="R799" s="308">
        <v>0</v>
      </c>
      <c r="S799" s="34">
        <f t="shared" ref="S799:S803" si="484">P799+Q799+R799</f>
        <v>0</v>
      </c>
      <c r="T799" s="34">
        <v>0</v>
      </c>
      <c r="U799" s="34">
        <v>0</v>
      </c>
      <c r="V799" s="34">
        <f>P799+Q799+R799+T799+U799</f>
        <v>0</v>
      </c>
      <c r="W799" s="34">
        <f>O799-V799</f>
        <v>160501698</v>
      </c>
      <c r="X799" s="34">
        <f>M799-(N799+O799)</f>
        <v>391161302</v>
      </c>
      <c r="Y799" s="48" t="s">
        <v>243</v>
      </c>
      <c r="Z799" s="48" t="s">
        <v>10</v>
      </c>
      <c r="AA799" s="2" t="s">
        <v>842</v>
      </c>
      <c r="AB799" s="2" t="e">
        <f>VLOOKUP(H799,#REF!,2,FALSE)</f>
        <v>#REF!</v>
      </c>
      <c r="AC799" s="2" t="e">
        <f>VLOOKUP(I799,#REF!,2,FALSE)</f>
        <v>#REF!</v>
      </c>
      <c r="AD799" s="2" t="e">
        <f>VLOOKUP(H799,#REF!,13,FALSE)</f>
        <v>#REF!</v>
      </c>
      <c r="AE799" s="177" t="e">
        <f>VLOOKUP(I799,#REF!,7,FALSE)</f>
        <v>#REF!</v>
      </c>
      <c r="AG799" s="2" t="e">
        <f>VLOOKUP(H799,#REF!,13,FALSE)</f>
        <v>#REF!</v>
      </c>
      <c r="AH799" s="2" t="e">
        <f>VLOOKUP(I799,#REF!,2,FALSE)</f>
        <v>#REF!</v>
      </c>
      <c r="AJ799" s="185" t="e">
        <f>VLOOKUP(H799,#REF!,3,FALSE)</f>
        <v>#REF!</v>
      </c>
      <c r="AK799" s="185" t="s">
        <v>684</v>
      </c>
      <c r="AL799" s="185" t="e">
        <f>VLOOKUP(H799,#REF!,13,FALSE)</f>
        <v>#REF!</v>
      </c>
      <c r="AM799" s="185" t="e">
        <f>VLOOKUP(CLEAN(H799),#REF!,7,FALSE)</f>
        <v>#REF!</v>
      </c>
      <c r="AN799" s="2" t="e">
        <f>VLOOKUP(H799,#REF!,8,FALSE)</f>
        <v>#REF!</v>
      </c>
      <c r="AO799" s="189" t="e">
        <f>VLOOKUP(H799,#REF!,2,FALSE)</f>
        <v>#REF!</v>
      </c>
      <c r="AP799" s="189" t="e">
        <f>VLOOKUP(H799,#REF!,2,FALSE)</f>
        <v>#REF!</v>
      </c>
      <c r="AQ799" s="189"/>
      <c r="AR799" s="2" t="e">
        <f>VLOOKUP(CLEAN(H799),#REF!,2,FALSE)</f>
        <v>#REF!</v>
      </c>
      <c r="AT799" s="2" t="e">
        <f>VLOOKUP(H799,#REF!,13,FALSE)</f>
        <v>#REF!</v>
      </c>
      <c r="AU799" s="2" t="e">
        <f>VLOOKUP(H799,#REF!,13,FALSE)</f>
        <v>#REF!</v>
      </c>
      <c r="AV799" s="2" t="e">
        <f>VLOOKUP(H799,#REF!,13,FALSE)</f>
        <v>#REF!</v>
      </c>
      <c r="AW799" s="2" t="e">
        <f>VLOOKUP(H799,#REF!,13,FALSE)</f>
        <v>#REF!</v>
      </c>
      <c r="AX799" s="2" t="e">
        <f>VLOOKUP(H799,#REF!,9,FALSE)</f>
        <v>#REF!</v>
      </c>
      <c r="AY799" s="2" t="e">
        <f>VLOOKUP(H799,#REF!,2,FALSE)</f>
        <v>#REF!</v>
      </c>
      <c r="AZ799" s="2" t="e">
        <f>VLOOKUP(H799,#REF!,2,FALSE)</f>
        <v>#REF!</v>
      </c>
      <c r="BF799" s="189" t="e">
        <f>VLOOKUP(CLEAN(H799),#REF!,2,FALSE)</f>
        <v>#REF!</v>
      </c>
      <c r="BG799" s="189" t="e">
        <f>T799-BF799</f>
        <v>#REF!</v>
      </c>
      <c r="BO799" s="2" t="e">
        <f>VLOOKUP(H799,#REF!,13,FALSE)</f>
        <v>#REF!</v>
      </c>
      <c r="BP799" s="2" t="e">
        <f>VLOOKUP(H799,#REF!,2,FALSE)</f>
        <v>#REF!</v>
      </c>
      <c r="BQ799" s="2" t="e">
        <f>VLOOKUP(H799,#REF!,13,FALSE)</f>
        <v>#REF!</v>
      </c>
      <c r="BR799" s="2" t="e">
        <f>VLOOKUP(H799,#REF!,3,FALSE)</f>
        <v>#REF!</v>
      </c>
    </row>
    <row r="800" spans="1:70" s="2" customFormat="1" ht="15" customHeight="1" outlineLevel="2">
      <c r="A800" s="5">
        <v>31</v>
      </c>
      <c r="B800" s="5" t="s">
        <v>11</v>
      </c>
      <c r="C800" s="5" t="s">
        <v>241</v>
      </c>
      <c r="D800" s="5" t="s">
        <v>43</v>
      </c>
      <c r="E800" s="5" t="s">
        <v>44</v>
      </c>
      <c r="F800" s="5" t="s">
        <v>77</v>
      </c>
      <c r="G800" s="5" t="s">
        <v>144</v>
      </c>
      <c r="H800" s="12">
        <v>30371674</v>
      </c>
      <c r="I800" s="42" t="str">
        <f t="shared" si="482"/>
        <v>30371674-EJECUCION</v>
      </c>
      <c r="J800" s="190"/>
      <c r="K800" s="307" t="str">
        <f t="shared" si="483"/>
        <v>30371674</v>
      </c>
      <c r="L800" s="15" t="s">
        <v>322</v>
      </c>
      <c r="M800" s="23">
        <v>2400000000</v>
      </c>
      <c r="N800" s="34">
        <v>0</v>
      </c>
      <c r="O800" s="34">
        <v>300000000</v>
      </c>
      <c r="P800" s="310">
        <v>0</v>
      </c>
      <c r="Q800" s="34">
        <v>0</v>
      </c>
      <c r="R800" s="308">
        <v>0</v>
      </c>
      <c r="S800" s="34">
        <f t="shared" si="484"/>
        <v>0</v>
      </c>
      <c r="T800" s="34">
        <v>0</v>
      </c>
      <c r="U800" s="34">
        <v>0</v>
      </c>
      <c r="V800" s="34">
        <f>P800+Q800+R800+T800+U800</f>
        <v>0</v>
      </c>
      <c r="W800" s="34">
        <f>O800-V800</f>
        <v>300000000</v>
      </c>
      <c r="X800" s="34">
        <f>M800-(N800+O800)</f>
        <v>2100000000</v>
      </c>
      <c r="Y800" s="48" t="s">
        <v>243</v>
      </c>
      <c r="Z800" s="48" t="s">
        <v>8</v>
      </c>
      <c r="AA800" s="2" t="s">
        <v>842</v>
      </c>
      <c r="AB800" s="2" t="e">
        <f>VLOOKUP(H800,#REF!,2,FALSE)</f>
        <v>#REF!</v>
      </c>
      <c r="AC800" s="2" t="e">
        <f>VLOOKUP(I800,#REF!,2,FALSE)</f>
        <v>#REF!</v>
      </c>
      <c r="AD800" s="2" t="e">
        <f>VLOOKUP(H800,#REF!,13,FALSE)</f>
        <v>#REF!</v>
      </c>
      <c r="AE800" s="2" t="e">
        <f>VLOOKUP(I800,#REF!,7,FALSE)</f>
        <v>#REF!</v>
      </c>
      <c r="AG800" s="2" t="e">
        <f>VLOOKUP(H800,#REF!,13,FALSE)</f>
        <v>#REF!</v>
      </c>
      <c r="AH800" s="2" t="e">
        <f>VLOOKUP(I800,#REF!,2,FALSE)</f>
        <v>#REF!</v>
      </c>
      <c r="AJ800" s="185" t="e">
        <f>VLOOKUP(H800,#REF!,3,FALSE)</f>
        <v>#REF!</v>
      </c>
      <c r="AK800" s="185"/>
      <c r="AL800" s="185" t="e">
        <f>VLOOKUP(H800,#REF!,13,FALSE)</f>
        <v>#REF!</v>
      </c>
      <c r="AM800" s="185" t="e">
        <f>VLOOKUP(CLEAN(H800),#REF!,7,FALSE)</f>
        <v>#REF!</v>
      </c>
      <c r="AN800" s="2" t="e">
        <f>VLOOKUP(H800,#REF!,8,FALSE)</f>
        <v>#REF!</v>
      </c>
      <c r="AO800" s="189" t="e">
        <f>VLOOKUP(H800,#REF!,2,FALSE)</f>
        <v>#REF!</v>
      </c>
      <c r="AP800" s="189" t="e">
        <f>VLOOKUP(H800,#REF!,2,FALSE)</f>
        <v>#REF!</v>
      </c>
      <c r="AQ800" s="189"/>
      <c r="AR800" s="2" t="e">
        <f>VLOOKUP(CLEAN(H800),#REF!,2,FALSE)</f>
        <v>#REF!</v>
      </c>
      <c r="AT800" s="2" t="e">
        <f>VLOOKUP(H800,#REF!,13,FALSE)</f>
        <v>#REF!</v>
      </c>
      <c r="AU800" s="2" t="e">
        <f>VLOOKUP(H800,#REF!,13,FALSE)</f>
        <v>#REF!</v>
      </c>
      <c r="AV800" s="2" t="e">
        <f>VLOOKUP(H800,#REF!,13,FALSE)</f>
        <v>#REF!</v>
      </c>
      <c r="AW800" s="2" t="e">
        <f>VLOOKUP(H800,#REF!,13,FALSE)</f>
        <v>#REF!</v>
      </c>
      <c r="AX800" s="2" t="e">
        <f>VLOOKUP(H800,#REF!,9,FALSE)</f>
        <v>#REF!</v>
      </c>
      <c r="AY800" s="2" t="e">
        <f>VLOOKUP(H800,#REF!,2,FALSE)</f>
        <v>#REF!</v>
      </c>
      <c r="AZ800" s="189" t="e">
        <f>VLOOKUP(H800,#REF!,2,FALSE)</f>
        <v>#REF!</v>
      </c>
      <c r="BF800" s="189" t="e">
        <f>VLOOKUP(CLEAN(H800),#REF!,2,FALSE)</f>
        <v>#REF!</v>
      </c>
      <c r="BG800" s="189" t="e">
        <f>T800-BF800</f>
        <v>#REF!</v>
      </c>
      <c r="BO800" s="2" t="e">
        <f>VLOOKUP(H800,#REF!,13,FALSE)</f>
        <v>#REF!</v>
      </c>
      <c r="BP800" s="2" t="e">
        <f>VLOOKUP(H800,#REF!,2,FALSE)</f>
        <v>#REF!</v>
      </c>
      <c r="BQ800" s="2" t="e">
        <f>VLOOKUP(H800,#REF!,13,FALSE)</f>
        <v>#REF!</v>
      </c>
      <c r="BR800" s="2" t="e">
        <f>VLOOKUP(H800,#REF!,3,FALSE)</f>
        <v>#REF!</v>
      </c>
    </row>
    <row r="801" spans="1:70" s="2" customFormat="1" ht="15" customHeight="1" outlineLevel="2">
      <c r="A801" s="5">
        <v>31</v>
      </c>
      <c r="B801" s="5" t="s">
        <v>11</v>
      </c>
      <c r="C801" s="5" t="s">
        <v>251</v>
      </c>
      <c r="D801" s="5" t="s">
        <v>43</v>
      </c>
      <c r="E801" s="5" t="s">
        <v>44</v>
      </c>
      <c r="F801" s="5" t="s">
        <v>457</v>
      </c>
      <c r="G801" s="5" t="s">
        <v>9</v>
      </c>
      <c r="H801" s="12">
        <v>30103541</v>
      </c>
      <c r="I801" s="42" t="str">
        <f t="shared" si="482"/>
        <v>30103541-DISEÑO</v>
      </c>
      <c r="J801" s="190"/>
      <c r="K801" s="307" t="str">
        <f t="shared" si="483"/>
        <v>30103541</v>
      </c>
      <c r="L801" s="15" t="s">
        <v>631</v>
      </c>
      <c r="M801" s="23">
        <v>137807000</v>
      </c>
      <c r="N801" s="34">
        <v>0</v>
      </c>
      <c r="O801" s="34">
        <v>0</v>
      </c>
      <c r="P801" s="310">
        <v>0</v>
      </c>
      <c r="Q801" s="34">
        <v>0</v>
      </c>
      <c r="R801" s="308">
        <v>0</v>
      </c>
      <c r="S801" s="34">
        <f t="shared" si="484"/>
        <v>0</v>
      </c>
      <c r="T801" s="34">
        <v>0</v>
      </c>
      <c r="U801" s="34">
        <v>0</v>
      </c>
      <c r="V801" s="34">
        <f>P801+Q801+R801+T801+U801</f>
        <v>0</v>
      </c>
      <c r="W801" s="34">
        <f>O801-V801</f>
        <v>0</v>
      </c>
      <c r="X801" s="34">
        <f>M801-(N801+O801)</f>
        <v>137807000</v>
      </c>
      <c r="Y801" s="48" t="s">
        <v>418</v>
      </c>
      <c r="Z801" s="48" t="s">
        <v>8</v>
      </c>
      <c r="AA801" s="2" t="e">
        <v>#N/A</v>
      </c>
      <c r="AB801" s="2" t="e">
        <f>VLOOKUP(H801,#REF!,2,FALSE)</f>
        <v>#REF!</v>
      </c>
      <c r="AD801" s="2" t="e">
        <f>VLOOKUP(H801,#REF!,13,FALSE)</f>
        <v>#REF!</v>
      </c>
      <c r="AE801" s="2" t="e">
        <f>VLOOKUP(I801,#REF!,7,FALSE)</f>
        <v>#REF!</v>
      </c>
      <c r="AG801" s="2" t="e">
        <f>VLOOKUP(H801,#REF!,13,FALSE)</f>
        <v>#REF!</v>
      </c>
      <c r="AH801" s="2" t="e">
        <f>VLOOKUP(I801,#REF!,2,FALSE)</f>
        <v>#REF!</v>
      </c>
      <c r="AJ801" s="185" t="e">
        <f>VLOOKUP(H801,#REF!,3,FALSE)</f>
        <v>#REF!</v>
      </c>
      <c r="AK801" s="185"/>
      <c r="AL801" s="185" t="e">
        <f>VLOOKUP(H801,#REF!,13,FALSE)</f>
        <v>#REF!</v>
      </c>
      <c r="AM801" s="185" t="e">
        <f>VLOOKUP(CLEAN(H801),#REF!,7,FALSE)</f>
        <v>#REF!</v>
      </c>
      <c r="AN801" s="2" t="e">
        <f>VLOOKUP(H801,#REF!,8,FALSE)</f>
        <v>#REF!</v>
      </c>
      <c r="AO801" s="189" t="e">
        <f>VLOOKUP(H801,#REF!,2,FALSE)</f>
        <v>#REF!</v>
      </c>
      <c r="AP801" s="189" t="e">
        <f>VLOOKUP(H801,#REF!,2,FALSE)</f>
        <v>#REF!</v>
      </c>
      <c r="AQ801" s="189"/>
      <c r="AR801" s="2" t="e">
        <f>VLOOKUP(CLEAN(H801),#REF!,2,FALSE)</f>
        <v>#REF!</v>
      </c>
      <c r="AT801" s="2" t="e">
        <f>VLOOKUP(H801,#REF!,13,FALSE)</f>
        <v>#REF!</v>
      </c>
      <c r="AU801" s="2" t="e">
        <f>VLOOKUP(H801,#REF!,13,FALSE)</f>
        <v>#REF!</v>
      </c>
      <c r="AV801" s="2" t="e">
        <f>VLOOKUP(H801,#REF!,13,FALSE)</f>
        <v>#REF!</v>
      </c>
      <c r="AW801" s="2" t="e">
        <f>VLOOKUP(H801,#REF!,13,FALSE)</f>
        <v>#REF!</v>
      </c>
      <c r="AX801" s="2" t="e">
        <f>VLOOKUP(H801,#REF!,9,FALSE)</f>
        <v>#REF!</v>
      </c>
      <c r="AZ801" s="2" t="e">
        <f>VLOOKUP(H801,#REF!,2,FALSE)</f>
        <v>#REF!</v>
      </c>
      <c r="BF801" s="189" t="e">
        <f>VLOOKUP(CLEAN(H801),#REF!,2,FALSE)</f>
        <v>#REF!</v>
      </c>
      <c r="BG801" s="189" t="e">
        <f>T801-BF801</f>
        <v>#REF!</v>
      </c>
      <c r="BO801" s="2" t="e">
        <f>VLOOKUP(H801,#REF!,13,FALSE)</f>
        <v>#REF!</v>
      </c>
      <c r="BP801" s="2" t="e">
        <f>VLOOKUP(H801,#REF!,2,FALSE)</f>
        <v>#REF!</v>
      </c>
      <c r="BQ801" s="2" t="e">
        <f>VLOOKUP(H801,#REF!,13,FALSE)</f>
        <v>#REF!</v>
      </c>
      <c r="BR801" s="2" t="e">
        <f>VLOOKUP(H801,#REF!,3,FALSE)</f>
        <v>#REF!</v>
      </c>
    </row>
    <row r="802" spans="1:70" s="2" customFormat="1" ht="15" customHeight="1" outlineLevel="2">
      <c r="A802" s="5">
        <v>31</v>
      </c>
      <c r="B802" s="5" t="s">
        <v>11</v>
      </c>
      <c r="C802" s="5" t="s">
        <v>252</v>
      </c>
      <c r="D802" s="5" t="s">
        <v>43</v>
      </c>
      <c r="E802" s="5" t="s">
        <v>44</v>
      </c>
      <c r="F802" s="5" t="s">
        <v>75</v>
      </c>
      <c r="G802" s="5" t="s">
        <v>144</v>
      </c>
      <c r="H802" s="12">
        <v>30482336</v>
      </c>
      <c r="I802" s="42"/>
      <c r="J802" s="12"/>
      <c r="K802" s="307"/>
      <c r="L802" s="15" t="s">
        <v>1006</v>
      </c>
      <c r="M802" s="23">
        <v>209242000</v>
      </c>
      <c r="N802" s="34">
        <v>0</v>
      </c>
      <c r="O802" s="34">
        <v>0</v>
      </c>
      <c r="P802" s="310">
        <v>0</v>
      </c>
      <c r="Q802" s="34">
        <v>0</v>
      </c>
      <c r="R802" s="308">
        <v>0</v>
      </c>
      <c r="S802" s="34">
        <f t="shared" si="484"/>
        <v>0</v>
      </c>
      <c r="T802" s="34">
        <v>0</v>
      </c>
      <c r="U802" s="34">
        <v>0</v>
      </c>
      <c r="V802" s="34">
        <f>P802+Q802+R802+T802+U802</f>
        <v>0</v>
      </c>
      <c r="W802" s="34">
        <f>O802-V802</f>
        <v>0</v>
      </c>
      <c r="X802" s="34">
        <f>M802-(N802+O802)</f>
        <v>209242000</v>
      </c>
      <c r="Y802" s="48" t="s">
        <v>418</v>
      </c>
      <c r="Z802" s="48" t="s">
        <v>8</v>
      </c>
      <c r="AJ802" s="185"/>
      <c r="AK802" s="185"/>
      <c r="AL802" s="185"/>
      <c r="AM802" s="185"/>
      <c r="AO802" s="189"/>
      <c r="AP802" s="189"/>
      <c r="AQ802" s="189"/>
      <c r="BF802" s="189"/>
      <c r="BG802" s="189"/>
      <c r="BP802" s="2" t="e">
        <f>VLOOKUP(H802,#REF!,2,FALSE)</f>
        <v>#REF!</v>
      </c>
      <c r="BQ802" s="2" t="e">
        <f>VLOOKUP(H802,#REF!,13,FALSE)</f>
        <v>#REF!</v>
      </c>
      <c r="BR802" s="2" t="e">
        <f>VLOOKUP(H802,#REF!,3,FALSE)</f>
        <v>#REF!</v>
      </c>
    </row>
    <row r="803" spans="1:70" s="2" customFormat="1" ht="15" customHeight="1" outlineLevel="2">
      <c r="A803" s="5">
        <v>31</v>
      </c>
      <c r="B803" s="5" t="s">
        <v>54</v>
      </c>
      <c r="C803" s="5" t="s">
        <v>241</v>
      </c>
      <c r="D803" s="5" t="s">
        <v>43</v>
      </c>
      <c r="E803" s="5" t="s">
        <v>44</v>
      </c>
      <c r="F803" s="5" t="s">
        <v>77</v>
      </c>
      <c r="G803" s="5" t="s">
        <v>144</v>
      </c>
      <c r="H803" s="12">
        <v>30342679</v>
      </c>
      <c r="I803" s="42" t="str">
        <f t="shared" si="482"/>
        <v>30342679-EJECUCION</v>
      </c>
      <c r="J803" s="12"/>
      <c r="K803" s="307" t="str">
        <f t="shared" si="483"/>
        <v>30342679</v>
      </c>
      <c r="L803" s="15" t="s">
        <v>771</v>
      </c>
      <c r="M803" s="23">
        <v>4554317000</v>
      </c>
      <c r="N803" s="34">
        <v>0</v>
      </c>
      <c r="O803" s="34">
        <f>443321000-200000000</f>
        <v>243321000</v>
      </c>
      <c r="P803" s="310">
        <v>0</v>
      </c>
      <c r="Q803" s="34">
        <v>0</v>
      </c>
      <c r="R803" s="308">
        <v>0</v>
      </c>
      <c r="S803" s="34">
        <f t="shared" si="484"/>
        <v>0</v>
      </c>
      <c r="T803" s="34">
        <v>0</v>
      </c>
      <c r="U803" s="34">
        <v>0</v>
      </c>
      <c r="V803" s="34">
        <f>P803+Q803+R803+T803+U803</f>
        <v>0</v>
      </c>
      <c r="W803" s="34">
        <f>O803-V803</f>
        <v>243321000</v>
      </c>
      <c r="X803" s="34">
        <f>M803-(N803+O803)</f>
        <v>4310996000</v>
      </c>
      <c r="Y803" s="48" t="s">
        <v>418</v>
      </c>
      <c r="Z803" s="48" t="s">
        <v>10</v>
      </c>
      <c r="AA803" s="2" t="s">
        <v>842</v>
      </c>
      <c r="AB803" s="2" t="e">
        <f>VLOOKUP(H803,#REF!,2,FALSE)</f>
        <v>#REF!</v>
      </c>
      <c r="AC803" s="2" t="e">
        <f>VLOOKUP(I803,#REF!,2,FALSE)</f>
        <v>#REF!</v>
      </c>
      <c r="AD803" s="2" t="e">
        <f>VLOOKUP(H803,#REF!,13,FALSE)</f>
        <v>#REF!</v>
      </c>
      <c r="AE803" s="2" t="e">
        <f>VLOOKUP(I803,#REF!,7,FALSE)</f>
        <v>#REF!</v>
      </c>
      <c r="AG803" s="2" t="e">
        <f>VLOOKUP(H803,#REF!,13,FALSE)</f>
        <v>#REF!</v>
      </c>
      <c r="AH803" s="2" t="e">
        <f>VLOOKUP(I803,#REF!,2,FALSE)</f>
        <v>#REF!</v>
      </c>
      <c r="AJ803" s="185" t="e">
        <f>VLOOKUP(H803,#REF!,3,FALSE)</f>
        <v>#REF!</v>
      </c>
      <c r="AK803" s="185"/>
      <c r="AL803" s="185" t="e">
        <f>VLOOKUP(H803,#REF!,13,FALSE)</f>
        <v>#REF!</v>
      </c>
      <c r="AM803" s="185" t="e">
        <f>VLOOKUP(CLEAN(H803),#REF!,7,FALSE)</f>
        <v>#REF!</v>
      </c>
      <c r="AN803" s="2" t="e">
        <f>VLOOKUP(H803,#REF!,8,FALSE)</f>
        <v>#REF!</v>
      </c>
      <c r="AO803" s="189" t="e">
        <f>VLOOKUP(H803,#REF!,2,FALSE)</f>
        <v>#REF!</v>
      </c>
      <c r="AP803" s="189" t="e">
        <f>VLOOKUP(H803,#REF!,2,FALSE)</f>
        <v>#REF!</v>
      </c>
      <c r="AQ803" s="189"/>
      <c r="AR803" s="2" t="e">
        <f>VLOOKUP(CLEAN(H803),#REF!,2,FALSE)</f>
        <v>#REF!</v>
      </c>
      <c r="AT803" s="2" t="e">
        <f>VLOOKUP(H803,#REF!,13,FALSE)</f>
        <v>#REF!</v>
      </c>
      <c r="AU803" s="2" t="e">
        <f>VLOOKUP(H803,#REF!,13,FALSE)</f>
        <v>#REF!</v>
      </c>
      <c r="AV803" s="2" t="e">
        <f>VLOOKUP(H803,#REF!,13,FALSE)</f>
        <v>#REF!</v>
      </c>
      <c r="AW803" s="2" t="e">
        <f>VLOOKUP(H803,#REF!,13,FALSE)</f>
        <v>#REF!</v>
      </c>
      <c r="AX803" s="2" t="e">
        <f>VLOOKUP(H803,#REF!,9,FALSE)</f>
        <v>#REF!</v>
      </c>
      <c r="AZ803" s="189" t="e">
        <f>VLOOKUP(H803,#REF!,2,FALSE)</f>
        <v>#REF!</v>
      </c>
      <c r="BF803" s="189" t="e">
        <f>VLOOKUP(CLEAN(H803),#REF!,2,FALSE)</f>
        <v>#REF!</v>
      </c>
      <c r="BG803" s="189" t="e">
        <f>T803-BF803</f>
        <v>#REF!</v>
      </c>
      <c r="BO803" s="2" t="e">
        <f>VLOOKUP(H803,#REF!,13,FALSE)</f>
        <v>#REF!</v>
      </c>
      <c r="BP803" s="2" t="e">
        <f>VLOOKUP(H803,#REF!,2,FALSE)</f>
        <v>#REF!</v>
      </c>
      <c r="BQ803" s="2" t="e">
        <f>VLOOKUP(H803,#REF!,13,FALSE)</f>
        <v>#REF!</v>
      </c>
      <c r="BR803" s="2" t="e">
        <f>VLOOKUP(H803,#REF!,3,FALSE)</f>
        <v>#REF!</v>
      </c>
    </row>
    <row r="804" spans="1:70" ht="15" customHeight="1" outlineLevel="2">
      <c r="A804" s="7"/>
      <c r="B804" s="7"/>
      <c r="C804" s="7"/>
      <c r="D804" s="7"/>
      <c r="E804" s="7"/>
      <c r="F804" s="7"/>
      <c r="G804" s="7"/>
      <c r="H804" s="11"/>
      <c r="I804" s="11"/>
      <c r="J804" s="11"/>
      <c r="K804" s="11"/>
      <c r="L804" s="17" t="s">
        <v>702</v>
      </c>
      <c r="M804" s="27">
        <f t="shared" ref="M804:X804" si="485">SUBTOTAL(9,M799:M803)</f>
        <v>7853029000</v>
      </c>
      <c r="N804" s="27">
        <f t="shared" si="485"/>
        <v>0</v>
      </c>
      <c r="O804" s="27">
        <f t="shared" si="485"/>
        <v>703822698</v>
      </c>
      <c r="P804" s="24">
        <f t="shared" si="485"/>
        <v>0</v>
      </c>
      <c r="Q804" s="24">
        <f t="shared" si="485"/>
        <v>0</v>
      </c>
      <c r="R804" s="24">
        <f t="shared" si="485"/>
        <v>0</v>
      </c>
      <c r="S804" s="27">
        <f t="shared" si="485"/>
        <v>0</v>
      </c>
      <c r="T804" s="27">
        <f t="shared" si="485"/>
        <v>0</v>
      </c>
      <c r="U804" s="27">
        <f t="shared" si="485"/>
        <v>0</v>
      </c>
      <c r="V804" s="27">
        <f t="shared" si="485"/>
        <v>0</v>
      </c>
      <c r="W804" s="27">
        <f t="shared" si="485"/>
        <v>703822698</v>
      </c>
      <c r="X804" s="27">
        <f t="shared" si="485"/>
        <v>7149206302</v>
      </c>
      <c r="Y804" s="47"/>
      <c r="Z804" s="47"/>
      <c r="AM804" s="185" t="e">
        <f>VLOOKUP(CLEAN(H804),#REF!,7,FALSE)</f>
        <v>#REF!</v>
      </c>
      <c r="AO804"/>
      <c r="AP804"/>
      <c r="AQ804"/>
      <c r="AR804" s="2" t="e">
        <f>VLOOKUP(CLEAN(H804),#REF!,2,FALSE)</f>
        <v>#REF!</v>
      </c>
      <c r="AZ804" s="2" t="e">
        <f>VLOOKUP(H804,#REF!,2,FALSE)</f>
        <v>#REF!</v>
      </c>
      <c r="BO804" s="2" t="e">
        <f>VLOOKUP(H804,#REF!,13,FALSE)</f>
        <v>#REF!</v>
      </c>
      <c r="BQ804" s="2" t="e">
        <f>VLOOKUP(H804,#REF!,13,FALSE)</f>
        <v>#REF!</v>
      </c>
    </row>
    <row r="805" spans="1:70" ht="15" customHeight="1" outlineLevel="2">
      <c r="A805" s="7"/>
      <c r="B805" s="7"/>
      <c r="C805" s="7"/>
      <c r="D805" s="7"/>
      <c r="E805" s="7"/>
      <c r="F805" s="7"/>
      <c r="G805" s="7"/>
      <c r="H805" s="11"/>
      <c r="I805" s="11"/>
      <c r="J805" s="11"/>
      <c r="K805" s="11"/>
      <c r="L805" s="292"/>
      <c r="M805" s="22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47"/>
      <c r="Z805" s="47"/>
      <c r="AM805" s="185" t="e">
        <f>VLOOKUP(CLEAN(H805),#REF!,7,FALSE)</f>
        <v>#REF!</v>
      </c>
      <c r="AO805"/>
      <c r="AP805"/>
      <c r="AQ805"/>
      <c r="AR805" s="2" t="e">
        <f>VLOOKUP(CLEAN(H805),#REF!,2,FALSE)</f>
        <v>#REF!</v>
      </c>
      <c r="AZ805" s="2" t="e">
        <f>VLOOKUP(H805,#REF!,2,FALSE)</f>
        <v>#REF!</v>
      </c>
      <c r="BO805" s="2" t="e">
        <f>VLOOKUP(H805,#REF!,13,FALSE)</f>
        <v>#REF!</v>
      </c>
      <c r="BP805" s="293"/>
      <c r="BQ805" s="2" t="e">
        <f>VLOOKUP(H805,#REF!,13,FALSE)</f>
        <v>#REF!</v>
      </c>
    </row>
    <row r="806" spans="1:70" ht="15" customHeight="1" outlineLevel="2">
      <c r="A806" s="7"/>
      <c r="B806" s="7"/>
      <c r="C806" s="7"/>
      <c r="D806" s="7"/>
      <c r="E806" s="7"/>
      <c r="F806" s="7"/>
      <c r="G806" s="7"/>
      <c r="H806" s="11"/>
      <c r="I806" s="11"/>
      <c r="J806" s="11"/>
      <c r="K806" s="11"/>
      <c r="L806" s="18" t="s">
        <v>696</v>
      </c>
      <c r="M806" s="22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47"/>
      <c r="Z806" s="47"/>
      <c r="AM806" s="185" t="e">
        <f>VLOOKUP(CLEAN(H806),#REF!,7,FALSE)</f>
        <v>#REF!</v>
      </c>
      <c r="AO806"/>
      <c r="AP806"/>
      <c r="AQ806"/>
      <c r="AR806" s="2" t="e">
        <f>VLOOKUP(CLEAN(H806),#REF!,2,FALSE)</f>
        <v>#REF!</v>
      </c>
      <c r="AZ806" s="2" t="e">
        <f>VLOOKUP(H806,#REF!,2,FALSE)</f>
        <v>#REF!</v>
      </c>
      <c r="BO806" s="2" t="e">
        <f>VLOOKUP(H806,#REF!,13,FALSE)</f>
        <v>#REF!</v>
      </c>
      <c r="BQ806" s="2" t="e">
        <f>VLOOKUP(H806,#REF!,13,FALSE)</f>
        <v>#REF!</v>
      </c>
    </row>
    <row r="807" spans="1:70" s="2" customFormat="1" ht="15" customHeight="1" outlineLevel="2">
      <c r="A807" s="5">
        <v>31</v>
      </c>
      <c r="B807" s="5" t="s">
        <v>11</v>
      </c>
      <c r="C807" s="5" t="s">
        <v>241</v>
      </c>
      <c r="D807" s="5" t="s">
        <v>43</v>
      </c>
      <c r="E807" s="5" t="s">
        <v>44</v>
      </c>
      <c r="F807" s="5" t="s">
        <v>77</v>
      </c>
      <c r="G807" s="5" t="s">
        <v>145</v>
      </c>
      <c r="H807" s="12">
        <v>30186523</v>
      </c>
      <c r="I807" s="42" t="str">
        <f t="shared" ref="I807:I811" si="486">CONCATENATE(H807,"-",G807)</f>
        <v>30186523-PREFACTIBILIDAD</v>
      </c>
      <c r="J807" s="12"/>
      <c r="K807" s="307" t="str">
        <f t="shared" ref="K807:K811" si="487">CLEAN(H807)</f>
        <v>30186523</v>
      </c>
      <c r="L807" s="15" t="s">
        <v>228</v>
      </c>
      <c r="M807" s="23">
        <v>465005000</v>
      </c>
      <c r="N807" s="34">
        <v>0</v>
      </c>
      <c r="O807" s="34">
        <f>150000000-73578800-50000000</f>
        <v>26421200</v>
      </c>
      <c r="P807" s="310">
        <v>0</v>
      </c>
      <c r="Q807" s="34">
        <v>0</v>
      </c>
      <c r="R807" s="308">
        <v>0</v>
      </c>
      <c r="S807" s="34">
        <f t="shared" ref="S807:S811" si="488">P807+Q807+R807</f>
        <v>0</v>
      </c>
      <c r="T807" s="34">
        <v>0</v>
      </c>
      <c r="U807" s="34">
        <v>0</v>
      </c>
      <c r="V807" s="34">
        <f>P807+Q807+R807+T807+U807</f>
        <v>0</v>
      </c>
      <c r="W807" s="34">
        <f>O807-V807</f>
        <v>26421200</v>
      </c>
      <c r="X807" s="34">
        <f>M807-(N807+O807)</f>
        <v>438583800</v>
      </c>
      <c r="Y807" s="48" t="s">
        <v>246</v>
      </c>
      <c r="Z807" s="48" t="s">
        <v>8</v>
      </c>
      <c r="AA807" s="2" t="e">
        <v>#N/A</v>
      </c>
      <c r="AB807" s="2" t="e">
        <f>VLOOKUP(H807,#REF!,2,FALSE)</f>
        <v>#REF!</v>
      </c>
      <c r="AC807" s="2" t="e">
        <f>VLOOKUP(I807,#REF!,2,FALSE)</f>
        <v>#REF!</v>
      </c>
      <c r="AD807" s="2" t="e">
        <f>VLOOKUP(H807,#REF!,13,FALSE)</f>
        <v>#REF!</v>
      </c>
      <c r="AE807" s="2" t="e">
        <f>VLOOKUP(I807,#REF!,7,FALSE)</f>
        <v>#REF!</v>
      </c>
      <c r="AG807" s="2" t="e">
        <f>VLOOKUP(H807,#REF!,13,FALSE)</f>
        <v>#REF!</v>
      </c>
      <c r="AH807" s="2" t="e">
        <f>VLOOKUP(I807,#REF!,2,FALSE)</f>
        <v>#REF!</v>
      </c>
      <c r="AJ807" s="185" t="e">
        <f>VLOOKUP(H807,#REF!,3,FALSE)</f>
        <v>#REF!</v>
      </c>
      <c r="AK807" s="185"/>
      <c r="AL807" s="185" t="e">
        <f>VLOOKUP(H807,#REF!,13,FALSE)</f>
        <v>#REF!</v>
      </c>
      <c r="AM807" s="185" t="e">
        <f>VLOOKUP(CLEAN(H807),#REF!,7,FALSE)</f>
        <v>#REF!</v>
      </c>
      <c r="AN807" s="2" t="e">
        <f>VLOOKUP(H807,#REF!,8,FALSE)</f>
        <v>#REF!</v>
      </c>
      <c r="AO807" s="189" t="e">
        <f>VLOOKUP(H807,#REF!,2,FALSE)</f>
        <v>#REF!</v>
      </c>
      <c r="AP807" s="189" t="e">
        <f>VLOOKUP(H807,#REF!,2,FALSE)</f>
        <v>#REF!</v>
      </c>
      <c r="AQ807" s="189"/>
      <c r="AR807" s="2" t="e">
        <f>VLOOKUP(CLEAN(H807),#REF!,2,FALSE)</f>
        <v>#REF!</v>
      </c>
      <c r="AT807" s="2" t="e">
        <f>VLOOKUP(H807,#REF!,13,FALSE)</f>
        <v>#REF!</v>
      </c>
      <c r="AU807" s="2" t="e">
        <f>VLOOKUP(H807,#REF!,13,FALSE)</f>
        <v>#REF!</v>
      </c>
      <c r="AV807" s="2" t="e">
        <f>VLOOKUP(H807,#REF!,13,FALSE)</f>
        <v>#REF!</v>
      </c>
      <c r="AW807" s="2" t="e">
        <f>VLOOKUP(H807,#REF!,13,FALSE)</f>
        <v>#REF!</v>
      </c>
      <c r="AX807" s="2" t="e">
        <f>VLOOKUP(H807,#REF!,9,FALSE)</f>
        <v>#REF!</v>
      </c>
      <c r="AZ807" s="2" t="e">
        <f>VLOOKUP(H807,#REF!,2,FALSE)</f>
        <v>#REF!</v>
      </c>
      <c r="BF807" s="189" t="e">
        <f>VLOOKUP(CLEAN(H807),#REF!,2,FALSE)</f>
        <v>#REF!</v>
      </c>
      <c r="BG807" s="189" t="e">
        <f>T807-BF807</f>
        <v>#REF!</v>
      </c>
      <c r="BO807" s="2" t="e">
        <f>VLOOKUP(H807,#REF!,13,FALSE)</f>
        <v>#REF!</v>
      </c>
      <c r="BP807" s="2" t="e">
        <f>VLOOKUP(H807,#REF!,2,FALSE)</f>
        <v>#REF!</v>
      </c>
      <c r="BQ807" s="2" t="e">
        <f>VLOOKUP(H807,#REF!,13,FALSE)</f>
        <v>#REF!</v>
      </c>
      <c r="BR807" s="2" t="e">
        <f>VLOOKUP(H807,#REF!,3,FALSE)</f>
        <v>#REF!</v>
      </c>
    </row>
    <row r="808" spans="1:70" s="2" customFormat="1" ht="15" customHeight="1" outlineLevel="2">
      <c r="A808" s="5">
        <v>31</v>
      </c>
      <c r="B808" s="5" t="s">
        <v>11</v>
      </c>
      <c r="C808" s="5" t="s">
        <v>241</v>
      </c>
      <c r="D808" s="5" t="s">
        <v>43</v>
      </c>
      <c r="E808" s="5" t="s">
        <v>44</v>
      </c>
      <c r="F808" s="5" t="s">
        <v>89</v>
      </c>
      <c r="G808" s="5" t="s">
        <v>144</v>
      </c>
      <c r="H808" s="12">
        <v>30458729</v>
      </c>
      <c r="I808" s="42" t="str">
        <f t="shared" si="486"/>
        <v>30458729-EJECUCION</v>
      </c>
      <c r="J808" s="12"/>
      <c r="K808" s="307" t="str">
        <f t="shared" si="487"/>
        <v>30458729</v>
      </c>
      <c r="L808" s="15" t="s">
        <v>772</v>
      </c>
      <c r="M808" s="23">
        <v>523000000</v>
      </c>
      <c r="N808" s="34">
        <v>0</v>
      </c>
      <c r="O808" s="34">
        <v>16150000</v>
      </c>
      <c r="P808" s="310">
        <v>0</v>
      </c>
      <c r="Q808" s="34">
        <v>0</v>
      </c>
      <c r="R808" s="308">
        <v>0</v>
      </c>
      <c r="S808" s="34">
        <f t="shared" si="488"/>
        <v>0</v>
      </c>
      <c r="T808" s="34">
        <v>0</v>
      </c>
      <c r="U808" s="34">
        <v>0</v>
      </c>
      <c r="V808" s="34">
        <f>P808+Q808+R808+T808+U808</f>
        <v>0</v>
      </c>
      <c r="W808" s="34">
        <f>O808-V808</f>
        <v>16150000</v>
      </c>
      <c r="X808" s="34">
        <f>M808-(N808+O808)</f>
        <v>506850000</v>
      </c>
      <c r="Y808" s="48" t="s">
        <v>246</v>
      </c>
      <c r="Z808" s="48" t="s">
        <v>8</v>
      </c>
      <c r="AA808" s="2" t="e">
        <v>#N/A</v>
      </c>
      <c r="AB808" s="2" t="e">
        <f>VLOOKUP(H808,#REF!,2,FALSE)</f>
        <v>#REF!</v>
      </c>
      <c r="AC808" s="2" t="e">
        <f>VLOOKUP(I808,#REF!,2,FALSE)</f>
        <v>#REF!</v>
      </c>
      <c r="AD808" s="2" t="e">
        <f>VLOOKUP(H808,#REF!,13,FALSE)</f>
        <v>#REF!</v>
      </c>
      <c r="AE808" s="2" t="e">
        <f>VLOOKUP(I808,#REF!,7,FALSE)</f>
        <v>#REF!</v>
      </c>
      <c r="AG808" s="2" t="e">
        <f>VLOOKUP(H808,#REF!,13,FALSE)</f>
        <v>#REF!</v>
      </c>
      <c r="AH808" s="2" t="e">
        <f>VLOOKUP(I808,#REF!,2,FALSE)</f>
        <v>#REF!</v>
      </c>
      <c r="AJ808" s="185" t="e">
        <f>VLOOKUP(H808,#REF!,3,FALSE)</f>
        <v>#REF!</v>
      </c>
      <c r="AK808" s="185"/>
      <c r="AL808" s="185" t="e">
        <f>VLOOKUP(H808,#REF!,13,FALSE)</f>
        <v>#REF!</v>
      </c>
      <c r="AM808" s="185" t="e">
        <f>VLOOKUP(CLEAN(H808),#REF!,7,FALSE)</f>
        <v>#REF!</v>
      </c>
      <c r="AN808" s="2" t="e">
        <f>VLOOKUP(H808,#REF!,8,FALSE)</f>
        <v>#REF!</v>
      </c>
      <c r="AO808" s="189" t="e">
        <f>VLOOKUP(H808,#REF!,2,FALSE)</f>
        <v>#REF!</v>
      </c>
      <c r="AP808" s="189" t="e">
        <f>VLOOKUP(H808,#REF!,2,FALSE)</f>
        <v>#REF!</v>
      </c>
      <c r="AQ808" s="189"/>
      <c r="AR808" s="2" t="e">
        <f>VLOOKUP(CLEAN(H808),#REF!,2,FALSE)</f>
        <v>#REF!</v>
      </c>
      <c r="AT808" s="2" t="e">
        <f>VLOOKUP(H808,#REF!,13,FALSE)</f>
        <v>#REF!</v>
      </c>
      <c r="AU808" s="2" t="e">
        <f>VLOOKUP(H808,#REF!,13,FALSE)</f>
        <v>#REF!</v>
      </c>
      <c r="AV808" s="2" t="e">
        <f>VLOOKUP(H808,#REF!,13,FALSE)</f>
        <v>#REF!</v>
      </c>
      <c r="AW808" s="2" t="e">
        <f>VLOOKUP(H808,#REF!,13,FALSE)</f>
        <v>#REF!</v>
      </c>
      <c r="AX808" s="2" t="e">
        <f>VLOOKUP(H808,#REF!,9,FALSE)</f>
        <v>#REF!</v>
      </c>
      <c r="AZ808" s="2" t="e">
        <f>VLOOKUP(H808,#REF!,2,FALSE)</f>
        <v>#REF!</v>
      </c>
      <c r="BF808" s="189" t="e">
        <f>VLOOKUP(CLEAN(H808),#REF!,2,FALSE)</f>
        <v>#REF!</v>
      </c>
      <c r="BG808" s="189" t="e">
        <f>T808-BF808</f>
        <v>#REF!</v>
      </c>
      <c r="BO808" s="2" t="e">
        <f>VLOOKUP(H808,#REF!,13,FALSE)</f>
        <v>#REF!</v>
      </c>
      <c r="BP808" s="2" t="e">
        <f>VLOOKUP(H808,#REF!,2,FALSE)</f>
        <v>#REF!</v>
      </c>
      <c r="BQ808" s="2" t="e">
        <f>VLOOKUP(H808,#REF!,13,FALSE)</f>
        <v>#REF!</v>
      </c>
      <c r="BR808" s="2" t="e">
        <f>VLOOKUP(H808,#REF!,3,FALSE)</f>
        <v>#REF!</v>
      </c>
    </row>
    <row r="809" spans="1:70" s="2" customFormat="1" ht="15" customHeight="1" outlineLevel="2">
      <c r="A809" s="5">
        <v>31</v>
      </c>
      <c r="B809" s="5" t="s">
        <v>11</v>
      </c>
      <c r="C809" s="5" t="s">
        <v>251</v>
      </c>
      <c r="D809" s="5" t="s">
        <v>43</v>
      </c>
      <c r="E809" s="5" t="s">
        <v>44</v>
      </c>
      <c r="F809" s="5" t="s">
        <v>77</v>
      </c>
      <c r="G809" s="5" t="s">
        <v>144</v>
      </c>
      <c r="H809" s="12">
        <v>30136461</v>
      </c>
      <c r="I809" s="42" t="str">
        <f t="shared" si="486"/>
        <v>30136461-EJECUCION</v>
      </c>
      <c r="J809" s="12"/>
      <c r="K809" s="307" t="str">
        <f t="shared" si="487"/>
        <v>30136461</v>
      </c>
      <c r="L809" s="15" t="s">
        <v>767</v>
      </c>
      <c r="M809" s="23">
        <v>168000000</v>
      </c>
      <c r="N809" s="34">
        <v>0</v>
      </c>
      <c r="O809" s="34">
        <v>10000000</v>
      </c>
      <c r="P809" s="310">
        <v>0</v>
      </c>
      <c r="Q809" s="34">
        <v>0</v>
      </c>
      <c r="R809" s="308">
        <v>0</v>
      </c>
      <c r="S809" s="34">
        <f t="shared" si="488"/>
        <v>0</v>
      </c>
      <c r="T809" s="34">
        <v>0</v>
      </c>
      <c r="U809" s="34">
        <v>0</v>
      </c>
      <c r="V809" s="34">
        <f>P809+Q809+R809+T809+U809</f>
        <v>0</v>
      </c>
      <c r="W809" s="34">
        <f>O809-V809</f>
        <v>10000000</v>
      </c>
      <c r="X809" s="34">
        <f>M809-(N809+O809)</f>
        <v>158000000</v>
      </c>
      <c r="Y809" s="48" t="s">
        <v>246</v>
      </c>
      <c r="Z809" s="48" t="s">
        <v>357</v>
      </c>
      <c r="AA809" s="2" t="e">
        <v>#N/A</v>
      </c>
      <c r="AB809" s="2" t="e">
        <f>VLOOKUP(H809,#REF!,2,FALSE)</f>
        <v>#REF!</v>
      </c>
      <c r="AC809" s="2" t="e">
        <f>VLOOKUP(I809,#REF!,2,FALSE)</f>
        <v>#REF!</v>
      </c>
      <c r="AD809" s="2" t="e">
        <f>VLOOKUP(H809,#REF!,13,FALSE)</f>
        <v>#REF!</v>
      </c>
      <c r="AE809" s="2" t="e">
        <f>VLOOKUP(I809,#REF!,7,FALSE)</f>
        <v>#REF!</v>
      </c>
      <c r="AG809" s="2" t="e">
        <f>VLOOKUP(H809,#REF!,13,FALSE)</f>
        <v>#REF!</v>
      </c>
      <c r="AH809" s="2" t="e">
        <f>VLOOKUP(I809,#REF!,2,FALSE)</f>
        <v>#REF!</v>
      </c>
      <c r="AJ809" s="185" t="e">
        <f>VLOOKUP(H809,#REF!,3,FALSE)</f>
        <v>#REF!</v>
      </c>
      <c r="AK809" s="185"/>
      <c r="AL809" s="185" t="e">
        <f>VLOOKUP(H809,#REF!,13,FALSE)</f>
        <v>#REF!</v>
      </c>
      <c r="AM809" s="185" t="e">
        <f>VLOOKUP(CLEAN(H809),#REF!,7,FALSE)</f>
        <v>#REF!</v>
      </c>
      <c r="AN809" s="2" t="e">
        <f>VLOOKUP(H809,#REF!,8,FALSE)</f>
        <v>#REF!</v>
      </c>
      <c r="AO809" s="189" t="e">
        <f>VLOOKUP(H809,#REF!,2,FALSE)</f>
        <v>#REF!</v>
      </c>
      <c r="AP809" s="189" t="e">
        <f>VLOOKUP(H809,#REF!,2,FALSE)</f>
        <v>#REF!</v>
      </c>
      <c r="AQ809" s="189"/>
      <c r="AR809" s="2" t="e">
        <f>VLOOKUP(CLEAN(H809),#REF!,2,FALSE)</f>
        <v>#REF!</v>
      </c>
      <c r="AT809" s="2" t="e">
        <f>VLOOKUP(H809,#REF!,13,FALSE)</f>
        <v>#REF!</v>
      </c>
      <c r="AU809" s="2" t="e">
        <f>VLOOKUP(H809,#REF!,13,FALSE)</f>
        <v>#REF!</v>
      </c>
      <c r="AV809" s="2" t="e">
        <f>VLOOKUP(H809,#REF!,13,FALSE)</f>
        <v>#REF!</v>
      </c>
      <c r="AW809" s="2" t="e">
        <f>VLOOKUP(H809,#REF!,13,FALSE)</f>
        <v>#REF!</v>
      </c>
      <c r="AX809" s="2" t="e">
        <f>VLOOKUP(H809,#REF!,9,FALSE)</f>
        <v>#REF!</v>
      </c>
      <c r="AZ809" s="2" t="e">
        <f>VLOOKUP(H809,#REF!,2,FALSE)</f>
        <v>#REF!</v>
      </c>
      <c r="BF809" s="189" t="e">
        <f>VLOOKUP(CLEAN(H809),#REF!,2,FALSE)</f>
        <v>#REF!</v>
      </c>
      <c r="BG809" s="189" t="e">
        <f>T809-BF809</f>
        <v>#REF!</v>
      </c>
      <c r="BO809" s="2" t="e">
        <f>VLOOKUP(H809,#REF!,13,FALSE)</f>
        <v>#REF!</v>
      </c>
      <c r="BP809" s="2" t="e">
        <f>VLOOKUP(H809,#REF!,2,FALSE)</f>
        <v>#REF!</v>
      </c>
      <c r="BQ809" s="2" t="e">
        <f>VLOOKUP(H809,#REF!,13,FALSE)</f>
        <v>#REF!</v>
      </c>
      <c r="BR809" s="2" t="e">
        <f>VLOOKUP(H809,#REF!,3,FALSE)</f>
        <v>#REF!</v>
      </c>
    </row>
    <row r="810" spans="1:70" s="2" customFormat="1" ht="15" customHeight="1" outlineLevel="2">
      <c r="A810" s="5">
        <v>31</v>
      </c>
      <c r="B810" s="5" t="s">
        <v>11</v>
      </c>
      <c r="C810" s="5" t="s">
        <v>252</v>
      </c>
      <c r="D810" s="5" t="s">
        <v>43</v>
      </c>
      <c r="E810" s="5" t="s">
        <v>44</v>
      </c>
      <c r="F810" s="5" t="s">
        <v>75</v>
      </c>
      <c r="G810" s="5" t="s">
        <v>144</v>
      </c>
      <c r="H810" s="12">
        <v>30096049</v>
      </c>
      <c r="I810" s="42" t="str">
        <f t="shared" si="486"/>
        <v>30096049-EJECUCION</v>
      </c>
      <c r="J810" s="12"/>
      <c r="K810" s="307" t="str">
        <f t="shared" si="487"/>
        <v>30096049</v>
      </c>
      <c r="L810" s="15" t="s">
        <v>350</v>
      </c>
      <c r="M810" s="23">
        <v>459876000</v>
      </c>
      <c r="N810" s="34">
        <v>0</v>
      </c>
      <c r="O810" s="34">
        <v>12993800</v>
      </c>
      <c r="P810" s="310">
        <v>0</v>
      </c>
      <c r="Q810" s="34">
        <v>0</v>
      </c>
      <c r="R810" s="308">
        <v>0</v>
      </c>
      <c r="S810" s="34">
        <f t="shared" si="488"/>
        <v>0</v>
      </c>
      <c r="T810" s="34">
        <v>0</v>
      </c>
      <c r="U810" s="34">
        <v>0</v>
      </c>
      <c r="V810" s="34">
        <f>P810+Q810+R810+T810+U810</f>
        <v>0</v>
      </c>
      <c r="W810" s="34">
        <f>O810-V810</f>
        <v>12993800</v>
      </c>
      <c r="X810" s="34">
        <f>M810-(N810+O810)</f>
        <v>446882200</v>
      </c>
      <c r="Y810" s="48" t="s">
        <v>246</v>
      </c>
      <c r="Z810" s="48" t="s">
        <v>357</v>
      </c>
      <c r="AA810" s="2" t="e">
        <v>#N/A</v>
      </c>
      <c r="AB810" s="2" t="e">
        <f>VLOOKUP(H810,#REF!,2,FALSE)</f>
        <v>#REF!</v>
      </c>
      <c r="AC810" s="2" t="e">
        <f>VLOOKUP(I810,#REF!,2,FALSE)</f>
        <v>#REF!</v>
      </c>
      <c r="AD810" s="2" t="e">
        <f>VLOOKUP(H810,#REF!,13,FALSE)</f>
        <v>#REF!</v>
      </c>
      <c r="AE810" s="2" t="e">
        <f>VLOOKUP(I810,#REF!,7,FALSE)</f>
        <v>#REF!</v>
      </c>
      <c r="AG810" s="2" t="e">
        <f>VLOOKUP(H810,#REF!,13,FALSE)</f>
        <v>#REF!</v>
      </c>
      <c r="AH810" s="2" t="e">
        <f>VLOOKUP(I810,#REF!,2,FALSE)</f>
        <v>#REF!</v>
      </c>
      <c r="AJ810" s="185" t="e">
        <f>VLOOKUP(H810,#REF!,3,FALSE)</f>
        <v>#REF!</v>
      </c>
      <c r="AK810" s="185"/>
      <c r="AL810" s="185" t="e">
        <f>VLOOKUP(H810,#REF!,13,FALSE)</f>
        <v>#REF!</v>
      </c>
      <c r="AM810" s="185" t="e">
        <f>VLOOKUP(CLEAN(H810),#REF!,7,FALSE)</f>
        <v>#REF!</v>
      </c>
      <c r="AN810" s="2" t="e">
        <f>VLOOKUP(H810,#REF!,8,FALSE)</f>
        <v>#REF!</v>
      </c>
      <c r="AO810" s="189" t="e">
        <f>VLOOKUP(H810,#REF!,2,FALSE)</f>
        <v>#REF!</v>
      </c>
      <c r="AP810" s="189" t="e">
        <f>VLOOKUP(H810,#REF!,2,FALSE)</f>
        <v>#REF!</v>
      </c>
      <c r="AQ810" s="189"/>
      <c r="AR810" s="2" t="e">
        <f>VLOOKUP(CLEAN(H810),#REF!,2,FALSE)</f>
        <v>#REF!</v>
      </c>
      <c r="AT810" s="2" t="e">
        <f>VLOOKUP(H810,#REF!,13,FALSE)</f>
        <v>#REF!</v>
      </c>
      <c r="AU810" s="2" t="e">
        <f>VLOOKUP(H810,#REF!,13,FALSE)</f>
        <v>#REF!</v>
      </c>
      <c r="AV810" s="2" t="e">
        <f>VLOOKUP(H810,#REF!,13,FALSE)</f>
        <v>#REF!</v>
      </c>
      <c r="AW810" s="2" t="e">
        <f>VLOOKUP(H810,#REF!,13,FALSE)</f>
        <v>#REF!</v>
      </c>
      <c r="AX810" s="2" t="e">
        <f>VLOOKUP(H810,#REF!,9,FALSE)</f>
        <v>#REF!</v>
      </c>
      <c r="AZ810" s="2" t="e">
        <f>VLOOKUP(H810,#REF!,2,FALSE)</f>
        <v>#REF!</v>
      </c>
      <c r="BF810" s="189" t="e">
        <f>VLOOKUP(CLEAN(H810),#REF!,2,FALSE)</f>
        <v>#REF!</v>
      </c>
      <c r="BG810" s="189" t="e">
        <f>T810-BF810</f>
        <v>#REF!</v>
      </c>
      <c r="BO810" s="2" t="e">
        <f>VLOOKUP(H810,#REF!,13,FALSE)</f>
        <v>#REF!</v>
      </c>
      <c r="BP810" s="2" t="e">
        <f>VLOOKUP(H810,#REF!,2,FALSE)</f>
        <v>#REF!</v>
      </c>
      <c r="BQ810" s="2" t="e">
        <f>VLOOKUP(H810,#REF!,13,FALSE)</f>
        <v>#REF!</v>
      </c>
      <c r="BR810" s="2" t="e">
        <f>VLOOKUP(H810,#REF!,3,FALSE)</f>
        <v>#REF!</v>
      </c>
    </row>
    <row r="811" spans="1:70" s="2" customFormat="1" ht="15" customHeight="1" outlineLevel="2">
      <c r="A811" s="5">
        <v>31</v>
      </c>
      <c r="B811" s="5" t="s">
        <v>11</v>
      </c>
      <c r="C811" s="5" t="s">
        <v>248</v>
      </c>
      <c r="D811" s="5" t="s">
        <v>43</v>
      </c>
      <c r="E811" s="5" t="s">
        <v>44</v>
      </c>
      <c r="F811" s="5" t="s">
        <v>14</v>
      </c>
      <c r="G811" s="5" t="s">
        <v>144</v>
      </c>
      <c r="H811" s="12">
        <v>30102992</v>
      </c>
      <c r="I811" s="42" t="str">
        <f t="shared" si="486"/>
        <v>30102992-EJECUCION</v>
      </c>
      <c r="J811" s="12"/>
      <c r="K811" s="307" t="str">
        <f t="shared" si="487"/>
        <v>30102992</v>
      </c>
      <c r="L811" s="15" t="s">
        <v>341</v>
      </c>
      <c r="M811" s="23">
        <v>792725000</v>
      </c>
      <c r="N811" s="34">
        <v>0</v>
      </c>
      <c r="O811" s="34">
        <v>19636250</v>
      </c>
      <c r="P811" s="310">
        <v>0</v>
      </c>
      <c r="Q811" s="34">
        <v>0</v>
      </c>
      <c r="R811" s="308">
        <v>0</v>
      </c>
      <c r="S811" s="34">
        <f t="shared" si="488"/>
        <v>0</v>
      </c>
      <c r="T811" s="34">
        <v>0</v>
      </c>
      <c r="U811" s="34">
        <v>0</v>
      </c>
      <c r="V811" s="34">
        <f>P811+Q811+R811+T811+U811</f>
        <v>0</v>
      </c>
      <c r="W811" s="34">
        <f>O811-V811</f>
        <v>19636250</v>
      </c>
      <c r="X811" s="34">
        <f>M811-(N811+O811)</f>
        <v>773088750</v>
      </c>
      <c r="Y811" s="48" t="s">
        <v>246</v>
      </c>
      <c r="Z811" s="48" t="s">
        <v>357</v>
      </c>
      <c r="AA811" s="2" t="e">
        <v>#N/A</v>
      </c>
      <c r="AB811" s="2" t="e">
        <f>VLOOKUP(H811,#REF!,2,FALSE)</f>
        <v>#REF!</v>
      </c>
      <c r="AC811" s="2" t="e">
        <f>VLOOKUP(I811,#REF!,2,FALSE)</f>
        <v>#REF!</v>
      </c>
      <c r="AD811" s="2" t="e">
        <f>VLOOKUP(H811,#REF!,13,FALSE)</f>
        <v>#REF!</v>
      </c>
      <c r="AE811" s="2" t="e">
        <f>VLOOKUP(I811,#REF!,7,FALSE)</f>
        <v>#REF!</v>
      </c>
      <c r="AG811" s="2" t="e">
        <f>VLOOKUP(H811,#REF!,13,FALSE)</f>
        <v>#REF!</v>
      </c>
      <c r="AH811" s="2" t="e">
        <f>VLOOKUP(I811,#REF!,2,FALSE)</f>
        <v>#REF!</v>
      </c>
      <c r="AJ811" s="185" t="e">
        <f>VLOOKUP(H811,#REF!,3,FALSE)</f>
        <v>#REF!</v>
      </c>
      <c r="AK811" s="185"/>
      <c r="AL811" s="185" t="e">
        <f>VLOOKUP(H811,#REF!,13,FALSE)</f>
        <v>#REF!</v>
      </c>
      <c r="AM811" s="185" t="e">
        <f>VLOOKUP(CLEAN(H811),#REF!,7,FALSE)</f>
        <v>#REF!</v>
      </c>
      <c r="AN811" s="2" t="e">
        <f>VLOOKUP(H811,#REF!,8,FALSE)</f>
        <v>#REF!</v>
      </c>
      <c r="AO811" s="189" t="e">
        <f>VLOOKUP(H811,#REF!,2,FALSE)</f>
        <v>#REF!</v>
      </c>
      <c r="AP811" s="189" t="e">
        <f>VLOOKUP(H811,#REF!,2,FALSE)</f>
        <v>#REF!</v>
      </c>
      <c r="AQ811" s="189"/>
      <c r="AR811" s="2" t="e">
        <f>VLOOKUP(CLEAN(H811),#REF!,2,FALSE)</f>
        <v>#REF!</v>
      </c>
      <c r="AT811" s="2" t="e">
        <f>VLOOKUP(H811,#REF!,13,FALSE)</f>
        <v>#REF!</v>
      </c>
      <c r="AU811" s="2" t="e">
        <f>VLOOKUP(H811,#REF!,13,FALSE)</f>
        <v>#REF!</v>
      </c>
      <c r="AV811" s="2" t="e">
        <f>VLOOKUP(H811,#REF!,13,FALSE)</f>
        <v>#REF!</v>
      </c>
      <c r="AW811" s="2" t="e">
        <f>VLOOKUP(H811,#REF!,13,FALSE)</f>
        <v>#REF!</v>
      </c>
      <c r="AX811" s="2" t="e">
        <f>VLOOKUP(H811,#REF!,9,FALSE)</f>
        <v>#REF!</v>
      </c>
      <c r="AZ811" s="2" t="e">
        <f>VLOOKUP(H811,#REF!,2,FALSE)</f>
        <v>#REF!</v>
      </c>
      <c r="BF811" s="189" t="e">
        <f>VLOOKUP(CLEAN(H811),#REF!,2,FALSE)</f>
        <v>#REF!</v>
      </c>
      <c r="BG811" s="189" t="e">
        <f>T811-BF811</f>
        <v>#REF!</v>
      </c>
      <c r="BO811" s="2" t="e">
        <f>VLOOKUP(H811,#REF!,13,FALSE)</f>
        <v>#REF!</v>
      </c>
      <c r="BP811" s="2" t="e">
        <f>VLOOKUP(H811,#REF!,2,FALSE)</f>
        <v>#REF!</v>
      </c>
      <c r="BQ811" s="2" t="e">
        <f>VLOOKUP(H811,#REF!,13,FALSE)</f>
        <v>#REF!</v>
      </c>
      <c r="BR811" s="2" t="e">
        <f>VLOOKUP(H811,#REF!,3,FALSE)</f>
        <v>#REF!</v>
      </c>
    </row>
    <row r="812" spans="1:70" ht="15" customHeight="1" outlineLevel="2">
      <c r="A812" s="7"/>
      <c r="B812" s="7"/>
      <c r="C812" s="7"/>
      <c r="D812" s="7"/>
      <c r="E812" s="7"/>
      <c r="F812" s="7"/>
      <c r="G812" s="7"/>
      <c r="H812" s="11"/>
      <c r="I812" s="11"/>
      <c r="J812" s="11"/>
      <c r="K812" s="11"/>
      <c r="L812" s="17" t="s">
        <v>693</v>
      </c>
      <c r="M812" s="27">
        <f t="shared" ref="M812:X812" si="489">SUBTOTAL(9,M807:M811)</f>
        <v>2408606000</v>
      </c>
      <c r="N812" s="27">
        <f t="shared" si="489"/>
        <v>0</v>
      </c>
      <c r="O812" s="27">
        <f t="shared" si="489"/>
        <v>85201250</v>
      </c>
      <c r="P812" s="24">
        <f t="shared" si="489"/>
        <v>0</v>
      </c>
      <c r="Q812" s="24">
        <f t="shared" si="489"/>
        <v>0</v>
      </c>
      <c r="R812" s="24">
        <f t="shared" si="489"/>
        <v>0</v>
      </c>
      <c r="S812" s="27">
        <f t="shared" si="489"/>
        <v>0</v>
      </c>
      <c r="T812" s="27">
        <f t="shared" si="489"/>
        <v>0</v>
      </c>
      <c r="U812" s="27">
        <f t="shared" si="489"/>
        <v>0</v>
      </c>
      <c r="V812" s="27">
        <f t="shared" si="489"/>
        <v>0</v>
      </c>
      <c r="W812" s="27">
        <f t="shared" si="489"/>
        <v>85201250</v>
      </c>
      <c r="X812" s="27">
        <f t="shared" si="489"/>
        <v>2323404750</v>
      </c>
      <c r="Y812" s="47"/>
      <c r="Z812" s="47"/>
      <c r="AM812" s="185" t="e">
        <f>VLOOKUP(CLEAN(H812),#REF!,7,FALSE)</f>
        <v>#REF!</v>
      </c>
      <c r="AO812"/>
      <c r="AP812"/>
      <c r="AQ812"/>
      <c r="AR812" s="2" t="e">
        <f>VLOOKUP(CLEAN(H812),#REF!,2,FALSE)</f>
        <v>#REF!</v>
      </c>
      <c r="AZ812" s="2" t="e">
        <f>VLOOKUP(H812,#REF!,2,FALSE)</f>
        <v>#REF!</v>
      </c>
      <c r="BO812" s="2" t="e">
        <f>VLOOKUP(H812,#REF!,13,FALSE)</f>
        <v>#REF!</v>
      </c>
      <c r="BQ812" s="2" t="e">
        <f>VLOOKUP(H812,#REF!,13,FALSE)</f>
        <v>#REF!</v>
      </c>
    </row>
    <row r="813" spans="1:70" ht="15" customHeight="1" outlineLevel="2">
      <c r="A813" s="7"/>
      <c r="B813" s="7"/>
      <c r="C813" s="7"/>
      <c r="D813" s="7"/>
      <c r="E813" s="7"/>
      <c r="F813" s="7"/>
      <c r="G813" s="7"/>
      <c r="H813" s="11"/>
      <c r="I813" s="11"/>
      <c r="J813" s="11"/>
      <c r="K813" s="11"/>
      <c r="L813" s="292"/>
      <c r="M813" s="22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47"/>
      <c r="Z813" s="47"/>
      <c r="AM813" s="185" t="e">
        <f>VLOOKUP(CLEAN(H813),#REF!,7,FALSE)</f>
        <v>#REF!</v>
      </c>
      <c r="AO813"/>
      <c r="AP813"/>
      <c r="AQ813"/>
      <c r="AR813" s="2" t="e">
        <f>VLOOKUP(CLEAN(H813),#REF!,2,FALSE)</f>
        <v>#REF!</v>
      </c>
      <c r="AZ813" s="2" t="e">
        <f>VLOOKUP(H813,#REF!,2,FALSE)</f>
        <v>#REF!</v>
      </c>
      <c r="BO813" s="2" t="e">
        <f>VLOOKUP(H813,#REF!,13,FALSE)</f>
        <v>#REF!</v>
      </c>
      <c r="BP813" s="293"/>
      <c r="BQ813" s="2" t="e">
        <f>VLOOKUP(H813,#REF!,13,FALSE)</f>
        <v>#REF!</v>
      </c>
    </row>
    <row r="814" spans="1:70" ht="18.75" customHeight="1" outlineLevel="1">
      <c r="A814" s="7"/>
      <c r="B814" s="7"/>
      <c r="C814" s="7"/>
      <c r="D814" s="7"/>
      <c r="E814" s="8"/>
      <c r="F814" s="7"/>
      <c r="G814" s="7"/>
      <c r="H814" s="11"/>
      <c r="I814" s="11"/>
      <c r="J814" s="11"/>
      <c r="K814" s="11"/>
      <c r="L814" s="45" t="s">
        <v>173</v>
      </c>
      <c r="M814" s="46">
        <f t="shared" ref="M814:X814" si="490">M812+M804+M791+M796</f>
        <v>15075142859</v>
      </c>
      <c r="N814" s="46">
        <f t="shared" si="490"/>
        <v>3863389750</v>
      </c>
      <c r="O814" s="46">
        <f t="shared" si="490"/>
        <v>1426096769</v>
      </c>
      <c r="P814" s="46">
        <f t="shared" si="490"/>
        <v>70108794</v>
      </c>
      <c r="Q814" s="46">
        <f t="shared" si="490"/>
        <v>0</v>
      </c>
      <c r="R814" s="46">
        <f t="shared" si="490"/>
        <v>82374623</v>
      </c>
      <c r="S814" s="46">
        <f t="shared" si="490"/>
        <v>152483417</v>
      </c>
      <c r="T814" s="46">
        <f t="shared" si="490"/>
        <v>200000000</v>
      </c>
      <c r="U814" s="46">
        <f t="shared" si="490"/>
        <v>196353885</v>
      </c>
      <c r="V814" s="46">
        <f t="shared" si="490"/>
        <v>548837302</v>
      </c>
      <c r="W814" s="46">
        <f t="shared" si="490"/>
        <v>877259467</v>
      </c>
      <c r="X814" s="46">
        <f t="shared" si="490"/>
        <v>9785656340</v>
      </c>
      <c r="Y814" s="47"/>
      <c r="Z814" s="47"/>
      <c r="AM814" s="185" t="e">
        <f>VLOOKUP(CLEAN(H814),#REF!,7,FALSE)</f>
        <v>#REF!</v>
      </c>
      <c r="AO814"/>
      <c r="AP814"/>
      <c r="AQ814"/>
      <c r="AR814" s="2" t="e">
        <f>VLOOKUP(CLEAN(H814),#REF!,2,FALSE)</f>
        <v>#REF!</v>
      </c>
      <c r="AZ814" s="2" t="e">
        <f>VLOOKUP(H814,#REF!,2,FALSE)</f>
        <v>#REF!</v>
      </c>
      <c r="BO814" s="2" t="e">
        <f>VLOOKUP(H814,#REF!,13,FALSE)</f>
        <v>#REF!</v>
      </c>
      <c r="BQ814" s="2" t="e">
        <f>VLOOKUP(H814,#REF!,13,FALSE)</f>
        <v>#REF!</v>
      </c>
    </row>
    <row r="815" spans="1:70" s="3" customFormat="1" ht="15" customHeight="1" outlineLevel="1">
      <c r="A815" s="7"/>
      <c r="B815" s="7"/>
      <c r="C815" s="7"/>
      <c r="D815" s="7"/>
      <c r="E815" s="8"/>
      <c r="F815" s="7"/>
      <c r="G815" s="7"/>
      <c r="H815" s="11"/>
      <c r="I815" s="11"/>
      <c r="J815" s="11"/>
      <c r="K815" s="11"/>
      <c r="L815" s="294"/>
      <c r="M815" s="26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47"/>
      <c r="Z815" s="47"/>
      <c r="AJ815" s="186"/>
      <c r="AK815" s="186"/>
      <c r="AL815" s="186"/>
      <c r="AM815" s="185" t="e">
        <f>VLOOKUP(CLEAN(H815),#REF!,7,FALSE)</f>
        <v>#REF!</v>
      </c>
      <c r="AR815" s="2" t="e">
        <f>VLOOKUP(CLEAN(H815),#REF!,2,FALSE)</f>
        <v>#REF!</v>
      </c>
      <c r="AZ815" s="2" t="e">
        <f>VLOOKUP(H815,#REF!,2,FALSE)</f>
        <v>#REF!</v>
      </c>
      <c r="BF815" s="193"/>
      <c r="BO815" s="2" t="e">
        <f>VLOOKUP(H815,#REF!,13,FALSE)</f>
        <v>#REF!</v>
      </c>
      <c r="BP815" s="7"/>
      <c r="BQ815" s="2" t="e">
        <f>VLOOKUP(H815,#REF!,13,FALSE)</f>
        <v>#REF!</v>
      </c>
    </row>
    <row r="816" spans="1:70" ht="26.25" customHeight="1" outlineLevel="1">
      <c r="A816" s="7"/>
      <c r="B816" s="7"/>
      <c r="C816" s="7"/>
      <c r="D816" s="7"/>
      <c r="E816" s="8"/>
      <c r="F816" s="7"/>
      <c r="G816" s="7"/>
      <c r="H816" s="11"/>
      <c r="I816" s="11"/>
      <c r="J816" s="11"/>
      <c r="K816" s="11"/>
      <c r="L816" s="57" t="s">
        <v>209</v>
      </c>
      <c r="M816" s="26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47"/>
      <c r="Z816" s="47"/>
      <c r="AM816" s="185" t="e">
        <f>VLOOKUP(CLEAN(H816),#REF!,7,FALSE)</f>
        <v>#REF!</v>
      </c>
      <c r="AO816"/>
      <c r="AP816"/>
      <c r="AQ816"/>
      <c r="AR816" s="2" t="e">
        <f>VLOOKUP(CLEAN(H816),#REF!,2,FALSE)</f>
        <v>#REF!</v>
      </c>
      <c r="AZ816" s="2" t="e">
        <f>VLOOKUP(H816,#REF!,2,FALSE)</f>
        <v>#REF!</v>
      </c>
      <c r="BO816" s="2" t="e">
        <f>VLOOKUP(H816,#REF!,13,FALSE)</f>
        <v>#REF!</v>
      </c>
      <c r="BQ816" s="2" t="e">
        <f>VLOOKUP(H816,#REF!,13,FALSE)</f>
        <v>#REF!</v>
      </c>
    </row>
    <row r="817" spans="1:70" ht="15" customHeight="1" outlineLevel="1">
      <c r="A817" s="7"/>
      <c r="B817" s="7"/>
      <c r="C817" s="7"/>
      <c r="D817" s="7"/>
      <c r="E817" s="8"/>
      <c r="F817" s="7"/>
      <c r="G817" s="7"/>
      <c r="H817" s="11"/>
      <c r="I817" s="11"/>
      <c r="J817" s="11"/>
      <c r="K817" s="11"/>
      <c r="L817" s="18" t="s">
        <v>695</v>
      </c>
      <c r="M817" s="26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47"/>
      <c r="Z817" s="47"/>
      <c r="AM817" s="185" t="e">
        <f>VLOOKUP(CLEAN(H817),#REF!,7,FALSE)</f>
        <v>#REF!</v>
      </c>
      <c r="AO817"/>
      <c r="AP817"/>
      <c r="AQ817"/>
      <c r="AR817" s="2" t="e">
        <f>VLOOKUP(CLEAN(H817),#REF!,2,FALSE)</f>
        <v>#REF!</v>
      </c>
      <c r="AZ817" s="2" t="e">
        <f>VLOOKUP(H817,#REF!,2,FALSE)</f>
        <v>#REF!</v>
      </c>
      <c r="BO817" s="2" t="e">
        <f>VLOOKUP(H817,#REF!,13,FALSE)</f>
        <v>#REF!</v>
      </c>
      <c r="BQ817" s="2" t="e">
        <f>VLOOKUP(H817,#REF!,13,FALSE)</f>
        <v>#REF!</v>
      </c>
    </row>
    <row r="818" spans="1:70" s="2" customFormat="1" ht="15" customHeight="1" outlineLevel="2">
      <c r="A818" s="5">
        <v>31</v>
      </c>
      <c r="B818" s="5" t="s">
        <v>5</v>
      </c>
      <c r="C818" s="5" t="s">
        <v>238</v>
      </c>
      <c r="D818" s="5" t="s">
        <v>43</v>
      </c>
      <c r="E818" s="5" t="s">
        <v>45</v>
      </c>
      <c r="F818" s="5" t="s">
        <v>77</v>
      </c>
      <c r="G818" s="5" t="s">
        <v>144</v>
      </c>
      <c r="H818" s="12">
        <v>30072372</v>
      </c>
      <c r="I818" s="311" t="str">
        <f t="shared" ref="I818:I819" si="491">CONCATENATE(H818,"-",G818)</f>
        <v>30072372-EJECUCION</v>
      </c>
      <c r="J818" s="190"/>
      <c r="K818" s="309" t="str">
        <f t="shared" ref="K818:K819" si="492">CLEAN(H818)</f>
        <v>30072372</v>
      </c>
      <c r="L818" s="15" t="s">
        <v>95</v>
      </c>
      <c r="M818" s="23">
        <v>4036745000</v>
      </c>
      <c r="N818" s="34">
        <v>261225924</v>
      </c>
      <c r="O818" s="34">
        <v>1982103353</v>
      </c>
      <c r="P818" s="310">
        <v>0</v>
      </c>
      <c r="Q818" s="34">
        <v>717733008</v>
      </c>
      <c r="R818" s="308">
        <v>220435329</v>
      </c>
      <c r="S818" s="34">
        <f t="shared" ref="S818:S819" si="493">P818+Q818+R818</f>
        <v>938168337</v>
      </c>
      <c r="T818" s="34">
        <v>496648192</v>
      </c>
      <c r="U818" s="34">
        <v>543891790</v>
      </c>
      <c r="V818" s="34">
        <f>P818+Q818+R818+T818+U818</f>
        <v>1978708319</v>
      </c>
      <c r="W818" s="34">
        <f>O818-V818</f>
        <v>3395034</v>
      </c>
      <c r="X818" s="34">
        <f>M818-(N818+O818)</f>
        <v>1793415723</v>
      </c>
      <c r="Y818" s="48" t="s">
        <v>239</v>
      </c>
      <c r="Z818" s="48" t="s">
        <v>8</v>
      </c>
      <c r="AA818" s="2" t="s">
        <v>842</v>
      </c>
      <c r="AB818" s="2" t="e">
        <f>VLOOKUP(H818,#REF!,2,FALSE)</f>
        <v>#REF!</v>
      </c>
      <c r="AC818" s="2" t="e">
        <f>VLOOKUP(I818,#REF!,2,FALSE)</f>
        <v>#REF!</v>
      </c>
      <c r="AD818" s="2" t="e">
        <f>VLOOKUP(H818,#REF!,13,FALSE)</f>
        <v>#REF!</v>
      </c>
      <c r="AE818" s="2" t="e">
        <f>VLOOKUP(I818,#REF!,7,FALSE)</f>
        <v>#REF!</v>
      </c>
      <c r="AG818" s="2" t="e">
        <f>VLOOKUP(H818,#REF!,13,FALSE)</f>
        <v>#REF!</v>
      </c>
      <c r="AH818" s="2" t="e">
        <f>VLOOKUP(I818,#REF!,2,FALSE)</f>
        <v>#REF!</v>
      </c>
      <c r="AJ818" s="185" t="e">
        <f>VLOOKUP(H818,#REF!,3,FALSE)</f>
        <v>#REF!</v>
      </c>
      <c r="AK818" s="185"/>
      <c r="AL818" s="185" t="e">
        <f>VLOOKUP(H818,#REF!,13,FALSE)</f>
        <v>#REF!</v>
      </c>
      <c r="AM818" s="185" t="e">
        <f>VLOOKUP(CLEAN(H818),#REF!,7,FALSE)</f>
        <v>#REF!</v>
      </c>
      <c r="AN818" s="2" t="e">
        <f>VLOOKUP(H818,#REF!,8,FALSE)</f>
        <v>#REF!</v>
      </c>
      <c r="AO818" s="189" t="e">
        <f>VLOOKUP(H818,#REF!,2,FALSE)</f>
        <v>#REF!</v>
      </c>
      <c r="AP818" s="189" t="e">
        <f>VLOOKUP(H818,#REF!,2,FALSE)</f>
        <v>#REF!</v>
      </c>
      <c r="AQ818" s="189" t="e">
        <f>AO818-AP818</f>
        <v>#REF!</v>
      </c>
      <c r="AR818" s="189" t="e">
        <f>VLOOKUP(CLEAN(H818),#REF!,2,FALSE)</f>
        <v>#REF!</v>
      </c>
      <c r="AS818" s="189" t="e">
        <f>T818-AR818</f>
        <v>#REF!</v>
      </c>
      <c r="AT818" s="2" t="e">
        <f>VLOOKUP(H818,#REF!,13,FALSE)</f>
        <v>#REF!</v>
      </c>
      <c r="AU818" s="2" t="e">
        <f>VLOOKUP(H818,#REF!,13,FALSE)</f>
        <v>#REF!</v>
      </c>
      <c r="AV818" s="2" t="e">
        <f>VLOOKUP(H818,#REF!,13,FALSE)</f>
        <v>#REF!</v>
      </c>
      <c r="AW818" s="2" t="e">
        <f>VLOOKUP(H818,#REF!,13,FALSE)</f>
        <v>#REF!</v>
      </c>
      <c r="AX818" s="2" t="e">
        <f>VLOOKUP(H818,#REF!,9,FALSE)</f>
        <v>#REF!</v>
      </c>
      <c r="AZ818" s="189" t="e">
        <f>VLOOKUP(H818,#REF!,2,FALSE)</f>
        <v>#REF!</v>
      </c>
      <c r="BF818" s="189" t="e">
        <f>VLOOKUP(CLEAN(H818),#REF!,2,FALSE)</f>
        <v>#REF!</v>
      </c>
      <c r="BG818" s="189" t="e">
        <f>T818-BF818</f>
        <v>#REF!</v>
      </c>
      <c r="BO818" s="2" t="e">
        <f>VLOOKUP(H818,#REF!,13,FALSE)</f>
        <v>#REF!</v>
      </c>
      <c r="BP818" s="2" t="e">
        <f>VLOOKUP(H818,#REF!,2,FALSE)</f>
        <v>#REF!</v>
      </c>
      <c r="BQ818" s="2" t="e">
        <f>VLOOKUP(H818,#REF!,13,FALSE)</f>
        <v>#REF!</v>
      </c>
      <c r="BR818" s="2" t="e">
        <f>VLOOKUP(H818,#REF!,3,FALSE)</f>
        <v>#REF!</v>
      </c>
    </row>
    <row r="819" spans="1:70" s="2" customFormat="1" ht="15" customHeight="1" outlineLevel="2">
      <c r="A819" s="5">
        <v>31</v>
      </c>
      <c r="B819" s="5" t="s">
        <v>5</v>
      </c>
      <c r="C819" s="5" t="s">
        <v>251</v>
      </c>
      <c r="D819" s="5" t="s">
        <v>43</v>
      </c>
      <c r="E819" s="5" t="s">
        <v>45</v>
      </c>
      <c r="F819" s="5" t="s">
        <v>77</v>
      </c>
      <c r="G819" s="5" t="s">
        <v>144</v>
      </c>
      <c r="H819" s="12">
        <v>30288773</v>
      </c>
      <c r="I819" s="42" t="str">
        <f t="shared" si="491"/>
        <v>30288773-EJECUCION</v>
      </c>
      <c r="J819" s="12"/>
      <c r="K819" s="307" t="str">
        <f t="shared" si="492"/>
        <v>30288773</v>
      </c>
      <c r="L819" s="15" t="s">
        <v>463</v>
      </c>
      <c r="M819" s="23">
        <v>1172413718</v>
      </c>
      <c r="N819" s="34">
        <v>1024889053</v>
      </c>
      <c r="O819" s="34">
        <v>143822998</v>
      </c>
      <c r="P819" s="310">
        <v>0</v>
      </c>
      <c r="Q819" s="34">
        <v>0</v>
      </c>
      <c r="R819" s="308">
        <v>143822998</v>
      </c>
      <c r="S819" s="34">
        <f t="shared" si="493"/>
        <v>143822998</v>
      </c>
      <c r="T819" s="34">
        <v>0</v>
      </c>
      <c r="U819" s="34">
        <v>0</v>
      </c>
      <c r="V819" s="34">
        <f>P819+Q819+R819+T819+U819</f>
        <v>143822998</v>
      </c>
      <c r="W819" s="34">
        <f>O819-V819</f>
        <v>0</v>
      </c>
      <c r="X819" s="34">
        <f>M819-(N819+O819)</f>
        <v>3701667</v>
      </c>
      <c r="Y819" s="48" t="s">
        <v>239</v>
      </c>
      <c r="Z819" s="48" t="s">
        <v>8</v>
      </c>
      <c r="AA819" s="2" t="e">
        <v>#N/A</v>
      </c>
      <c r="AB819" s="2" t="e">
        <f>VLOOKUP(H819,#REF!,2,FALSE)</f>
        <v>#REF!</v>
      </c>
      <c r="AC819" s="2" t="e">
        <f>VLOOKUP(I819,#REF!,2,FALSE)</f>
        <v>#REF!</v>
      </c>
      <c r="AD819" s="2" t="e">
        <f>VLOOKUP(H819,#REF!,13,FALSE)</f>
        <v>#REF!</v>
      </c>
      <c r="AE819" s="2" t="e">
        <f>VLOOKUP(I819,#REF!,7,FALSE)</f>
        <v>#REF!</v>
      </c>
      <c r="AG819" s="2" t="e">
        <f>VLOOKUP(H819,#REF!,13,FALSE)</f>
        <v>#REF!</v>
      </c>
      <c r="AH819" s="2" t="e">
        <f>VLOOKUP(I819,#REF!,2,FALSE)</f>
        <v>#REF!</v>
      </c>
      <c r="AJ819" s="185" t="e">
        <f>VLOOKUP(H819,#REF!,3,FALSE)</f>
        <v>#REF!</v>
      </c>
      <c r="AK819" s="185"/>
      <c r="AL819" s="185" t="e">
        <f>VLOOKUP(H819,#REF!,13,FALSE)</f>
        <v>#REF!</v>
      </c>
      <c r="AM819" s="185" t="e">
        <f>VLOOKUP(CLEAN(H819),#REF!,7,FALSE)</f>
        <v>#REF!</v>
      </c>
      <c r="AN819" s="2" t="e">
        <f>VLOOKUP(H819,#REF!,8,FALSE)</f>
        <v>#REF!</v>
      </c>
      <c r="AO819" s="189" t="e">
        <f>VLOOKUP(H819,#REF!,2,FALSE)</f>
        <v>#REF!</v>
      </c>
      <c r="AP819" s="189" t="e">
        <f>VLOOKUP(H819,#REF!,2,FALSE)</f>
        <v>#REF!</v>
      </c>
      <c r="AQ819" s="189"/>
      <c r="AR819" s="2" t="e">
        <f>VLOOKUP(CLEAN(H819),#REF!,2,FALSE)</f>
        <v>#REF!</v>
      </c>
      <c r="AT819" s="2" t="e">
        <f>VLOOKUP(H819,#REF!,13,FALSE)</f>
        <v>#REF!</v>
      </c>
      <c r="AU819" s="2" t="e">
        <f>VLOOKUP(H819,#REF!,13,FALSE)</f>
        <v>#REF!</v>
      </c>
      <c r="AV819" s="2" t="e">
        <f>VLOOKUP(H819,#REF!,13,FALSE)</f>
        <v>#REF!</v>
      </c>
      <c r="AW819" s="2" t="e">
        <f>VLOOKUP(H819,#REF!,13,FALSE)</f>
        <v>#REF!</v>
      </c>
      <c r="AX819" s="2" t="e">
        <f>VLOOKUP(H819,#REF!,9,FALSE)</f>
        <v>#REF!</v>
      </c>
      <c r="AZ819" s="189" t="e">
        <f>VLOOKUP(H819,#REF!,2,FALSE)</f>
        <v>#REF!</v>
      </c>
      <c r="BF819" s="189" t="e">
        <f>VLOOKUP(CLEAN(H819),#REF!,2,FALSE)</f>
        <v>#REF!</v>
      </c>
      <c r="BG819" s="189" t="e">
        <f>T819-BF819</f>
        <v>#REF!</v>
      </c>
      <c r="BO819" s="2" t="e">
        <f>VLOOKUP(H819,#REF!,13,FALSE)</f>
        <v>#REF!</v>
      </c>
      <c r="BP819" s="2" t="e">
        <f>VLOOKUP(H819,#REF!,2,FALSE)</f>
        <v>#REF!</v>
      </c>
      <c r="BQ819" s="2" t="e">
        <f>VLOOKUP(H819,#REF!,13,FALSE)</f>
        <v>#REF!</v>
      </c>
      <c r="BR819" s="2" t="e">
        <f>VLOOKUP(H819,#REF!,3,FALSE)</f>
        <v>#REF!</v>
      </c>
    </row>
    <row r="820" spans="1:70" ht="15" customHeight="1" outlineLevel="2">
      <c r="A820" s="7"/>
      <c r="B820" s="7"/>
      <c r="C820" s="7"/>
      <c r="D820" s="7"/>
      <c r="E820" s="7"/>
      <c r="F820" s="7"/>
      <c r="G820" s="7"/>
      <c r="H820" s="11"/>
      <c r="I820" s="11"/>
      <c r="J820" s="11"/>
      <c r="K820" s="11"/>
      <c r="L820" s="17" t="s">
        <v>691</v>
      </c>
      <c r="M820" s="27">
        <f>SUBTOTAL(9,M818:M819)</f>
        <v>5209158718</v>
      </c>
      <c r="N820" s="27">
        <f t="shared" ref="N820:O820" si="494">SUBTOTAL(9,N818:N819)</f>
        <v>1286114977</v>
      </c>
      <c r="O820" s="27">
        <f t="shared" si="494"/>
        <v>2125926351</v>
      </c>
      <c r="P820" s="24">
        <f t="shared" ref="P820:X820" si="495">SUBTOTAL(9,P818:P819)</f>
        <v>0</v>
      </c>
      <c r="Q820" s="24">
        <f t="shared" si="495"/>
        <v>717733008</v>
      </c>
      <c r="R820" s="24">
        <f t="shared" si="495"/>
        <v>364258327</v>
      </c>
      <c r="S820" s="27">
        <f t="shared" si="495"/>
        <v>1081991335</v>
      </c>
      <c r="T820" s="27">
        <f t="shared" si="495"/>
        <v>496648192</v>
      </c>
      <c r="U820" s="27">
        <f t="shared" si="495"/>
        <v>543891790</v>
      </c>
      <c r="V820" s="27">
        <f t="shared" si="495"/>
        <v>2122531317</v>
      </c>
      <c r="W820" s="27">
        <f t="shared" si="495"/>
        <v>3395034</v>
      </c>
      <c r="X820" s="27">
        <f t="shared" si="495"/>
        <v>1797117390</v>
      </c>
      <c r="Y820" s="47"/>
      <c r="Z820" s="47"/>
      <c r="AM820" s="185" t="e">
        <f>VLOOKUP(CLEAN(H820),#REF!,7,FALSE)</f>
        <v>#REF!</v>
      </c>
      <c r="AO820"/>
      <c r="AP820"/>
      <c r="AQ820"/>
      <c r="AR820" s="2" t="e">
        <f>VLOOKUP(CLEAN(H820),#REF!,2,FALSE)</f>
        <v>#REF!</v>
      </c>
      <c r="AZ820" s="2" t="e">
        <f>VLOOKUP(H820,#REF!,2,FALSE)</f>
        <v>#REF!</v>
      </c>
      <c r="BO820" s="2" t="e">
        <f>VLOOKUP(H820,#REF!,13,FALSE)</f>
        <v>#REF!</v>
      </c>
      <c r="BQ820" s="2" t="e">
        <f>VLOOKUP(H820,#REF!,13,FALSE)</f>
        <v>#REF!</v>
      </c>
    </row>
    <row r="821" spans="1:70" ht="15" customHeight="1" outlineLevel="2">
      <c r="A821" s="7"/>
      <c r="B821" s="7"/>
      <c r="C821" s="7"/>
      <c r="D821" s="7"/>
      <c r="E821" s="7"/>
      <c r="F821" s="7"/>
      <c r="G821" s="7"/>
      <c r="H821" s="11"/>
      <c r="I821" s="11"/>
      <c r="J821" s="11"/>
      <c r="K821" s="11"/>
      <c r="L821" s="292"/>
      <c r="M821" s="22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47"/>
      <c r="Z821" s="47"/>
      <c r="AM821" s="185" t="e">
        <f>VLOOKUP(CLEAN(H821),#REF!,7,FALSE)</f>
        <v>#REF!</v>
      </c>
      <c r="AO821"/>
      <c r="AP821"/>
      <c r="AQ821"/>
      <c r="AR821" s="2" t="e">
        <f>VLOOKUP(CLEAN(H821),#REF!,2,FALSE)</f>
        <v>#REF!</v>
      </c>
      <c r="AZ821" s="2" t="e">
        <f>VLOOKUP(H821,#REF!,2,FALSE)</f>
        <v>#REF!</v>
      </c>
      <c r="BO821" s="2" t="e">
        <f>VLOOKUP(H821,#REF!,13,FALSE)</f>
        <v>#REF!</v>
      </c>
      <c r="BP821" s="293"/>
      <c r="BQ821" s="2" t="e">
        <f>VLOOKUP(H821,#REF!,13,FALSE)</f>
        <v>#REF!</v>
      </c>
    </row>
    <row r="822" spans="1:70" ht="15" customHeight="1" outlineLevel="2">
      <c r="A822" s="7"/>
      <c r="B822" s="7"/>
      <c r="C822" s="7"/>
      <c r="D822" s="7"/>
      <c r="E822" s="7"/>
      <c r="F822" s="7"/>
      <c r="G822" s="7"/>
      <c r="H822" s="11"/>
      <c r="I822" s="11"/>
      <c r="J822" s="11"/>
      <c r="K822" s="11"/>
      <c r="L822" s="18" t="s">
        <v>701</v>
      </c>
      <c r="M822" s="22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47"/>
      <c r="Z822" s="47"/>
      <c r="AM822" s="185" t="e">
        <f>VLOOKUP(CLEAN(H822),#REF!,7,FALSE)</f>
        <v>#REF!</v>
      </c>
      <c r="AO822"/>
      <c r="AP822"/>
      <c r="AQ822"/>
      <c r="AR822" s="2" t="e">
        <f>VLOOKUP(CLEAN(H822),#REF!,2,FALSE)</f>
        <v>#REF!</v>
      </c>
      <c r="AZ822" s="2" t="e">
        <f>VLOOKUP(H822,#REF!,2,FALSE)</f>
        <v>#REF!</v>
      </c>
      <c r="BO822" s="2" t="e">
        <f>VLOOKUP(H822,#REF!,13,FALSE)</f>
        <v>#REF!</v>
      </c>
      <c r="BQ822" s="2" t="e">
        <f>VLOOKUP(H822,#REF!,13,FALSE)</f>
        <v>#REF!</v>
      </c>
    </row>
    <row r="823" spans="1:70" s="2" customFormat="1" ht="15" customHeight="1" outlineLevel="2">
      <c r="A823" s="5">
        <v>31</v>
      </c>
      <c r="B823" s="5" t="s">
        <v>54</v>
      </c>
      <c r="C823" s="5" t="s">
        <v>252</v>
      </c>
      <c r="D823" s="5" t="s">
        <v>43</v>
      </c>
      <c r="E823" s="5" t="s">
        <v>45</v>
      </c>
      <c r="F823" s="5" t="s">
        <v>77</v>
      </c>
      <c r="G823" s="5" t="s">
        <v>144</v>
      </c>
      <c r="H823" s="12">
        <v>30341784</v>
      </c>
      <c r="I823" s="42" t="str">
        <f>CONCATENATE(H823,"-",G823)</f>
        <v>30341784-EJECUCION</v>
      </c>
      <c r="J823" s="12"/>
      <c r="K823" s="307" t="str">
        <f>CLEAN(H823)</f>
        <v>30341784</v>
      </c>
      <c r="L823" s="15" t="s">
        <v>806</v>
      </c>
      <c r="M823" s="23">
        <v>288053000</v>
      </c>
      <c r="N823" s="34">
        <v>0</v>
      </c>
      <c r="O823" s="34">
        <v>288053000</v>
      </c>
      <c r="P823" s="310">
        <v>0</v>
      </c>
      <c r="Q823" s="34">
        <v>0</v>
      </c>
      <c r="R823" s="308">
        <v>0</v>
      </c>
      <c r="S823" s="34">
        <f t="shared" ref="S823:S824" si="496">P823+Q823+R823</f>
        <v>0</v>
      </c>
      <c r="T823" s="34">
        <v>0</v>
      </c>
      <c r="U823" s="34">
        <v>0</v>
      </c>
      <c r="V823" s="34">
        <f>P823+Q823+R823+T823+U823</f>
        <v>0</v>
      </c>
      <c r="W823" s="34">
        <f>O823-V823</f>
        <v>288053000</v>
      </c>
      <c r="X823" s="34">
        <f>M823-(N823+O823)</f>
        <v>0</v>
      </c>
      <c r="Y823" s="48" t="s">
        <v>418</v>
      </c>
      <c r="Z823" s="48" t="s">
        <v>8</v>
      </c>
      <c r="AA823" s="2" t="e">
        <v>#N/A</v>
      </c>
      <c r="AB823" s="2" t="e">
        <f>VLOOKUP(H823,#REF!,2,FALSE)</f>
        <v>#REF!</v>
      </c>
      <c r="AC823" s="2" t="e">
        <f>VLOOKUP(I823,#REF!,2,FALSE)</f>
        <v>#REF!</v>
      </c>
      <c r="AD823" s="2" t="e">
        <f>VLOOKUP(H823,#REF!,13,FALSE)</f>
        <v>#REF!</v>
      </c>
      <c r="AE823" s="2" t="e">
        <f>VLOOKUP(I823,#REF!,7,FALSE)</f>
        <v>#REF!</v>
      </c>
      <c r="AG823" s="2" t="e">
        <f>VLOOKUP(H823,#REF!,13,FALSE)</f>
        <v>#REF!</v>
      </c>
      <c r="AH823" s="2" t="e">
        <f>VLOOKUP(I823,#REF!,2,FALSE)</f>
        <v>#REF!</v>
      </c>
      <c r="AJ823" s="185" t="e">
        <f>VLOOKUP(H823,#REF!,3,FALSE)</f>
        <v>#REF!</v>
      </c>
      <c r="AK823" s="185"/>
      <c r="AL823" s="185" t="e">
        <f>VLOOKUP(H823,#REF!,13,FALSE)</f>
        <v>#REF!</v>
      </c>
      <c r="AM823" s="185" t="e">
        <f>VLOOKUP(CLEAN(H823),#REF!,7,FALSE)</f>
        <v>#REF!</v>
      </c>
      <c r="AN823" s="2" t="e">
        <f>VLOOKUP(H823,#REF!,8,FALSE)</f>
        <v>#REF!</v>
      </c>
      <c r="AO823" s="189" t="e">
        <f>VLOOKUP(H823,#REF!,2,FALSE)</f>
        <v>#REF!</v>
      </c>
      <c r="AP823" s="189" t="e">
        <f>VLOOKUP(H823,#REF!,2,FALSE)</f>
        <v>#REF!</v>
      </c>
      <c r="AQ823" s="189"/>
      <c r="AR823" s="2" t="e">
        <f>VLOOKUP(CLEAN(H823),#REF!,2,FALSE)</f>
        <v>#REF!</v>
      </c>
      <c r="AT823" s="2" t="e">
        <f>VLOOKUP(H823,#REF!,13,FALSE)</f>
        <v>#REF!</v>
      </c>
      <c r="AU823" s="2" t="e">
        <f>VLOOKUP(H823,#REF!,13,FALSE)</f>
        <v>#REF!</v>
      </c>
      <c r="AV823" s="2" t="e">
        <f>VLOOKUP(H823,#REF!,13,FALSE)</f>
        <v>#REF!</v>
      </c>
      <c r="AW823" s="2" t="e">
        <f>VLOOKUP(H823,#REF!,13,FALSE)</f>
        <v>#REF!</v>
      </c>
      <c r="AX823" s="2" t="e">
        <f>VLOOKUP(H823,#REF!,9,FALSE)</f>
        <v>#REF!</v>
      </c>
      <c r="AZ823" s="189" t="e">
        <f>VLOOKUP(H823,#REF!,2,FALSE)</f>
        <v>#REF!</v>
      </c>
      <c r="BF823" s="189" t="e">
        <f>VLOOKUP(CLEAN(H823),#REF!,2,FALSE)</f>
        <v>#REF!</v>
      </c>
      <c r="BG823" s="189" t="e">
        <f>T823-BF823</f>
        <v>#REF!</v>
      </c>
      <c r="BO823" s="2" t="e">
        <f>VLOOKUP(H823,#REF!,13,FALSE)</f>
        <v>#REF!</v>
      </c>
      <c r="BP823" s="2" t="e">
        <f>VLOOKUP(H823,#REF!,2,FALSE)</f>
        <v>#REF!</v>
      </c>
      <c r="BQ823" s="2" t="e">
        <f>VLOOKUP(H823,#REF!,13,FALSE)</f>
        <v>#REF!</v>
      </c>
      <c r="BR823" s="2" t="e">
        <f>VLOOKUP(H823,#REF!,3,FALSE)</f>
        <v>#REF!</v>
      </c>
    </row>
    <row r="824" spans="1:70" s="2" customFormat="1" ht="15" customHeight="1" outlineLevel="2">
      <c r="A824" s="5">
        <v>31</v>
      </c>
      <c r="B824" s="5" t="s">
        <v>11</v>
      </c>
      <c r="C824" s="5" t="s">
        <v>241</v>
      </c>
      <c r="D824" s="5" t="s">
        <v>43</v>
      </c>
      <c r="E824" s="5" t="s">
        <v>45</v>
      </c>
      <c r="F824" s="5" t="s">
        <v>77</v>
      </c>
      <c r="G824" s="5" t="s">
        <v>144</v>
      </c>
      <c r="H824" s="12">
        <v>30289730</v>
      </c>
      <c r="I824" s="42" t="str">
        <f>CONCATENATE(H824,"-",G824)</f>
        <v>30289730-EJECUCION</v>
      </c>
      <c r="J824" s="12"/>
      <c r="K824" s="307" t="str">
        <f>CLEAN(H824)</f>
        <v>30289730</v>
      </c>
      <c r="L824" s="15" t="s">
        <v>783</v>
      </c>
      <c r="M824" s="23">
        <v>543354000</v>
      </c>
      <c r="N824" s="34">
        <v>0</v>
      </c>
      <c r="O824" s="34">
        <f>190000000-4309686-100000000</f>
        <v>85690314</v>
      </c>
      <c r="P824" s="310">
        <v>0</v>
      </c>
      <c r="Q824" s="34">
        <v>0</v>
      </c>
      <c r="R824" s="308">
        <v>0</v>
      </c>
      <c r="S824" s="34">
        <f t="shared" si="496"/>
        <v>0</v>
      </c>
      <c r="T824" s="34">
        <v>0</v>
      </c>
      <c r="U824" s="34">
        <v>0</v>
      </c>
      <c r="V824" s="34">
        <f>P824+Q824+R824+T824+U824</f>
        <v>0</v>
      </c>
      <c r="W824" s="34">
        <f>O824-V824</f>
        <v>85690314</v>
      </c>
      <c r="X824" s="34">
        <f>M824-(N824+O824)</f>
        <v>457663686</v>
      </c>
      <c r="Y824" s="48" t="s">
        <v>418</v>
      </c>
      <c r="Z824" s="48" t="s">
        <v>8</v>
      </c>
      <c r="AA824" s="2" t="e">
        <v>#N/A</v>
      </c>
      <c r="AB824" s="2" t="e">
        <f>VLOOKUP(H824,#REF!,2,FALSE)</f>
        <v>#REF!</v>
      </c>
      <c r="AC824" s="2" t="e">
        <f>VLOOKUP(I824,#REF!,2,FALSE)</f>
        <v>#REF!</v>
      </c>
      <c r="AD824" s="2" t="e">
        <f>VLOOKUP(H824,#REF!,13,FALSE)</f>
        <v>#REF!</v>
      </c>
      <c r="AE824" s="2" t="e">
        <f>VLOOKUP(I824,#REF!,7,FALSE)</f>
        <v>#REF!</v>
      </c>
      <c r="AG824" s="2" t="e">
        <f>VLOOKUP(H824,#REF!,13,FALSE)</f>
        <v>#REF!</v>
      </c>
      <c r="AH824" s="2" t="e">
        <f>VLOOKUP(I824,#REF!,2,FALSE)</f>
        <v>#REF!</v>
      </c>
      <c r="AJ824" s="185" t="e">
        <f>VLOOKUP(H824,#REF!,3,FALSE)</f>
        <v>#REF!</v>
      </c>
      <c r="AK824" s="185"/>
      <c r="AL824" s="185" t="e">
        <f>VLOOKUP(H824,#REF!,13,FALSE)</f>
        <v>#REF!</v>
      </c>
      <c r="AM824" s="185" t="e">
        <f>VLOOKUP(CLEAN(H824),#REF!,7,FALSE)</f>
        <v>#REF!</v>
      </c>
      <c r="AN824" s="2" t="e">
        <f>VLOOKUP(H824,#REF!,8,FALSE)</f>
        <v>#REF!</v>
      </c>
      <c r="AO824" s="189" t="e">
        <f>VLOOKUP(H824,#REF!,2,FALSE)</f>
        <v>#REF!</v>
      </c>
      <c r="AP824" s="189" t="e">
        <f>VLOOKUP(H824,#REF!,2,FALSE)</f>
        <v>#REF!</v>
      </c>
      <c r="AQ824" s="189"/>
      <c r="AR824" s="2" t="e">
        <f>VLOOKUP(CLEAN(H824),#REF!,2,FALSE)</f>
        <v>#REF!</v>
      </c>
      <c r="AT824" s="2" t="e">
        <f>VLOOKUP(H824,#REF!,13,FALSE)</f>
        <v>#REF!</v>
      </c>
      <c r="AU824" s="2" t="e">
        <f>VLOOKUP(H824,#REF!,13,FALSE)</f>
        <v>#REF!</v>
      </c>
      <c r="AV824" s="2" t="e">
        <f>VLOOKUP(H824,#REF!,13,FALSE)</f>
        <v>#REF!</v>
      </c>
      <c r="AW824" s="2" t="e">
        <f>VLOOKUP(H824,#REF!,13,FALSE)</f>
        <v>#REF!</v>
      </c>
      <c r="AX824" s="2" t="e">
        <f>VLOOKUP(H824,#REF!,9,FALSE)</f>
        <v>#REF!</v>
      </c>
      <c r="AZ824" s="2" t="e">
        <f>VLOOKUP(H824,#REF!,2,FALSE)</f>
        <v>#REF!</v>
      </c>
      <c r="BF824" s="189" t="e">
        <f>VLOOKUP(CLEAN(H824),#REF!,2,FALSE)</f>
        <v>#REF!</v>
      </c>
      <c r="BG824" s="189" t="e">
        <f>T824-BF824</f>
        <v>#REF!</v>
      </c>
      <c r="BO824" s="2" t="e">
        <f>VLOOKUP(H824,#REF!,13,FALSE)</f>
        <v>#REF!</v>
      </c>
      <c r="BP824" s="2" t="e">
        <f>VLOOKUP(H824,#REF!,2,FALSE)</f>
        <v>#REF!</v>
      </c>
      <c r="BQ824" s="2" t="e">
        <f>VLOOKUP(H824,#REF!,13,FALSE)</f>
        <v>#REF!</v>
      </c>
      <c r="BR824" s="2" t="e">
        <f>VLOOKUP(H824,#REF!,3,FALSE)</f>
        <v>#REF!</v>
      </c>
    </row>
    <row r="825" spans="1:70" ht="15" customHeight="1" outlineLevel="2">
      <c r="A825" s="7"/>
      <c r="B825" s="7"/>
      <c r="C825" s="7"/>
      <c r="D825" s="7"/>
      <c r="E825" s="7"/>
      <c r="F825" s="7"/>
      <c r="G825" s="7"/>
      <c r="H825" s="11"/>
      <c r="I825" s="11"/>
      <c r="J825" s="11"/>
      <c r="K825" s="11"/>
      <c r="L825" s="17" t="s">
        <v>702</v>
      </c>
      <c r="M825" s="27">
        <f>SUBTOTAL(9,M823:M824)</f>
        <v>831407000</v>
      </c>
      <c r="N825" s="27">
        <f t="shared" ref="N825:O825" si="497">SUBTOTAL(9,N823:N824)</f>
        <v>0</v>
      </c>
      <c r="O825" s="27">
        <f t="shared" si="497"/>
        <v>373743314</v>
      </c>
      <c r="P825" s="24">
        <f t="shared" ref="P825:X825" si="498">SUBTOTAL(9,P823:P824)</f>
        <v>0</v>
      </c>
      <c r="Q825" s="24">
        <f t="shared" si="498"/>
        <v>0</v>
      </c>
      <c r="R825" s="24">
        <f t="shared" si="498"/>
        <v>0</v>
      </c>
      <c r="S825" s="27">
        <f t="shared" si="498"/>
        <v>0</v>
      </c>
      <c r="T825" s="27">
        <f t="shared" si="498"/>
        <v>0</v>
      </c>
      <c r="U825" s="27">
        <f t="shared" si="498"/>
        <v>0</v>
      </c>
      <c r="V825" s="27">
        <f t="shared" si="498"/>
        <v>0</v>
      </c>
      <c r="W825" s="27">
        <f t="shared" si="498"/>
        <v>373743314</v>
      </c>
      <c r="X825" s="27">
        <f t="shared" si="498"/>
        <v>457663686</v>
      </c>
      <c r="Y825" s="47"/>
      <c r="Z825" s="47"/>
      <c r="AM825" s="185" t="e">
        <f>VLOOKUP(CLEAN(H825),#REF!,7,FALSE)</f>
        <v>#REF!</v>
      </c>
      <c r="AO825"/>
      <c r="AP825"/>
      <c r="AQ825"/>
      <c r="AR825" s="2" t="e">
        <f>VLOOKUP(CLEAN(H825),#REF!,2,FALSE)</f>
        <v>#REF!</v>
      </c>
      <c r="AZ825" s="2" t="e">
        <f>VLOOKUP(H825,#REF!,2,FALSE)</f>
        <v>#REF!</v>
      </c>
      <c r="BO825" s="2" t="e">
        <f>VLOOKUP(H825,#REF!,13,FALSE)</f>
        <v>#REF!</v>
      </c>
      <c r="BQ825" s="2" t="e">
        <f>VLOOKUP(H825,#REF!,13,FALSE)</f>
        <v>#REF!</v>
      </c>
    </row>
    <row r="826" spans="1:70" ht="15" customHeight="1" outlineLevel="2">
      <c r="A826" s="7"/>
      <c r="B826" s="7"/>
      <c r="C826" s="7"/>
      <c r="D826" s="7"/>
      <c r="E826" s="7"/>
      <c r="F826" s="7"/>
      <c r="G826" s="7"/>
      <c r="H826" s="11"/>
      <c r="I826" s="11"/>
      <c r="J826" s="11"/>
      <c r="K826" s="11"/>
      <c r="L826" s="292"/>
      <c r="M826" s="22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47"/>
      <c r="Z826" s="47"/>
      <c r="AM826" s="185" t="e">
        <f>VLOOKUP(CLEAN(H826),#REF!,7,FALSE)</f>
        <v>#REF!</v>
      </c>
      <c r="AO826"/>
      <c r="AP826"/>
      <c r="AQ826"/>
      <c r="AR826" s="2" t="e">
        <f>VLOOKUP(CLEAN(H826),#REF!,2,FALSE)</f>
        <v>#REF!</v>
      </c>
      <c r="AZ826" s="2" t="e">
        <f>VLOOKUP(H826,#REF!,2,FALSE)</f>
        <v>#REF!</v>
      </c>
      <c r="BO826" s="2" t="e">
        <f>VLOOKUP(H826,#REF!,13,FALSE)</f>
        <v>#REF!</v>
      </c>
      <c r="BP826" s="293"/>
      <c r="BQ826" s="2" t="e">
        <f>VLOOKUP(H826,#REF!,13,FALSE)</f>
        <v>#REF!</v>
      </c>
    </row>
    <row r="827" spans="1:70" ht="15" customHeight="1" outlineLevel="2">
      <c r="A827" s="7"/>
      <c r="B827" s="7"/>
      <c r="C827" s="7"/>
      <c r="D827" s="7"/>
      <c r="E827" s="7"/>
      <c r="F827" s="7"/>
      <c r="G827" s="7"/>
      <c r="H827" s="11"/>
      <c r="I827" s="11"/>
      <c r="J827" s="11"/>
      <c r="K827" s="11"/>
      <c r="L827" s="18" t="s">
        <v>698</v>
      </c>
      <c r="M827" s="22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47"/>
      <c r="Z827" s="47"/>
      <c r="AO827"/>
      <c r="AP827"/>
      <c r="AQ827"/>
      <c r="AR827" s="2" t="e">
        <f>VLOOKUP(CLEAN(H827),#REF!,2,FALSE)</f>
        <v>#REF!</v>
      </c>
      <c r="AZ827" s="2" t="e">
        <f>VLOOKUP(H827,#REF!,2,FALSE)</f>
        <v>#REF!</v>
      </c>
      <c r="BO827" s="2" t="e">
        <f>VLOOKUP(H827,#REF!,13,FALSE)</f>
        <v>#REF!</v>
      </c>
      <c r="BQ827" s="2" t="e">
        <f>VLOOKUP(H827,#REF!,13,FALSE)</f>
        <v>#REF!</v>
      </c>
    </row>
    <row r="828" spans="1:70" s="2" customFormat="1" ht="15" customHeight="1" outlineLevel="2">
      <c r="A828" s="5">
        <v>31</v>
      </c>
      <c r="B828" s="5" t="s">
        <v>54</v>
      </c>
      <c r="C828" s="5" t="s">
        <v>241</v>
      </c>
      <c r="D828" s="5" t="s">
        <v>43</v>
      </c>
      <c r="E828" s="5" t="s">
        <v>45</v>
      </c>
      <c r="F828" s="5" t="s">
        <v>77</v>
      </c>
      <c r="G828" s="5" t="s">
        <v>144</v>
      </c>
      <c r="H828" s="12">
        <v>30102779</v>
      </c>
      <c r="I828" s="42" t="str">
        <f t="shared" ref="I828:I829" si="499">CONCATENATE(H828,"-",G828)</f>
        <v>30102779-EJECUCION</v>
      </c>
      <c r="J828" s="12"/>
      <c r="K828" s="307" t="str">
        <f t="shared" ref="K828:K829" si="500">CLEAN(H828)</f>
        <v>30102779</v>
      </c>
      <c r="L828" s="15" t="s">
        <v>97</v>
      </c>
      <c r="M828" s="23">
        <v>517037000</v>
      </c>
      <c r="N828" s="34">
        <v>0</v>
      </c>
      <c r="O828" s="34">
        <v>316687000</v>
      </c>
      <c r="P828" s="310">
        <v>0</v>
      </c>
      <c r="Q828" s="34">
        <v>0</v>
      </c>
      <c r="R828" s="308">
        <v>0</v>
      </c>
      <c r="S828" s="34">
        <f t="shared" ref="S828:S829" si="501">P828+Q828+R828</f>
        <v>0</v>
      </c>
      <c r="T828" s="34">
        <v>0</v>
      </c>
      <c r="U828" s="34">
        <v>0</v>
      </c>
      <c r="V828" s="34">
        <f>P828+Q828+R828+T828+U828</f>
        <v>0</v>
      </c>
      <c r="W828" s="34">
        <f>O828-V828</f>
        <v>316687000</v>
      </c>
      <c r="X828" s="34">
        <f>M828-(N828+O828)</f>
        <v>200350000</v>
      </c>
      <c r="Y828" s="48" t="s">
        <v>85</v>
      </c>
      <c r="Z828" s="48" t="s">
        <v>8</v>
      </c>
      <c r="AA828" s="2" t="s">
        <v>842</v>
      </c>
      <c r="AB828" s="2" t="e">
        <f>VLOOKUP(H828,#REF!,2,FALSE)</f>
        <v>#REF!</v>
      </c>
      <c r="AC828" s="2" t="e">
        <f>VLOOKUP(I828,#REF!,2,FALSE)</f>
        <v>#REF!</v>
      </c>
      <c r="AD828" s="2" t="e">
        <f>VLOOKUP(H828,#REF!,13,FALSE)</f>
        <v>#REF!</v>
      </c>
      <c r="AE828" s="2" t="e">
        <f>VLOOKUP(I828,#REF!,7,FALSE)</f>
        <v>#REF!</v>
      </c>
      <c r="AG828" s="2" t="e">
        <f>VLOOKUP(H828,#REF!,13,FALSE)</f>
        <v>#REF!</v>
      </c>
      <c r="AH828" s="2" t="e">
        <f>VLOOKUP(I828,#REF!,2,FALSE)</f>
        <v>#REF!</v>
      </c>
      <c r="AJ828" s="185" t="e">
        <f>VLOOKUP(H828,#REF!,3,FALSE)</f>
        <v>#REF!</v>
      </c>
      <c r="AK828" s="185"/>
      <c r="AL828" s="185" t="e">
        <f>VLOOKUP(H828,#REF!,13,FALSE)</f>
        <v>#REF!</v>
      </c>
      <c r="AM828" s="185" t="e">
        <f>VLOOKUP(CLEAN(H828),#REF!,7,FALSE)</f>
        <v>#REF!</v>
      </c>
      <c r="AN828" s="2" t="e">
        <f>VLOOKUP(H828,#REF!,8,FALSE)</f>
        <v>#REF!</v>
      </c>
      <c r="AO828" s="189" t="e">
        <f>VLOOKUP(H828,#REF!,2,FALSE)</f>
        <v>#REF!</v>
      </c>
      <c r="AP828" s="189" t="e">
        <f>VLOOKUP(H828,#REF!,2,FALSE)</f>
        <v>#REF!</v>
      </c>
      <c r="AQ828" s="189"/>
      <c r="AR828" s="2" t="e">
        <f>VLOOKUP(CLEAN(H828),#REF!,2,FALSE)</f>
        <v>#REF!</v>
      </c>
      <c r="AT828" s="2" t="e">
        <f>VLOOKUP(H828,#REF!,13,FALSE)</f>
        <v>#REF!</v>
      </c>
      <c r="AU828" s="2" t="e">
        <f>VLOOKUP(H828,#REF!,13,FALSE)</f>
        <v>#REF!</v>
      </c>
      <c r="AV828" s="2" t="e">
        <f>VLOOKUP(H828,#REF!,13,FALSE)</f>
        <v>#REF!</v>
      </c>
      <c r="AW828" s="2" t="e">
        <f>VLOOKUP(H828,#REF!,13,FALSE)</f>
        <v>#REF!</v>
      </c>
      <c r="AX828" s="2" t="e">
        <f>VLOOKUP(H828,#REF!,9,FALSE)</f>
        <v>#REF!</v>
      </c>
      <c r="AZ828" s="189" t="e">
        <f>VLOOKUP(H828,#REF!,2,FALSE)</f>
        <v>#REF!</v>
      </c>
      <c r="BF828" s="189" t="e">
        <f>VLOOKUP(CLEAN(H828),#REF!,2,FALSE)</f>
        <v>#REF!</v>
      </c>
      <c r="BG828" s="189" t="e">
        <f>T828-BF828</f>
        <v>#REF!</v>
      </c>
      <c r="BO828" s="2" t="e">
        <f>VLOOKUP(H828,#REF!,13,FALSE)</f>
        <v>#REF!</v>
      </c>
      <c r="BP828" s="2" t="e">
        <f>VLOOKUP(H828,#REF!,2,FALSE)</f>
        <v>#REF!</v>
      </c>
      <c r="BQ828" s="2" t="e">
        <f>VLOOKUP(H828,#REF!,13,FALSE)</f>
        <v>#REF!</v>
      </c>
      <c r="BR828" s="2" t="e">
        <f>VLOOKUP(H828,#REF!,3,FALSE)</f>
        <v>#REF!</v>
      </c>
    </row>
    <row r="829" spans="1:70" s="2" customFormat="1" ht="15" customHeight="1" outlineLevel="2">
      <c r="A829" s="5">
        <v>31</v>
      </c>
      <c r="B829" s="5" t="s">
        <v>5</v>
      </c>
      <c r="C829" s="5" t="s">
        <v>253</v>
      </c>
      <c r="D829" s="5" t="s">
        <v>43</v>
      </c>
      <c r="E829" s="5" t="s">
        <v>45</v>
      </c>
      <c r="F829" s="5" t="s">
        <v>77</v>
      </c>
      <c r="G829" s="5" t="s">
        <v>144</v>
      </c>
      <c r="H829" s="12">
        <v>30086361</v>
      </c>
      <c r="I829" s="42" t="str">
        <f t="shared" si="499"/>
        <v>30086361-EJECUCION</v>
      </c>
      <c r="J829" s="12"/>
      <c r="K829" s="307" t="str">
        <f t="shared" si="500"/>
        <v>30086361</v>
      </c>
      <c r="L829" s="15" t="s">
        <v>96</v>
      </c>
      <c r="M829" s="23">
        <v>3794215000</v>
      </c>
      <c r="N829" s="34">
        <v>38538000</v>
      </c>
      <c r="O829" s="34">
        <v>757323380</v>
      </c>
      <c r="P829" s="310">
        <v>0</v>
      </c>
      <c r="Q829" s="34">
        <v>0</v>
      </c>
      <c r="R829" s="308">
        <v>0</v>
      </c>
      <c r="S829" s="34">
        <f t="shared" si="501"/>
        <v>0</v>
      </c>
      <c r="T829" s="34">
        <v>0</v>
      </c>
      <c r="U829" s="34">
        <v>0</v>
      </c>
      <c r="V829" s="34">
        <f>P829+Q829+R829+T829+U829</f>
        <v>0</v>
      </c>
      <c r="W829" s="34">
        <f>O829-V829</f>
        <v>757323380</v>
      </c>
      <c r="X829" s="34">
        <f>M829-(N829+O829)</f>
        <v>2998353620</v>
      </c>
      <c r="Y829" s="48" t="s">
        <v>85</v>
      </c>
      <c r="Z829" s="48" t="s">
        <v>8</v>
      </c>
      <c r="AA829" s="2" t="s">
        <v>842</v>
      </c>
      <c r="AB829" s="2" t="e">
        <f>VLOOKUP(H829,#REF!,2,FALSE)</f>
        <v>#REF!</v>
      </c>
      <c r="AC829" s="2" t="e">
        <f>VLOOKUP(I829,#REF!,2,FALSE)</f>
        <v>#REF!</v>
      </c>
      <c r="AD829" s="2" t="e">
        <f>VLOOKUP(H829,#REF!,13,FALSE)</f>
        <v>#REF!</v>
      </c>
      <c r="AE829" s="2" t="e">
        <f>VLOOKUP(I829,#REF!,7,FALSE)</f>
        <v>#REF!</v>
      </c>
      <c r="AG829" s="2" t="e">
        <f>VLOOKUP(H829,#REF!,13,FALSE)</f>
        <v>#REF!</v>
      </c>
      <c r="AH829" s="2" t="e">
        <f>VLOOKUP(I829,#REF!,2,FALSE)</f>
        <v>#REF!</v>
      </c>
      <c r="AJ829" s="185" t="e">
        <f>VLOOKUP(H829,#REF!,3,FALSE)</f>
        <v>#REF!</v>
      </c>
      <c r="AK829" s="185"/>
      <c r="AL829" s="185" t="e">
        <f>VLOOKUP(H829,#REF!,13,FALSE)</f>
        <v>#REF!</v>
      </c>
      <c r="AM829" s="185" t="e">
        <f>VLOOKUP(CLEAN(H829),#REF!,7,FALSE)</f>
        <v>#REF!</v>
      </c>
      <c r="AN829" s="2" t="e">
        <f>VLOOKUP(H829,#REF!,8,FALSE)</f>
        <v>#REF!</v>
      </c>
      <c r="AO829" s="189" t="e">
        <f>VLOOKUP(H829,#REF!,2,FALSE)</f>
        <v>#REF!</v>
      </c>
      <c r="AP829" s="189" t="e">
        <f>VLOOKUP(H829,#REF!,2,FALSE)</f>
        <v>#REF!</v>
      </c>
      <c r="AQ829" s="189"/>
      <c r="AR829" s="2" t="e">
        <f>VLOOKUP(CLEAN(H829),#REF!,2,FALSE)</f>
        <v>#REF!</v>
      </c>
      <c r="AT829" s="2" t="e">
        <f>VLOOKUP(H829,#REF!,13,FALSE)</f>
        <v>#REF!</v>
      </c>
      <c r="AU829" s="2" t="e">
        <f>VLOOKUP(H829,#REF!,13,FALSE)</f>
        <v>#REF!</v>
      </c>
      <c r="AV829" s="2" t="e">
        <f>VLOOKUP(H829,#REF!,13,FALSE)</f>
        <v>#REF!</v>
      </c>
      <c r="AW829" s="2" t="e">
        <f>VLOOKUP(H829,#REF!,13,FALSE)</f>
        <v>#REF!</v>
      </c>
      <c r="AX829" s="2" t="e">
        <f>VLOOKUP(H829,#REF!,9,FALSE)</f>
        <v>#REF!</v>
      </c>
      <c r="AZ829" s="189" t="e">
        <f>VLOOKUP(H829,#REF!,2,FALSE)</f>
        <v>#REF!</v>
      </c>
      <c r="BF829" s="189" t="e">
        <f>VLOOKUP(CLEAN(H829),#REF!,2,FALSE)</f>
        <v>#REF!</v>
      </c>
      <c r="BG829" s="189" t="e">
        <f>T829-BF829</f>
        <v>#REF!</v>
      </c>
      <c r="BO829" s="2" t="e">
        <f>VLOOKUP(H829,#REF!,13,FALSE)</f>
        <v>#REF!</v>
      </c>
      <c r="BP829" s="2" t="e">
        <f>VLOOKUP(H829,#REF!,2,FALSE)</f>
        <v>#REF!</v>
      </c>
      <c r="BQ829" s="2" t="e">
        <f>VLOOKUP(H829,#REF!,13,FALSE)</f>
        <v>#REF!</v>
      </c>
      <c r="BR829" s="2" t="e">
        <f>VLOOKUP(H829,#REF!,3,FALSE)</f>
        <v>#REF!</v>
      </c>
    </row>
    <row r="830" spans="1:70" ht="15" customHeight="1" outlineLevel="2">
      <c r="A830" s="7"/>
      <c r="B830" s="7"/>
      <c r="C830" s="7"/>
      <c r="D830" s="7"/>
      <c r="E830" s="7"/>
      <c r="F830" s="7"/>
      <c r="G830" s="7"/>
      <c r="H830" s="11"/>
      <c r="I830" s="11"/>
      <c r="J830" s="11"/>
      <c r="K830" s="11"/>
      <c r="L830" s="17" t="s">
        <v>692</v>
      </c>
      <c r="M830" s="313">
        <f>SUBTOTAL(9,M828:M829)</f>
        <v>4311252000</v>
      </c>
      <c r="N830" s="313">
        <f t="shared" ref="N830:O830" si="502">SUBTOTAL(9,N828:N829)</f>
        <v>38538000</v>
      </c>
      <c r="O830" s="313">
        <f t="shared" si="502"/>
        <v>1074010380</v>
      </c>
      <c r="P830" s="25">
        <f t="shared" ref="P830:X830" si="503">SUBTOTAL(9,P828:P829)</f>
        <v>0</v>
      </c>
      <c r="Q830" s="25">
        <f t="shared" si="503"/>
        <v>0</v>
      </c>
      <c r="R830" s="25">
        <f t="shared" si="503"/>
        <v>0</v>
      </c>
      <c r="S830" s="313">
        <f t="shared" si="503"/>
        <v>0</v>
      </c>
      <c r="T830" s="313">
        <f t="shared" si="503"/>
        <v>0</v>
      </c>
      <c r="U830" s="313">
        <f t="shared" si="503"/>
        <v>0</v>
      </c>
      <c r="V830" s="313">
        <f t="shared" si="503"/>
        <v>0</v>
      </c>
      <c r="W830" s="313">
        <f t="shared" si="503"/>
        <v>1074010380</v>
      </c>
      <c r="X830" s="313">
        <f t="shared" si="503"/>
        <v>3198703620</v>
      </c>
      <c r="Y830" s="47"/>
      <c r="Z830" s="47"/>
      <c r="AO830"/>
      <c r="AP830"/>
      <c r="AQ830"/>
      <c r="AR830" s="2" t="e">
        <f>VLOOKUP(CLEAN(H830),#REF!,2,FALSE)</f>
        <v>#REF!</v>
      </c>
      <c r="AZ830" s="2" t="e">
        <f>VLOOKUP(H830,#REF!,2,FALSE)</f>
        <v>#REF!</v>
      </c>
      <c r="BO830" s="2" t="e">
        <f>VLOOKUP(H830,#REF!,13,FALSE)</f>
        <v>#REF!</v>
      </c>
      <c r="BQ830" s="2" t="e">
        <f>VLOOKUP(H830,#REF!,13,FALSE)</f>
        <v>#REF!</v>
      </c>
    </row>
    <row r="831" spans="1:70" ht="15" customHeight="1" outlineLevel="2">
      <c r="A831" s="7"/>
      <c r="B831" s="7"/>
      <c r="C831" s="7"/>
      <c r="D831" s="7"/>
      <c r="E831" s="7"/>
      <c r="F831" s="7"/>
      <c r="G831" s="7"/>
      <c r="H831" s="11"/>
      <c r="I831" s="11"/>
      <c r="J831" s="11"/>
      <c r="K831" s="11"/>
      <c r="L831" s="292"/>
      <c r="M831" s="22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47"/>
      <c r="Z831" s="47"/>
      <c r="AO831"/>
      <c r="AP831"/>
      <c r="AQ831"/>
      <c r="AR831" s="2" t="e">
        <f>VLOOKUP(CLEAN(H831),#REF!,2,FALSE)</f>
        <v>#REF!</v>
      </c>
      <c r="AZ831" s="2" t="e">
        <f>VLOOKUP(H831,#REF!,2,FALSE)</f>
        <v>#REF!</v>
      </c>
      <c r="BO831" s="2" t="e">
        <f>VLOOKUP(H831,#REF!,13,FALSE)</f>
        <v>#REF!</v>
      </c>
      <c r="BP831" s="293"/>
      <c r="BQ831" s="2" t="e">
        <f>VLOOKUP(H831,#REF!,13,FALSE)</f>
        <v>#REF!</v>
      </c>
    </row>
    <row r="832" spans="1:70" ht="15" customHeight="1" outlineLevel="2">
      <c r="A832" s="7"/>
      <c r="B832" s="7"/>
      <c r="C832" s="7"/>
      <c r="D832" s="7"/>
      <c r="E832" s="7"/>
      <c r="F832" s="7"/>
      <c r="G832" s="7"/>
      <c r="H832" s="11"/>
      <c r="I832" s="11"/>
      <c r="J832" s="11"/>
      <c r="K832" s="11"/>
      <c r="L832" s="18" t="s">
        <v>696</v>
      </c>
      <c r="M832" s="22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47"/>
      <c r="Z832" s="47"/>
      <c r="AM832" s="185" t="e">
        <f>VLOOKUP(CLEAN(H832),#REF!,7,FALSE)</f>
        <v>#REF!</v>
      </c>
      <c r="AO832"/>
      <c r="AP832"/>
      <c r="AQ832"/>
      <c r="AR832" s="2" t="e">
        <f>VLOOKUP(CLEAN(H832),#REF!,2,FALSE)</f>
        <v>#REF!</v>
      </c>
      <c r="AZ832" s="2" t="e">
        <f>VLOOKUP(H832,#REF!,2,FALSE)</f>
        <v>#REF!</v>
      </c>
      <c r="BO832" s="2" t="e">
        <f>VLOOKUP(H832,#REF!,13,FALSE)</f>
        <v>#REF!</v>
      </c>
      <c r="BQ832" s="2" t="e">
        <f>VLOOKUP(H832,#REF!,13,FALSE)</f>
        <v>#REF!</v>
      </c>
    </row>
    <row r="833" spans="1:70" s="2" customFormat="1" ht="15" customHeight="1" outlineLevel="2">
      <c r="A833" s="5">
        <v>31</v>
      </c>
      <c r="B833" s="5" t="s">
        <v>11</v>
      </c>
      <c r="C833" s="5" t="s">
        <v>251</v>
      </c>
      <c r="D833" s="5" t="s">
        <v>43</v>
      </c>
      <c r="E833" s="5" t="s">
        <v>45</v>
      </c>
      <c r="F833" s="5" t="s">
        <v>457</v>
      </c>
      <c r="G833" s="5" t="s">
        <v>144</v>
      </c>
      <c r="H833" s="12">
        <v>30341678</v>
      </c>
      <c r="I833" s="42" t="str">
        <f t="shared" ref="I833:I835" si="504">CONCATENATE(H833,"-",G833)</f>
        <v>30341678-EJECUCION</v>
      </c>
      <c r="J833" s="12"/>
      <c r="K833" s="307" t="str">
        <f t="shared" ref="K833:K835" si="505">CLEAN(H833)</f>
        <v>30341678</v>
      </c>
      <c r="L833" s="15" t="s">
        <v>782</v>
      </c>
      <c r="M833" s="23">
        <v>126058000</v>
      </c>
      <c r="N833" s="34">
        <v>0</v>
      </c>
      <c r="O833" s="34">
        <v>6302900</v>
      </c>
      <c r="P833" s="310">
        <v>0</v>
      </c>
      <c r="Q833" s="34">
        <v>0</v>
      </c>
      <c r="R833" s="308">
        <v>0</v>
      </c>
      <c r="S833" s="34">
        <f t="shared" ref="S833:S835" si="506">P833+Q833+R833</f>
        <v>0</v>
      </c>
      <c r="T833" s="34">
        <v>0</v>
      </c>
      <c r="U833" s="34">
        <v>0</v>
      </c>
      <c r="V833" s="34">
        <f>P833+Q833+R833+T833+U833</f>
        <v>0</v>
      </c>
      <c r="W833" s="34">
        <f>O833-V833</f>
        <v>6302900</v>
      </c>
      <c r="X833" s="34">
        <f>M833-(N833+O833)</f>
        <v>119755100</v>
      </c>
      <c r="Y833" s="48" t="s">
        <v>420</v>
      </c>
      <c r="Z833" s="48" t="s">
        <v>8</v>
      </c>
      <c r="AA833" s="2" t="e">
        <v>#N/A</v>
      </c>
      <c r="AB833" s="2" t="e">
        <f>VLOOKUP(H833,#REF!,2,FALSE)</f>
        <v>#REF!</v>
      </c>
      <c r="AC833" s="2" t="e">
        <f>VLOOKUP(I833,#REF!,2,FALSE)</f>
        <v>#REF!</v>
      </c>
      <c r="AD833" s="2" t="e">
        <f>VLOOKUP(H833,#REF!,13,FALSE)</f>
        <v>#REF!</v>
      </c>
      <c r="AE833" s="2" t="e">
        <f>VLOOKUP(I833,#REF!,7,FALSE)</f>
        <v>#REF!</v>
      </c>
      <c r="AG833" s="2" t="e">
        <f>VLOOKUP(H833,#REF!,13,FALSE)</f>
        <v>#REF!</v>
      </c>
      <c r="AH833" s="2" t="e">
        <f>VLOOKUP(I833,#REF!,2,FALSE)</f>
        <v>#REF!</v>
      </c>
      <c r="AJ833" s="185" t="e">
        <f>VLOOKUP(H833,#REF!,3,FALSE)</f>
        <v>#REF!</v>
      </c>
      <c r="AK833" s="185"/>
      <c r="AL833" s="185" t="e">
        <f>VLOOKUP(H833,#REF!,13,FALSE)</f>
        <v>#REF!</v>
      </c>
      <c r="AM833" s="185" t="e">
        <f>VLOOKUP(CLEAN(H833),#REF!,7,FALSE)</f>
        <v>#REF!</v>
      </c>
      <c r="AN833" s="2" t="e">
        <f>VLOOKUP(H833,#REF!,8,FALSE)</f>
        <v>#REF!</v>
      </c>
      <c r="AO833" s="189" t="e">
        <f>VLOOKUP(H833,#REF!,2,FALSE)</f>
        <v>#REF!</v>
      </c>
      <c r="AP833" s="189" t="e">
        <f>VLOOKUP(H833,#REF!,2,FALSE)</f>
        <v>#REF!</v>
      </c>
      <c r="AQ833" s="189"/>
      <c r="AR833" s="2" t="e">
        <f>VLOOKUP(CLEAN(H833),#REF!,2,FALSE)</f>
        <v>#REF!</v>
      </c>
      <c r="AT833" s="2" t="e">
        <f>VLOOKUP(H833,#REF!,13,FALSE)</f>
        <v>#REF!</v>
      </c>
      <c r="AU833" s="2" t="e">
        <f>VLOOKUP(H833,#REF!,13,FALSE)</f>
        <v>#REF!</v>
      </c>
      <c r="AV833" s="2" t="e">
        <f>VLOOKUP(H833,#REF!,13,FALSE)</f>
        <v>#REF!</v>
      </c>
      <c r="AW833" s="2" t="e">
        <f>VLOOKUP(H833,#REF!,13,FALSE)</f>
        <v>#REF!</v>
      </c>
      <c r="AX833" s="2" t="e">
        <f>VLOOKUP(H833,#REF!,9,FALSE)</f>
        <v>#REF!</v>
      </c>
      <c r="AZ833" s="2" t="e">
        <f>VLOOKUP(H833,#REF!,2,FALSE)</f>
        <v>#REF!</v>
      </c>
      <c r="BF833" s="189" t="e">
        <f>VLOOKUP(CLEAN(H833),#REF!,2,FALSE)</f>
        <v>#REF!</v>
      </c>
      <c r="BG833" s="189" t="e">
        <f>T833-BF833</f>
        <v>#REF!</v>
      </c>
      <c r="BO833" s="2" t="e">
        <f>VLOOKUP(H833,#REF!,13,FALSE)</f>
        <v>#REF!</v>
      </c>
      <c r="BP833" s="2" t="e">
        <f>VLOOKUP(H833,#REF!,2,FALSE)</f>
        <v>#REF!</v>
      </c>
      <c r="BQ833" s="2" t="e">
        <f>VLOOKUP(H833,#REF!,13,FALSE)</f>
        <v>#REF!</v>
      </c>
      <c r="BR833" s="2" t="e">
        <f>VLOOKUP(H833,#REF!,3,FALSE)</f>
        <v>#REF!</v>
      </c>
    </row>
    <row r="834" spans="1:70" s="2" customFormat="1" ht="15" customHeight="1" outlineLevel="2">
      <c r="A834" s="5">
        <v>31</v>
      </c>
      <c r="B834" s="5" t="s">
        <v>11</v>
      </c>
      <c r="C834" s="5" t="s">
        <v>251</v>
      </c>
      <c r="D834" s="5" t="s">
        <v>43</v>
      </c>
      <c r="E834" s="5" t="s">
        <v>45</v>
      </c>
      <c r="F834" s="5" t="s">
        <v>457</v>
      </c>
      <c r="G834" s="5" t="s">
        <v>144</v>
      </c>
      <c r="H834" s="12">
        <v>30341783</v>
      </c>
      <c r="I834" s="42" t="str">
        <f t="shared" si="504"/>
        <v>30341783-EJECUCION</v>
      </c>
      <c r="J834" s="12"/>
      <c r="K834" s="307" t="str">
        <f t="shared" si="505"/>
        <v>30341783</v>
      </c>
      <c r="L834" s="15" t="s">
        <v>517</v>
      </c>
      <c r="M834" s="23">
        <v>180000000</v>
      </c>
      <c r="N834" s="34">
        <v>0</v>
      </c>
      <c r="O834" s="34">
        <f>10000000-3395034</f>
        <v>6604966</v>
      </c>
      <c r="P834" s="310">
        <v>0</v>
      </c>
      <c r="Q834" s="34">
        <v>0</v>
      </c>
      <c r="R834" s="308">
        <v>0</v>
      </c>
      <c r="S834" s="34">
        <f t="shared" si="506"/>
        <v>0</v>
      </c>
      <c r="T834" s="34">
        <v>0</v>
      </c>
      <c r="U834" s="34">
        <v>0</v>
      </c>
      <c r="V834" s="34">
        <f>P834+Q834+R834+T834+U834</f>
        <v>0</v>
      </c>
      <c r="W834" s="34">
        <f>O834-V834</f>
        <v>6604966</v>
      </c>
      <c r="X834" s="34">
        <f>M834-(N834+O834)</f>
        <v>173395034</v>
      </c>
      <c r="Y834" s="6" t="s">
        <v>246</v>
      </c>
      <c r="Z834" s="5" t="s">
        <v>357</v>
      </c>
      <c r="AA834" s="2" t="e">
        <v>#N/A</v>
      </c>
      <c r="AB834" s="2" t="e">
        <f>VLOOKUP(H834,#REF!,2,FALSE)</f>
        <v>#REF!</v>
      </c>
      <c r="AC834" s="2" t="e">
        <f>VLOOKUP(I834,#REF!,2,FALSE)</f>
        <v>#REF!</v>
      </c>
      <c r="AD834" s="2" t="e">
        <f>VLOOKUP(H834,#REF!,13,FALSE)</f>
        <v>#REF!</v>
      </c>
      <c r="AE834" s="2" t="e">
        <f>VLOOKUP(I834,#REF!,7,FALSE)</f>
        <v>#REF!</v>
      </c>
      <c r="AG834" s="2" t="e">
        <f>VLOOKUP(H834,#REF!,13,FALSE)</f>
        <v>#REF!</v>
      </c>
      <c r="AH834" s="2" t="e">
        <f>VLOOKUP(I834,#REF!,2,FALSE)</f>
        <v>#REF!</v>
      </c>
      <c r="AJ834" s="185" t="e">
        <f>VLOOKUP(H834,#REF!,3,FALSE)</f>
        <v>#REF!</v>
      </c>
      <c r="AK834" s="185"/>
      <c r="AL834" s="185" t="e">
        <f>VLOOKUP(H834,#REF!,13,FALSE)</f>
        <v>#REF!</v>
      </c>
      <c r="AM834" s="185" t="e">
        <f>VLOOKUP(CLEAN(H834),#REF!,7,FALSE)</f>
        <v>#REF!</v>
      </c>
      <c r="AN834" s="2" t="e">
        <f>VLOOKUP(H834,#REF!,8,FALSE)</f>
        <v>#REF!</v>
      </c>
      <c r="AO834" s="189" t="e">
        <f>VLOOKUP(H834,#REF!,2,FALSE)</f>
        <v>#REF!</v>
      </c>
      <c r="AP834" s="189" t="e">
        <f>VLOOKUP(H834,#REF!,2,FALSE)</f>
        <v>#REF!</v>
      </c>
      <c r="AQ834" s="189"/>
      <c r="AR834" s="2" t="e">
        <f>VLOOKUP(CLEAN(H834),#REF!,2,FALSE)</f>
        <v>#REF!</v>
      </c>
      <c r="AT834" s="2" t="e">
        <f>VLOOKUP(H834,#REF!,13,FALSE)</f>
        <v>#REF!</v>
      </c>
      <c r="AU834" s="2" t="e">
        <f>VLOOKUP(H834,#REF!,13,FALSE)</f>
        <v>#REF!</v>
      </c>
      <c r="AV834" s="2" t="e">
        <f>VLOOKUP(H834,#REF!,13,FALSE)</f>
        <v>#REF!</v>
      </c>
      <c r="AW834" s="2" t="e">
        <f>VLOOKUP(H834,#REF!,13,FALSE)</f>
        <v>#REF!</v>
      </c>
      <c r="AX834" s="2" t="e">
        <f>VLOOKUP(H834,#REF!,9,FALSE)</f>
        <v>#REF!</v>
      </c>
      <c r="AZ834" s="2" t="e">
        <f>VLOOKUP(H834,#REF!,2,FALSE)</f>
        <v>#REF!</v>
      </c>
      <c r="BF834" s="189" t="e">
        <f>VLOOKUP(CLEAN(H834),#REF!,2,FALSE)</f>
        <v>#REF!</v>
      </c>
      <c r="BG834" s="189" t="e">
        <f>T834-BF834</f>
        <v>#REF!</v>
      </c>
      <c r="BO834" s="2" t="e">
        <f>VLOOKUP(H834,#REF!,13,FALSE)</f>
        <v>#REF!</v>
      </c>
      <c r="BP834" s="2" t="e">
        <f>VLOOKUP(H834,#REF!,2,FALSE)</f>
        <v>#REF!</v>
      </c>
      <c r="BQ834" s="2" t="e">
        <f>VLOOKUP(H834,#REF!,13,FALSE)</f>
        <v>#REF!</v>
      </c>
      <c r="BR834" s="2" t="e">
        <f>VLOOKUP(H834,#REF!,3,FALSE)</f>
        <v>#REF!</v>
      </c>
    </row>
    <row r="835" spans="1:70" s="2" customFormat="1" ht="15" customHeight="1" outlineLevel="2">
      <c r="A835" s="5">
        <v>31</v>
      </c>
      <c r="B835" s="5" t="s">
        <v>11</v>
      </c>
      <c r="C835" s="5" t="s">
        <v>251</v>
      </c>
      <c r="D835" s="5" t="s">
        <v>43</v>
      </c>
      <c r="E835" s="5" t="s">
        <v>45</v>
      </c>
      <c r="F835" s="5" t="s">
        <v>457</v>
      </c>
      <c r="G835" s="5" t="s">
        <v>9</v>
      </c>
      <c r="H835" s="12">
        <v>30341774</v>
      </c>
      <c r="I835" s="42" t="str">
        <f t="shared" si="504"/>
        <v>30341774-DISEÑO</v>
      </c>
      <c r="J835" s="12"/>
      <c r="K835" s="307" t="str">
        <f t="shared" si="505"/>
        <v>30341774</v>
      </c>
      <c r="L835" s="15" t="s">
        <v>506</v>
      </c>
      <c r="M835" s="23">
        <v>41500000</v>
      </c>
      <c r="N835" s="34">
        <v>0</v>
      </c>
      <c r="O835" s="34">
        <v>5000000</v>
      </c>
      <c r="P835" s="310">
        <v>0</v>
      </c>
      <c r="Q835" s="34">
        <v>0</v>
      </c>
      <c r="R835" s="308">
        <v>0</v>
      </c>
      <c r="S835" s="34">
        <f t="shared" si="506"/>
        <v>0</v>
      </c>
      <c r="T835" s="34">
        <v>0</v>
      </c>
      <c r="U835" s="34">
        <v>0</v>
      </c>
      <c r="V835" s="34">
        <f>P835+Q835+R835+T835+U835</f>
        <v>0</v>
      </c>
      <c r="W835" s="34">
        <f>O835-V835</f>
        <v>5000000</v>
      </c>
      <c r="X835" s="34">
        <f>M835-(N835+O835)</f>
        <v>36500000</v>
      </c>
      <c r="Y835" s="48" t="s">
        <v>246</v>
      </c>
      <c r="Z835" s="48" t="s">
        <v>270</v>
      </c>
      <c r="AA835" s="2" t="e">
        <v>#N/A</v>
      </c>
      <c r="AB835" s="2" t="e">
        <f>VLOOKUP(H835,#REF!,2,FALSE)</f>
        <v>#REF!</v>
      </c>
      <c r="AC835" s="2" t="e">
        <f>VLOOKUP(I835,#REF!,2,FALSE)</f>
        <v>#REF!</v>
      </c>
      <c r="AD835" s="2" t="e">
        <f>VLOOKUP(H835,#REF!,13,FALSE)</f>
        <v>#REF!</v>
      </c>
      <c r="AE835" s="2" t="e">
        <f>VLOOKUP(I835,#REF!,7,FALSE)</f>
        <v>#REF!</v>
      </c>
      <c r="AG835" s="2" t="e">
        <f>VLOOKUP(H835,#REF!,13,FALSE)</f>
        <v>#REF!</v>
      </c>
      <c r="AH835" s="2" t="e">
        <f>VLOOKUP(I835,#REF!,2,FALSE)</f>
        <v>#REF!</v>
      </c>
      <c r="AJ835" s="185" t="e">
        <f>VLOOKUP(H835,#REF!,3,FALSE)</f>
        <v>#REF!</v>
      </c>
      <c r="AK835" s="185"/>
      <c r="AL835" s="185" t="e">
        <f>VLOOKUP(H835,#REF!,13,FALSE)</f>
        <v>#REF!</v>
      </c>
      <c r="AM835" s="185" t="e">
        <f>VLOOKUP(CLEAN(H835),#REF!,7,FALSE)</f>
        <v>#REF!</v>
      </c>
      <c r="AN835" s="2" t="e">
        <f>VLOOKUP(H835,#REF!,8,FALSE)</f>
        <v>#REF!</v>
      </c>
      <c r="AO835" s="189" t="e">
        <f>VLOOKUP(H835,#REF!,2,FALSE)</f>
        <v>#REF!</v>
      </c>
      <c r="AP835" s="189" t="e">
        <f>VLOOKUP(H835,#REF!,2,FALSE)</f>
        <v>#REF!</v>
      </c>
      <c r="AQ835" s="189"/>
      <c r="AR835" s="2" t="e">
        <f>VLOOKUP(CLEAN(H835),#REF!,2,FALSE)</f>
        <v>#REF!</v>
      </c>
      <c r="AT835" s="2" t="e">
        <f>VLOOKUP(H835,#REF!,13,FALSE)</f>
        <v>#REF!</v>
      </c>
      <c r="AU835" s="2" t="e">
        <f>VLOOKUP(H835,#REF!,13,FALSE)</f>
        <v>#REF!</v>
      </c>
      <c r="AV835" s="2" t="e">
        <f>VLOOKUP(H835,#REF!,13,FALSE)</f>
        <v>#REF!</v>
      </c>
      <c r="AW835" s="2" t="e">
        <f>VLOOKUP(H835,#REF!,13,FALSE)</f>
        <v>#REF!</v>
      </c>
      <c r="AX835" s="2" t="e">
        <f>VLOOKUP(H835,#REF!,9,FALSE)</f>
        <v>#REF!</v>
      </c>
      <c r="AZ835" s="2" t="e">
        <f>VLOOKUP(H835,#REF!,2,FALSE)</f>
        <v>#REF!</v>
      </c>
      <c r="BF835" s="189" t="e">
        <f>VLOOKUP(CLEAN(H835),#REF!,2,FALSE)</f>
        <v>#REF!</v>
      </c>
      <c r="BG835" s="189" t="e">
        <f>T835-BF835</f>
        <v>#REF!</v>
      </c>
      <c r="BO835" s="2" t="e">
        <f>VLOOKUP(H835,#REF!,13,FALSE)</f>
        <v>#REF!</v>
      </c>
      <c r="BP835" s="2" t="e">
        <f>VLOOKUP(H835,#REF!,2,FALSE)</f>
        <v>#REF!</v>
      </c>
      <c r="BQ835" s="2" t="e">
        <f>VLOOKUP(H835,#REF!,13,FALSE)</f>
        <v>#REF!</v>
      </c>
      <c r="BR835" s="2" t="e">
        <f>VLOOKUP(H835,#REF!,3,FALSE)</f>
        <v>#REF!</v>
      </c>
    </row>
    <row r="836" spans="1:70" ht="15" customHeight="1" outlineLevel="2">
      <c r="A836" s="7"/>
      <c r="B836" s="7"/>
      <c r="C836" s="7"/>
      <c r="D836" s="7"/>
      <c r="E836" s="7"/>
      <c r="F836" s="7"/>
      <c r="G836" s="7"/>
      <c r="H836" s="11"/>
      <c r="I836" s="11"/>
      <c r="J836" s="11"/>
      <c r="K836" s="11"/>
      <c r="L836" s="17" t="s">
        <v>693</v>
      </c>
      <c r="M836" s="27">
        <f t="shared" ref="M836:X836" si="507">SUBTOTAL(9,M833:M835)</f>
        <v>347558000</v>
      </c>
      <c r="N836" s="27">
        <f t="shared" si="507"/>
        <v>0</v>
      </c>
      <c r="O836" s="27">
        <f t="shared" si="507"/>
        <v>17907866</v>
      </c>
      <c r="P836" s="24">
        <f t="shared" si="507"/>
        <v>0</v>
      </c>
      <c r="Q836" s="24">
        <f t="shared" si="507"/>
        <v>0</v>
      </c>
      <c r="R836" s="24">
        <f t="shared" si="507"/>
        <v>0</v>
      </c>
      <c r="S836" s="27">
        <f t="shared" si="507"/>
        <v>0</v>
      </c>
      <c r="T836" s="27">
        <f t="shared" si="507"/>
        <v>0</v>
      </c>
      <c r="U836" s="27">
        <f t="shared" si="507"/>
        <v>0</v>
      </c>
      <c r="V836" s="27">
        <f t="shared" si="507"/>
        <v>0</v>
      </c>
      <c r="W836" s="27">
        <f t="shared" si="507"/>
        <v>17907866</v>
      </c>
      <c r="X836" s="27">
        <f t="shared" si="507"/>
        <v>329650134</v>
      </c>
      <c r="Y836" s="47"/>
      <c r="Z836" s="47"/>
      <c r="AM836" s="185" t="e">
        <f>VLOOKUP(CLEAN(H836),#REF!,7,FALSE)</f>
        <v>#REF!</v>
      </c>
      <c r="AO836"/>
      <c r="AP836"/>
      <c r="AQ836"/>
      <c r="AR836" s="2" t="e">
        <f>VLOOKUP(CLEAN(H836),#REF!,2,FALSE)</f>
        <v>#REF!</v>
      </c>
      <c r="AZ836" s="2" t="e">
        <f>VLOOKUP(H836,#REF!,2,FALSE)</f>
        <v>#REF!</v>
      </c>
      <c r="BO836" s="2" t="e">
        <f>VLOOKUP(H836,#REF!,13,FALSE)</f>
        <v>#REF!</v>
      </c>
      <c r="BQ836" s="2" t="e">
        <f>VLOOKUP(H836,#REF!,13,FALSE)</f>
        <v>#REF!</v>
      </c>
    </row>
    <row r="837" spans="1:70" ht="15" customHeight="1" outlineLevel="2">
      <c r="A837" s="7"/>
      <c r="B837" s="7"/>
      <c r="C837" s="7"/>
      <c r="D837" s="7"/>
      <c r="E837" s="7"/>
      <c r="F837" s="7"/>
      <c r="G837" s="7"/>
      <c r="H837" s="11"/>
      <c r="I837" s="11"/>
      <c r="J837" s="11"/>
      <c r="K837" s="11"/>
      <c r="L837" s="292"/>
      <c r="M837" s="22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47"/>
      <c r="Z837" s="47"/>
      <c r="AM837" s="185" t="e">
        <f>VLOOKUP(CLEAN(H837),#REF!,7,FALSE)</f>
        <v>#REF!</v>
      </c>
      <c r="AO837"/>
      <c r="AP837"/>
      <c r="AQ837"/>
      <c r="AR837" s="2" t="e">
        <f>VLOOKUP(CLEAN(H837),#REF!,2,FALSE)</f>
        <v>#REF!</v>
      </c>
      <c r="AZ837" s="2" t="e">
        <f>VLOOKUP(H837,#REF!,2,FALSE)</f>
        <v>#REF!</v>
      </c>
      <c r="BO837" s="2" t="e">
        <f>VLOOKUP(H837,#REF!,13,FALSE)</f>
        <v>#REF!</v>
      </c>
      <c r="BP837" s="293"/>
      <c r="BQ837" s="2" t="e">
        <f>VLOOKUP(H837,#REF!,13,FALSE)</f>
        <v>#REF!</v>
      </c>
    </row>
    <row r="838" spans="1:70" ht="18.75" customHeight="1" outlineLevel="1">
      <c r="A838" s="7"/>
      <c r="B838" s="7"/>
      <c r="C838" s="7"/>
      <c r="D838" s="7"/>
      <c r="E838" s="8"/>
      <c r="F838" s="7"/>
      <c r="G838" s="7"/>
      <c r="H838" s="11"/>
      <c r="I838" s="11"/>
      <c r="J838" s="11"/>
      <c r="K838" s="11"/>
      <c r="L838" s="45" t="s">
        <v>174</v>
      </c>
      <c r="M838" s="46">
        <f t="shared" ref="M838:X838" si="508">M836+M820+M825+M830</f>
        <v>10699375718</v>
      </c>
      <c r="N838" s="46">
        <f t="shared" si="508"/>
        <v>1324652977</v>
      </c>
      <c r="O838" s="46">
        <f t="shared" si="508"/>
        <v>3591587911</v>
      </c>
      <c r="P838" s="46">
        <f t="shared" si="508"/>
        <v>0</v>
      </c>
      <c r="Q838" s="46">
        <f t="shared" si="508"/>
        <v>717733008</v>
      </c>
      <c r="R838" s="46">
        <f t="shared" si="508"/>
        <v>364258327</v>
      </c>
      <c r="S838" s="46">
        <f t="shared" si="508"/>
        <v>1081991335</v>
      </c>
      <c r="T838" s="46">
        <f t="shared" si="508"/>
        <v>496648192</v>
      </c>
      <c r="U838" s="46">
        <f t="shared" si="508"/>
        <v>543891790</v>
      </c>
      <c r="V838" s="46">
        <f t="shared" si="508"/>
        <v>2122531317</v>
      </c>
      <c r="W838" s="46">
        <f t="shared" si="508"/>
        <v>1469056594</v>
      </c>
      <c r="X838" s="46">
        <f t="shared" si="508"/>
        <v>5783134830</v>
      </c>
      <c r="Y838" s="47"/>
      <c r="Z838" s="47"/>
      <c r="AM838" s="185" t="e">
        <f>VLOOKUP(CLEAN(H838),#REF!,7,FALSE)</f>
        <v>#REF!</v>
      </c>
      <c r="AO838"/>
      <c r="AP838"/>
      <c r="AQ838"/>
      <c r="AR838" s="2" t="e">
        <f>VLOOKUP(CLEAN(H838),#REF!,2,FALSE)</f>
        <v>#REF!</v>
      </c>
      <c r="AZ838" s="2" t="e">
        <f>VLOOKUP(H838,#REF!,2,FALSE)</f>
        <v>#REF!</v>
      </c>
      <c r="BO838" s="2" t="e">
        <f>VLOOKUP(H838,#REF!,13,FALSE)</f>
        <v>#REF!</v>
      </c>
      <c r="BQ838" s="2" t="e">
        <f>VLOOKUP(H838,#REF!,13,FALSE)</f>
        <v>#REF!</v>
      </c>
    </row>
    <row r="839" spans="1:70" s="3" customFormat="1" ht="15" customHeight="1" outlineLevel="1">
      <c r="A839" s="7"/>
      <c r="B839" s="7"/>
      <c r="C839" s="7"/>
      <c r="D839" s="7"/>
      <c r="E839" s="8"/>
      <c r="F839" s="7"/>
      <c r="G839" s="7"/>
      <c r="H839" s="11"/>
      <c r="I839" s="11"/>
      <c r="J839" s="11"/>
      <c r="K839" s="11"/>
      <c r="L839" s="294"/>
      <c r="M839" s="26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47"/>
      <c r="Z839" s="47"/>
      <c r="AJ839" s="186"/>
      <c r="AK839" s="186"/>
      <c r="AL839" s="186"/>
      <c r="AM839" s="185" t="e">
        <f>VLOOKUP(CLEAN(H839),#REF!,7,FALSE)</f>
        <v>#REF!</v>
      </c>
      <c r="AR839" s="2" t="e">
        <f>VLOOKUP(CLEAN(H839),#REF!,2,FALSE)</f>
        <v>#REF!</v>
      </c>
      <c r="AZ839" s="2" t="e">
        <f>VLOOKUP(H839,#REF!,2,FALSE)</f>
        <v>#REF!</v>
      </c>
      <c r="BF839" s="193"/>
      <c r="BO839" s="2" t="e">
        <f>VLOOKUP(H839,#REF!,13,FALSE)</f>
        <v>#REF!</v>
      </c>
      <c r="BP839" s="7"/>
      <c r="BQ839" s="2" t="e">
        <f>VLOOKUP(H839,#REF!,13,FALSE)</f>
        <v>#REF!</v>
      </c>
    </row>
    <row r="840" spans="1:70" ht="26.25" customHeight="1" outlineLevel="1">
      <c r="A840" s="7"/>
      <c r="B840" s="7"/>
      <c r="C840" s="7"/>
      <c r="D840" s="7"/>
      <c r="E840" s="8"/>
      <c r="F840" s="7"/>
      <c r="G840" s="7"/>
      <c r="H840" s="11"/>
      <c r="I840" s="11"/>
      <c r="J840" s="11"/>
      <c r="K840" s="11"/>
      <c r="L840" s="57" t="s">
        <v>210</v>
      </c>
      <c r="M840" s="26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47"/>
      <c r="Z840" s="47"/>
      <c r="AM840" s="185" t="e">
        <f>VLOOKUP(CLEAN(H840),#REF!,7,FALSE)</f>
        <v>#REF!</v>
      </c>
      <c r="AO840"/>
      <c r="AP840"/>
      <c r="AQ840"/>
      <c r="AR840" s="2" t="e">
        <f>VLOOKUP(CLEAN(H840),#REF!,2,FALSE)</f>
        <v>#REF!</v>
      </c>
      <c r="AZ840" s="2" t="e">
        <f>VLOOKUP(H840,#REF!,2,FALSE)</f>
        <v>#REF!</v>
      </c>
      <c r="BO840" s="2" t="e">
        <f>VLOOKUP(H840,#REF!,13,FALSE)</f>
        <v>#REF!</v>
      </c>
      <c r="BQ840" s="2" t="e">
        <f>VLOOKUP(H840,#REF!,13,FALSE)</f>
        <v>#REF!</v>
      </c>
    </row>
    <row r="841" spans="1:70" ht="15" customHeight="1" outlineLevel="2">
      <c r="A841" s="7"/>
      <c r="B841" s="7"/>
      <c r="C841" s="7"/>
      <c r="D841" s="7"/>
      <c r="E841" s="7"/>
      <c r="F841" s="7"/>
      <c r="G841" s="7"/>
      <c r="H841" s="11"/>
      <c r="I841" s="11"/>
      <c r="J841" s="11"/>
      <c r="K841" s="11"/>
      <c r="L841" s="18" t="s">
        <v>695</v>
      </c>
      <c r="M841" s="22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47"/>
      <c r="Z841" s="47"/>
      <c r="AM841" s="185" t="e">
        <f>VLOOKUP(CLEAN(H841),#REF!,7,FALSE)</f>
        <v>#REF!</v>
      </c>
      <c r="AO841"/>
      <c r="AP841"/>
      <c r="AQ841"/>
      <c r="AR841" s="2" t="e">
        <f>VLOOKUP(CLEAN(H841),#REF!,2,FALSE)</f>
        <v>#REF!</v>
      </c>
      <c r="AZ841" s="2" t="e">
        <f>VLOOKUP(H841,#REF!,2,FALSE)</f>
        <v>#REF!</v>
      </c>
      <c r="BO841" s="2" t="e">
        <f>VLOOKUP(H841,#REF!,13,FALSE)</f>
        <v>#REF!</v>
      </c>
      <c r="BQ841" s="2" t="e">
        <f>VLOOKUP(H841,#REF!,13,FALSE)</f>
        <v>#REF!</v>
      </c>
    </row>
    <row r="842" spans="1:70" s="2" customFormat="1" ht="15" customHeight="1" outlineLevel="2">
      <c r="A842" s="5">
        <v>31</v>
      </c>
      <c r="B842" s="5" t="s">
        <v>54</v>
      </c>
      <c r="C842" s="5" t="s">
        <v>238</v>
      </c>
      <c r="D842" s="5" t="s">
        <v>43</v>
      </c>
      <c r="E842" s="5" t="s">
        <v>46</v>
      </c>
      <c r="F842" s="5" t="s">
        <v>6</v>
      </c>
      <c r="G842" s="5" t="s">
        <v>144</v>
      </c>
      <c r="H842" s="12">
        <v>30277425</v>
      </c>
      <c r="I842" s="311" t="str">
        <f t="shared" ref="I842:I843" si="509">CONCATENATE(H842,"-",G842)</f>
        <v>30277425-EJECUCION</v>
      </c>
      <c r="J842" s="190"/>
      <c r="K842" s="309" t="str">
        <f t="shared" ref="K842:K843" si="510">CLEAN(H842)</f>
        <v>30277425</v>
      </c>
      <c r="L842" s="15" t="s">
        <v>295</v>
      </c>
      <c r="M842" s="23">
        <v>231911000</v>
      </c>
      <c r="N842" s="34">
        <v>0</v>
      </c>
      <c r="O842" s="34">
        <v>93135437</v>
      </c>
      <c r="P842" s="310">
        <v>0</v>
      </c>
      <c r="Q842" s="34">
        <v>0</v>
      </c>
      <c r="R842" s="308">
        <v>3970778</v>
      </c>
      <c r="S842" s="34">
        <f t="shared" ref="S842:S843" si="511">P842+Q842+R842</f>
        <v>3970778</v>
      </c>
      <c r="T842" s="34">
        <v>33602786</v>
      </c>
      <c r="U842" s="34">
        <v>23322984</v>
      </c>
      <c r="V842" s="34">
        <f>P842+Q842+R842+T842+U842</f>
        <v>60896548</v>
      </c>
      <c r="W842" s="34">
        <f>O842-V842</f>
        <v>32238889</v>
      </c>
      <c r="X842" s="34">
        <f>M842-(N842+O842)</f>
        <v>138775563</v>
      </c>
      <c r="Y842" s="48" t="s">
        <v>239</v>
      </c>
      <c r="Z842" s="48" t="s">
        <v>10</v>
      </c>
      <c r="AA842" s="2" t="s">
        <v>842</v>
      </c>
      <c r="AB842" s="2" t="e">
        <f>VLOOKUP(H842,#REF!,2,FALSE)</f>
        <v>#REF!</v>
      </c>
      <c r="AC842" s="2" t="e">
        <f>VLOOKUP(I842,#REF!,2,FALSE)</f>
        <v>#REF!</v>
      </c>
      <c r="AD842" s="2" t="e">
        <f>VLOOKUP(H842,#REF!,13,FALSE)</f>
        <v>#REF!</v>
      </c>
      <c r="AE842" s="2" t="e">
        <f>VLOOKUP(I842,#REF!,7,FALSE)</f>
        <v>#REF!</v>
      </c>
      <c r="AG842" s="2" t="e">
        <f>VLOOKUP(H842,#REF!,13,FALSE)</f>
        <v>#REF!</v>
      </c>
      <c r="AH842" s="2" t="e">
        <f>VLOOKUP(I842,#REF!,2,FALSE)</f>
        <v>#REF!</v>
      </c>
      <c r="AI842" s="2" t="s">
        <v>678</v>
      </c>
      <c r="AJ842" s="185" t="e">
        <f>VLOOKUP(H842,#REF!,3,FALSE)</f>
        <v>#REF!</v>
      </c>
      <c r="AK842" s="185"/>
      <c r="AL842" s="185" t="e">
        <f>VLOOKUP(H842,#REF!,13,FALSE)</f>
        <v>#REF!</v>
      </c>
      <c r="AM842" s="185" t="e">
        <f>VLOOKUP(CLEAN(H842),#REF!,7,FALSE)</f>
        <v>#REF!</v>
      </c>
      <c r="AN842" s="2" t="e">
        <f>VLOOKUP(H842,#REF!,8,FALSE)</f>
        <v>#REF!</v>
      </c>
      <c r="AO842" s="189" t="e">
        <f>VLOOKUP(H842,#REF!,2,FALSE)</f>
        <v>#REF!</v>
      </c>
      <c r="AP842" s="189" t="e">
        <f>VLOOKUP(H842,#REF!,2,FALSE)</f>
        <v>#REF!</v>
      </c>
      <c r="AQ842" s="189" t="e">
        <f t="shared" ref="AQ842:AQ843" si="512">AO842-AP842</f>
        <v>#REF!</v>
      </c>
      <c r="AR842" s="189" t="e">
        <f>VLOOKUP(CLEAN(H842),#REF!,2,FALSE)</f>
        <v>#REF!</v>
      </c>
      <c r="AS842" s="189" t="e">
        <f>T842-AR842</f>
        <v>#REF!</v>
      </c>
      <c r="AT842" s="2" t="e">
        <f>VLOOKUP(H842,#REF!,13,FALSE)</f>
        <v>#REF!</v>
      </c>
      <c r="AU842" s="2" t="e">
        <f>VLOOKUP(H842,#REF!,13,FALSE)</f>
        <v>#REF!</v>
      </c>
      <c r="AV842" s="2" t="e">
        <f>VLOOKUP(H842,#REF!,13,FALSE)</f>
        <v>#REF!</v>
      </c>
      <c r="AW842" s="2" t="e">
        <f>VLOOKUP(H842,#REF!,13,FALSE)</f>
        <v>#REF!</v>
      </c>
      <c r="AX842" s="2" t="e">
        <f>VLOOKUP(H842,#REF!,9,FALSE)</f>
        <v>#REF!</v>
      </c>
      <c r="AZ842" s="189" t="e">
        <f>VLOOKUP(H842,#REF!,2,FALSE)</f>
        <v>#REF!</v>
      </c>
      <c r="BF842" s="189" t="e">
        <f>VLOOKUP(CLEAN(H842),#REF!,2,FALSE)</f>
        <v>#REF!</v>
      </c>
      <c r="BG842" s="189" t="e">
        <f>T842-BF842</f>
        <v>#REF!</v>
      </c>
      <c r="BO842" s="2" t="e">
        <f>VLOOKUP(H842,#REF!,13,FALSE)</f>
        <v>#REF!</v>
      </c>
      <c r="BP842" s="2" t="e">
        <f>VLOOKUP(H842,#REF!,2,FALSE)</f>
        <v>#REF!</v>
      </c>
      <c r="BQ842" s="2" t="e">
        <f>VLOOKUP(H842,#REF!,13,FALSE)</f>
        <v>#REF!</v>
      </c>
      <c r="BR842" s="2" t="e">
        <f>VLOOKUP(H842,#REF!,3,FALSE)</f>
        <v>#REF!</v>
      </c>
    </row>
    <row r="843" spans="1:70" s="2" customFormat="1" ht="15" customHeight="1" outlineLevel="2">
      <c r="A843" s="5">
        <v>31</v>
      </c>
      <c r="B843" s="5" t="s">
        <v>54</v>
      </c>
      <c r="C843" s="5" t="s">
        <v>240</v>
      </c>
      <c r="D843" s="5" t="s">
        <v>43</v>
      </c>
      <c r="E843" s="5" t="s">
        <v>46</v>
      </c>
      <c r="F843" s="5" t="s">
        <v>457</v>
      </c>
      <c r="G843" s="5" t="s">
        <v>144</v>
      </c>
      <c r="H843" s="12">
        <v>30455973</v>
      </c>
      <c r="I843" s="311" t="str">
        <f t="shared" si="509"/>
        <v>30455973-EJECUCION</v>
      </c>
      <c r="J843" s="190"/>
      <c r="K843" s="309" t="str">
        <f t="shared" si="510"/>
        <v>30455973</v>
      </c>
      <c r="L843" s="15" t="s">
        <v>297</v>
      </c>
      <c r="M843" s="23">
        <v>95090000</v>
      </c>
      <c r="N843" s="34">
        <v>0</v>
      </c>
      <c r="O843" s="34">
        <v>75056375</v>
      </c>
      <c r="P843" s="310">
        <v>0</v>
      </c>
      <c r="Q843" s="34">
        <v>0</v>
      </c>
      <c r="R843" s="308">
        <v>0</v>
      </c>
      <c r="S843" s="34">
        <f t="shared" si="511"/>
        <v>0</v>
      </c>
      <c r="T843" s="34">
        <v>24635975</v>
      </c>
      <c r="U843" s="34">
        <v>20420400</v>
      </c>
      <c r="V843" s="34">
        <f>P843+Q843+R843+T843+U843</f>
        <v>45056375</v>
      </c>
      <c r="W843" s="34">
        <f>O843-V843</f>
        <v>30000000</v>
      </c>
      <c r="X843" s="34">
        <f>M843-(N843+O843)</f>
        <v>20033625</v>
      </c>
      <c r="Y843" s="48" t="s">
        <v>239</v>
      </c>
      <c r="Z843" s="48" t="s">
        <v>8</v>
      </c>
      <c r="AA843" s="2" t="s">
        <v>842</v>
      </c>
      <c r="AB843" s="2" t="e">
        <f>VLOOKUP(H843,#REF!,2,FALSE)</f>
        <v>#REF!</v>
      </c>
      <c r="AC843" s="2" t="e">
        <f>VLOOKUP(I843,#REF!,2,FALSE)</f>
        <v>#REF!</v>
      </c>
      <c r="AD843" s="2" t="e">
        <f>VLOOKUP(H843,#REF!,13,FALSE)</f>
        <v>#REF!</v>
      </c>
      <c r="AE843" s="2" t="e">
        <f>VLOOKUP(I843,#REF!,7,FALSE)</f>
        <v>#REF!</v>
      </c>
      <c r="AG843" s="2" t="e">
        <f>VLOOKUP(H843,#REF!,13,FALSE)</f>
        <v>#REF!</v>
      </c>
      <c r="AH843" s="2" t="e">
        <f>VLOOKUP(I843,#REF!,2,FALSE)</f>
        <v>#REF!</v>
      </c>
      <c r="AJ843" s="185" t="e">
        <f>VLOOKUP(H843,#REF!,3,FALSE)</f>
        <v>#REF!</v>
      </c>
      <c r="AK843" s="185"/>
      <c r="AL843" s="185" t="e">
        <f>VLOOKUP(H843,#REF!,13,FALSE)</f>
        <v>#REF!</v>
      </c>
      <c r="AM843" s="185" t="e">
        <f>VLOOKUP(CLEAN(H843),#REF!,7,FALSE)</f>
        <v>#REF!</v>
      </c>
      <c r="AN843" s="2" t="e">
        <f>VLOOKUP(H843,#REF!,8,FALSE)</f>
        <v>#REF!</v>
      </c>
      <c r="AO843" s="189" t="e">
        <f>VLOOKUP(H843,#REF!,2,FALSE)</f>
        <v>#REF!</v>
      </c>
      <c r="AP843" s="189" t="e">
        <f>VLOOKUP(H843,#REF!,2,FALSE)</f>
        <v>#REF!</v>
      </c>
      <c r="AQ843" s="189" t="e">
        <f t="shared" si="512"/>
        <v>#REF!</v>
      </c>
      <c r="AR843" s="2" t="e">
        <f>VLOOKUP(CLEAN(H843),#REF!,2,FALSE)</f>
        <v>#REF!</v>
      </c>
      <c r="AT843" s="2" t="e">
        <f>VLOOKUP(H843,#REF!,13,FALSE)</f>
        <v>#REF!</v>
      </c>
      <c r="AU843" s="2" t="e">
        <f>VLOOKUP(H843,#REF!,13,FALSE)</f>
        <v>#REF!</v>
      </c>
      <c r="AV843" s="2" t="e">
        <f>VLOOKUP(H843,#REF!,13,FALSE)</f>
        <v>#REF!</v>
      </c>
      <c r="AW843" s="2" t="e">
        <f>VLOOKUP(H843,#REF!,13,FALSE)</f>
        <v>#REF!</v>
      </c>
      <c r="AX843" s="2" t="e">
        <f>VLOOKUP(H843,#REF!,9,FALSE)</f>
        <v>#REF!</v>
      </c>
      <c r="AZ843" s="189" t="e">
        <f>VLOOKUP(H843,#REF!,2,FALSE)</f>
        <v>#REF!</v>
      </c>
      <c r="BF843" s="189" t="e">
        <f>VLOOKUP(CLEAN(H843),#REF!,2,FALSE)</f>
        <v>#REF!</v>
      </c>
      <c r="BG843" s="189" t="e">
        <f>T843-BF843</f>
        <v>#REF!</v>
      </c>
      <c r="BO843" s="2" t="e">
        <f>VLOOKUP(H843,#REF!,13,FALSE)</f>
        <v>#REF!</v>
      </c>
      <c r="BP843" s="2" t="e">
        <f>VLOOKUP(H843,#REF!,2,FALSE)</f>
        <v>#REF!</v>
      </c>
      <c r="BQ843" s="2" t="e">
        <f>VLOOKUP(H843,#REF!,13,FALSE)</f>
        <v>#REF!</v>
      </c>
      <c r="BR843" s="2" t="e">
        <f>VLOOKUP(H843,#REF!,3,FALSE)</f>
        <v>#REF!</v>
      </c>
    </row>
    <row r="844" spans="1:70" ht="15" customHeight="1" outlineLevel="2">
      <c r="A844" s="7"/>
      <c r="B844" s="7"/>
      <c r="C844" s="7"/>
      <c r="D844" s="7"/>
      <c r="E844" s="7"/>
      <c r="F844" s="7"/>
      <c r="G844" s="7"/>
      <c r="H844" s="11"/>
      <c r="I844" s="11"/>
      <c r="J844" s="11"/>
      <c r="K844" s="11"/>
      <c r="L844" s="17" t="s">
        <v>691</v>
      </c>
      <c r="M844" s="27">
        <f>SUBTOTAL(9,M842:M843)</f>
        <v>327001000</v>
      </c>
      <c r="N844" s="27">
        <f t="shared" ref="N844:O844" si="513">SUBTOTAL(9,N842:N843)</f>
        <v>0</v>
      </c>
      <c r="O844" s="27">
        <f t="shared" si="513"/>
        <v>168191812</v>
      </c>
      <c r="P844" s="24">
        <f t="shared" ref="P844:X844" si="514">SUBTOTAL(9,P842:P843)</f>
        <v>0</v>
      </c>
      <c r="Q844" s="24">
        <f t="shared" si="514"/>
        <v>0</v>
      </c>
      <c r="R844" s="24">
        <f t="shared" si="514"/>
        <v>3970778</v>
      </c>
      <c r="S844" s="27">
        <f t="shared" si="514"/>
        <v>3970778</v>
      </c>
      <c r="T844" s="27">
        <f t="shared" si="514"/>
        <v>58238761</v>
      </c>
      <c r="U844" s="27">
        <f t="shared" si="514"/>
        <v>43743384</v>
      </c>
      <c r="V844" s="27">
        <f t="shared" si="514"/>
        <v>105952923</v>
      </c>
      <c r="W844" s="27">
        <f t="shared" si="514"/>
        <v>62238889</v>
      </c>
      <c r="X844" s="27">
        <f t="shared" si="514"/>
        <v>158809188</v>
      </c>
      <c r="Y844" s="47"/>
      <c r="Z844" s="47"/>
      <c r="AM844" s="185" t="e">
        <f>VLOOKUP(CLEAN(H844),#REF!,7,FALSE)</f>
        <v>#REF!</v>
      </c>
      <c r="AO844"/>
      <c r="AP844"/>
      <c r="AQ844"/>
      <c r="AR844" s="2" t="e">
        <f>VLOOKUP(CLEAN(H844),#REF!,2,FALSE)</f>
        <v>#REF!</v>
      </c>
      <c r="AZ844" s="2" t="e">
        <f>VLOOKUP(H844,#REF!,2,FALSE)</f>
        <v>#REF!</v>
      </c>
      <c r="BO844" s="2" t="e">
        <f>VLOOKUP(H844,#REF!,13,FALSE)</f>
        <v>#REF!</v>
      </c>
      <c r="BQ844" s="2" t="e">
        <f>VLOOKUP(H844,#REF!,13,FALSE)</f>
        <v>#REF!</v>
      </c>
    </row>
    <row r="845" spans="1:70" s="2" customFormat="1" ht="15" customHeight="1" outlineLevel="2">
      <c r="A845" s="7"/>
      <c r="B845" s="7"/>
      <c r="C845" s="7"/>
      <c r="D845" s="7"/>
      <c r="E845" s="7"/>
      <c r="F845" s="7"/>
      <c r="G845" s="7"/>
      <c r="H845" s="11"/>
      <c r="I845" s="14"/>
      <c r="J845" s="14"/>
      <c r="K845" s="14"/>
      <c r="L845" s="294"/>
      <c r="M845" s="22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47"/>
      <c r="Z845" s="47"/>
      <c r="AJ845" s="185"/>
      <c r="AK845" s="185"/>
      <c r="AL845" s="185"/>
      <c r="AM845" s="185" t="e">
        <f>VLOOKUP(CLEAN(H845),#REF!,7,FALSE)</f>
        <v>#REF!</v>
      </c>
      <c r="AR845" s="2" t="e">
        <f>VLOOKUP(CLEAN(H845),#REF!,2,FALSE)</f>
        <v>#REF!</v>
      </c>
      <c r="AZ845" s="2" t="e">
        <f>VLOOKUP(H845,#REF!,2,FALSE)</f>
        <v>#REF!</v>
      </c>
      <c r="BF845" s="189"/>
      <c r="BO845" s="2" t="e">
        <f>VLOOKUP(H845,#REF!,13,FALSE)</f>
        <v>#REF!</v>
      </c>
      <c r="BP845" s="293"/>
      <c r="BQ845" s="2" t="e">
        <f>VLOOKUP(H845,#REF!,13,FALSE)</f>
        <v>#REF!</v>
      </c>
    </row>
    <row r="846" spans="1:70" s="2" customFormat="1" ht="15" customHeight="1" outlineLevel="2">
      <c r="A846" s="7"/>
      <c r="B846" s="7"/>
      <c r="C846" s="7"/>
      <c r="D846" s="7"/>
      <c r="E846" s="7"/>
      <c r="F846" s="7"/>
      <c r="G846" s="7"/>
      <c r="H846" s="11"/>
      <c r="I846" s="14"/>
      <c r="J846" s="14"/>
      <c r="K846" s="14"/>
      <c r="L846" s="18" t="s">
        <v>697</v>
      </c>
      <c r="M846" s="43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50"/>
      <c r="Z846" s="50"/>
      <c r="AJ846" s="185"/>
      <c r="AK846" s="185"/>
      <c r="AL846" s="185"/>
      <c r="AM846" s="185"/>
      <c r="AR846" s="2" t="e">
        <f>VLOOKUP(CLEAN(H846),#REF!,2,FALSE)</f>
        <v>#REF!</v>
      </c>
      <c r="AZ846" s="2" t="e">
        <f>VLOOKUP(H846,#REF!,2,FALSE)</f>
        <v>#REF!</v>
      </c>
      <c r="BF846" s="189"/>
      <c r="BO846" s="2" t="e">
        <f>VLOOKUP(H846,#REF!,13,FALSE)</f>
        <v>#REF!</v>
      </c>
      <c r="BQ846" s="2" t="e">
        <f>VLOOKUP(H846,#REF!,13,FALSE)</f>
        <v>#REF!</v>
      </c>
    </row>
    <row r="847" spans="1:70" s="2" customFormat="1" ht="15" customHeight="1" outlineLevel="2">
      <c r="A847" s="5">
        <v>31</v>
      </c>
      <c r="B847" s="5" t="s">
        <v>5</v>
      </c>
      <c r="C847" s="5" t="s">
        <v>238</v>
      </c>
      <c r="D847" s="5" t="s">
        <v>43</v>
      </c>
      <c r="E847" s="5" t="s">
        <v>46</v>
      </c>
      <c r="F847" s="5" t="s">
        <v>6</v>
      </c>
      <c r="G847" s="5" t="s">
        <v>144</v>
      </c>
      <c r="H847" s="12">
        <v>30036043</v>
      </c>
      <c r="I847" s="42" t="str">
        <f t="shared" ref="I847:I848" si="515">CONCATENATE(H847,"-",G847)</f>
        <v>30036043-EJECUCION</v>
      </c>
      <c r="J847" s="12"/>
      <c r="K847" s="307" t="str">
        <f t="shared" ref="K847:K848" si="516">CLEAN(H847)</f>
        <v>30036043</v>
      </c>
      <c r="L847" s="12" t="s">
        <v>462</v>
      </c>
      <c r="M847" s="34">
        <v>2105704808</v>
      </c>
      <c r="N847" s="34">
        <v>2105704808</v>
      </c>
      <c r="O847" s="34">
        <v>0</v>
      </c>
      <c r="P847" s="310">
        <v>0</v>
      </c>
      <c r="Q847" s="34">
        <v>0</v>
      </c>
      <c r="R847" s="308">
        <v>0</v>
      </c>
      <c r="S847" s="34">
        <f t="shared" ref="S847:S848" si="517">P847+Q847+R847</f>
        <v>0</v>
      </c>
      <c r="T847" s="34">
        <v>0</v>
      </c>
      <c r="U847" s="34">
        <v>0</v>
      </c>
      <c r="V847" s="34">
        <f>P847+Q847+R847+T847+U847</f>
        <v>0</v>
      </c>
      <c r="W847" s="34">
        <f>O847-V847</f>
        <v>0</v>
      </c>
      <c r="X847" s="34">
        <f>M847-(N847+O847)</f>
        <v>0</v>
      </c>
      <c r="Y847" s="48" t="s">
        <v>460</v>
      </c>
      <c r="Z847" s="48" t="s">
        <v>8</v>
      </c>
      <c r="AA847" s="2" t="e">
        <v>#N/A</v>
      </c>
      <c r="AB847" s="2" t="e">
        <f>VLOOKUP(H847,#REF!,2,FALSE)</f>
        <v>#REF!</v>
      </c>
      <c r="AC847" s="2" t="e">
        <f>VLOOKUP(I847,#REF!,2,FALSE)</f>
        <v>#REF!</v>
      </c>
      <c r="AD847" s="2" t="e">
        <f>VLOOKUP(H847,#REF!,13,FALSE)</f>
        <v>#REF!</v>
      </c>
      <c r="AE847" s="177" t="e">
        <f>VLOOKUP(I847,#REF!,7,FALSE)</f>
        <v>#REF!</v>
      </c>
      <c r="AG847" s="2" t="e">
        <f>VLOOKUP(H847,#REF!,13,FALSE)</f>
        <v>#REF!</v>
      </c>
      <c r="AH847" s="2" t="e">
        <f>VLOOKUP(I847,#REF!,2,FALSE)</f>
        <v>#REF!</v>
      </c>
      <c r="AJ847" s="185" t="e">
        <f>VLOOKUP(H847,#REF!,3,FALSE)</f>
        <v>#REF!</v>
      </c>
      <c r="AK847" s="185"/>
      <c r="AL847" s="185" t="e">
        <f>VLOOKUP(H847,#REF!,13,FALSE)</f>
        <v>#REF!</v>
      </c>
      <c r="AM847" s="185" t="e">
        <f>VLOOKUP(CLEAN(H847),#REF!,7,FALSE)</f>
        <v>#REF!</v>
      </c>
      <c r="AN847" s="2" t="e">
        <f>VLOOKUP(H847,#REF!,8,FALSE)</f>
        <v>#REF!</v>
      </c>
      <c r="AO847" s="189" t="e">
        <f>VLOOKUP(H847,#REF!,2,FALSE)</f>
        <v>#REF!</v>
      </c>
      <c r="AP847" s="189" t="e">
        <f>VLOOKUP(H847,#REF!,2,FALSE)</f>
        <v>#REF!</v>
      </c>
      <c r="AQ847" s="189"/>
      <c r="AR847" s="2" t="e">
        <f>VLOOKUP(CLEAN(H847),#REF!,2,FALSE)</f>
        <v>#REF!</v>
      </c>
      <c r="AT847" s="2" t="e">
        <f>VLOOKUP(H847,#REF!,13,FALSE)</f>
        <v>#REF!</v>
      </c>
      <c r="AU847" s="2" t="e">
        <f>VLOOKUP(H847,#REF!,13,FALSE)</f>
        <v>#REF!</v>
      </c>
      <c r="AV847" s="2" t="e">
        <f>VLOOKUP(H847,#REF!,13,FALSE)</f>
        <v>#REF!</v>
      </c>
      <c r="AW847" s="2" t="e">
        <f>VLOOKUP(H847,#REF!,13,FALSE)</f>
        <v>#REF!</v>
      </c>
      <c r="AX847" s="2" t="e">
        <f>VLOOKUP(H847,#REF!,9,FALSE)</f>
        <v>#REF!</v>
      </c>
      <c r="AZ847" s="2" t="e">
        <f>VLOOKUP(H847,#REF!,2,FALSE)</f>
        <v>#REF!</v>
      </c>
      <c r="BF847" s="189" t="e">
        <f>VLOOKUP(CLEAN(H847),#REF!,2,FALSE)</f>
        <v>#REF!</v>
      </c>
      <c r="BG847" s="189" t="e">
        <f>T847-BF847</f>
        <v>#REF!</v>
      </c>
      <c r="BO847" s="2" t="e">
        <f>VLOOKUP(H847,#REF!,13,FALSE)</f>
        <v>#REF!</v>
      </c>
      <c r="BP847" s="2" t="e">
        <f>VLOOKUP(H847,#REF!,2,FALSE)</f>
        <v>#REF!</v>
      </c>
      <c r="BQ847" s="2" t="e">
        <f>VLOOKUP(H847,#REF!,13,FALSE)</f>
        <v>#REF!</v>
      </c>
      <c r="BR847" s="2" t="e">
        <f>VLOOKUP(H847,#REF!,3,FALSE)</f>
        <v>#REF!</v>
      </c>
    </row>
    <row r="848" spans="1:70" s="2" customFormat="1" ht="15" customHeight="1" outlineLevel="2">
      <c r="A848" s="5">
        <v>31</v>
      </c>
      <c r="B848" s="5" t="s">
        <v>5</v>
      </c>
      <c r="C848" s="5" t="s">
        <v>253</v>
      </c>
      <c r="D848" s="5" t="s">
        <v>43</v>
      </c>
      <c r="E848" s="5" t="s">
        <v>46</v>
      </c>
      <c r="F848" s="5" t="s">
        <v>457</v>
      </c>
      <c r="G848" s="5" t="s">
        <v>144</v>
      </c>
      <c r="H848" s="12">
        <v>30136949</v>
      </c>
      <c r="I848" s="42" t="str">
        <f t="shared" si="515"/>
        <v>30136949-EJECUCION</v>
      </c>
      <c r="J848" s="12"/>
      <c r="K848" s="307" t="str">
        <f t="shared" si="516"/>
        <v>30136949</v>
      </c>
      <c r="L848" s="12" t="s">
        <v>645</v>
      </c>
      <c r="M848" s="23">
        <v>123511343</v>
      </c>
      <c r="N848" s="34">
        <v>123511343</v>
      </c>
      <c r="O848" s="34">
        <v>0</v>
      </c>
      <c r="P848" s="310">
        <v>0</v>
      </c>
      <c r="Q848" s="34">
        <v>0</v>
      </c>
      <c r="R848" s="308">
        <v>0</v>
      </c>
      <c r="S848" s="34">
        <f t="shared" si="517"/>
        <v>0</v>
      </c>
      <c r="T848" s="34">
        <v>0</v>
      </c>
      <c r="U848" s="34">
        <v>0</v>
      </c>
      <c r="V848" s="34">
        <f>P848+Q848+R848+T848+U848</f>
        <v>0</v>
      </c>
      <c r="W848" s="34">
        <f>O848-V848</f>
        <v>0</v>
      </c>
      <c r="X848" s="34">
        <f>M848-(N848+O848)</f>
        <v>0</v>
      </c>
      <c r="Y848" s="48" t="s">
        <v>460</v>
      </c>
      <c r="Z848" s="48" t="s">
        <v>10</v>
      </c>
      <c r="AA848" s="2" t="e">
        <v>#N/A</v>
      </c>
      <c r="AB848" s="2" t="e">
        <f>VLOOKUP(H848,#REF!,2,FALSE)</f>
        <v>#REF!</v>
      </c>
      <c r="AC848" s="2" t="e">
        <f>VLOOKUP(I848,#REF!,2,FALSE)</f>
        <v>#REF!</v>
      </c>
      <c r="AD848" s="2" t="e">
        <f>VLOOKUP(H848,#REF!,13,FALSE)</f>
        <v>#REF!</v>
      </c>
      <c r="AE848" s="177" t="e">
        <f>VLOOKUP(I848,#REF!,7,FALSE)</f>
        <v>#REF!</v>
      </c>
      <c r="AG848" s="2" t="e">
        <f>VLOOKUP(H848,#REF!,13,FALSE)</f>
        <v>#REF!</v>
      </c>
      <c r="AH848" s="2" t="e">
        <f>VLOOKUP(I848,#REF!,2,FALSE)</f>
        <v>#REF!</v>
      </c>
      <c r="AJ848" s="185" t="e">
        <f>VLOOKUP(H848,#REF!,3,FALSE)</f>
        <v>#REF!</v>
      </c>
      <c r="AK848" s="185"/>
      <c r="AL848" s="185" t="e">
        <f>VLOOKUP(H848,#REF!,13,FALSE)</f>
        <v>#REF!</v>
      </c>
      <c r="AM848" s="185" t="e">
        <f>VLOOKUP(CLEAN(H848),#REF!,7,FALSE)</f>
        <v>#REF!</v>
      </c>
      <c r="AN848" s="2" t="e">
        <f>VLOOKUP(H848,#REF!,8,FALSE)</f>
        <v>#REF!</v>
      </c>
      <c r="AO848" s="189" t="e">
        <f>VLOOKUP(H848,#REF!,2,FALSE)</f>
        <v>#REF!</v>
      </c>
      <c r="AP848" s="189" t="e">
        <f>VLOOKUP(H848,#REF!,2,FALSE)</f>
        <v>#REF!</v>
      </c>
      <c r="AQ848" s="189"/>
      <c r="AR848" s="2" t="e">
        <f>VLOOKUP(CLEAN(H848),#REF!,2,FALSE)</f>
        <v>#REF!</v>
      </c>
      <c r="AT848" s="2" t="e">
        <f>VLOOKUP(H848,#REF!,13,FALSE)</f>
        <v>#REF!</v>
      </c>
      <c r="AU848" s="2" t="e">
        <f>VLOOKUP(H848,#REF!,13,FALSE)</f>
        <v>#REF!</v>
      </c>
      <c r="AV848" s="2" t="e">
        <f>VLOOKUP(H848,#REF!,13,FALSE)</f>
        <v>#REF!</v>
      </c>
      <c r="AW848" s="2" t="e">
        <f>VLOOKUP(H848,#REF!,13,FALSE)</f>
        <v>#REF!</v>
      </c>
      <c r="AX848" s="2" t="e">
        <f>VLOOKUP(H848,#REF!,9,FALSE)</f>
        <v>#REF!</v>
      </c>
      <c r="AZ848" s="2" t="e">
        <f>VLOOKUP(H848,#REF!,2,FALSE)</f>
        <v>#REF!</v>
      </c>
      <c r="BF848" s="189" t="e">
        <f>VLOOKUP(CLEAN(H848),#REF!,2,FALSE)</f>
        <v>#REF!</v>
      </c>
      <c r="BG848" s="189" t="e">
        <f>T848-BF848</f>
        <v>#REF!</v>
      </c>
      <c r="BO848" s="2" t="e">
        <f>VLOOKUP(H848,#REF!,13,FALSE)</f>
        <v>#REF!</v>
      </c>
      <c r="BP848" s="2" t="e">
        <f>VLOOKUP(H848,#REF!,2,FALSE)</f>
        <v>#REF!</v>
      </c>
      <c r="BQ848" s="2" t="e">
        <f>VLOOKUP(H848,#REF!,13,FALSE)</f>
        <v>#REF!</v>
      </c>
      <c r="BR848" s="2" t="e">
        <f>VLOOKUP(H848,#REF!,3,FALSE)</f>
        <v>#REF!</v>
      </c>
    </row>
    <row r="849" spans="1:70" s="2" customFormat="1" ht="15" customHeight="1" outlineLevel="2">
      <c r="A849" s="7"/>
      <c r="B849" s="7"/>
      <c r="C849" s="7"/>
      <c r="D849" s="7"/>
      <c r="E849" s="7"/>
      <c r="F849" s="7"/>
      <c r="G849" s="7"/>
      <c r="H849" s="11"/>
      <c r="I849" s="14"/>
      <c r="J849" s="14"/>
      <c r="K849" s="14"/>
      <c r="L849" s="17" t="s">
        <v>694</v>
      </c>
      <c r="M849" s="27">
        <f>SUBTOTAL(9,M847:M848)</f>
        <v>2229216151</v>
      </c>
      <c r="N849" s="27">
        <f t="shared" ref="N849:O849" si="518">SUBTOTAL(9,N847:N848)</f>
        <v>2229216151</v>
      </c>
      <c r="O849" s="27">
        <f t="shared" si="518"/>
        <v>0</v>
      </c>
      <c r="P849" s="24">
        <f t="shared" ref="P849:X849" si="519">SUBTOTAL(9,P847:P848)</f>
        <v>0</v>
      </c>
      <c r="Q849" s="24">
        <f t="shared" si="519"/>
        <v>0</v>
      </c>
      <c r="R849" s="24">
        <f t="shared" si="519"/>
        <v>0</v>
      </c>
      <c r="S849" s="27">
        <f t="shared" si="519"/>
        <v>0</v>
      </c>
      <c r="T849" s="27">
        <f t="shared" si="519"/>
        <v>0</v>
      </c>
      <c r="U849" s="27">
        <f t="shared" si="519"/>
        <v>0</v>
      </c>
      <c r="V849" s="27">
        <f t="shared" si="519"/>
        <v>0</v>
      </c>
      <c r="W849" s="27">
        <f t="shared" si="519"/>
        <v>0</v>
      </c>
      <c r="X849" s="27">
        <f t="shared" si="519"/>
        <v>0</v>
      </c>
      <c r="Y849" s="50"/>
      <c r="Z849" s="50"/>
      <c r="AJ849" s="185"/>
      <c r="AK849" s="185"/>
      <c r="AL849" s="185"/>
      <c r="AM849" s="185"/>
      <c r="AR849" s="2" t="e">
        <f>VLOOKUP(CLEAN(H849),#REF!,2,FALSE)</f>
        <v>#REF!</v>
      </c>
      <c r="AZ849" s="2" t="e">
        <f>VLOOKUP(H849,#REF!,2,FALSE)</f>
        <v>#REF!</v>
      </c>
      <c r="BF849" s="189"/>
      <c r="BO849" s="2" t="e">
        <f>VLOOKUP(H849,#REF!,13,FALSE)</f>
        <v>#REF!</v>
      </c>
      <c r="BQ849" s="2" t="e">
        <f>VLOOKUP(H849,#REF!,13,FALSE)</f>
        <v>#REF!</v>
      </c>
    </row>
    <row r="850" spans="1:70" s="2" customFormat="1" ht="15" customHeight="1" outlineLevel="2">
      <c r="A850" s="7"/>
      <c r="B850" s="7"/>
      <c r="C850" s="7"/>
      <c r="D850" s="7"/>
      <c r="E850" s="7"/>
      <c r="F850" s="7"/>
      <c r="G850" s="7"/>
      <c r="H850" s="11"/>
      <c r="I850" s="14"/>
      <c r="J850" s="14"/>
      <c r="K850" s="14"/>
      <c r="L850" s="294"/>
      <c r="M850" s="22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47"/>
      <c r="Z850" s="47"/>
      <c r="AJ850" s="185"/>
      <c r="AK850" s="185"/>
      <c r="AL850" s="185"/>
      <c r="AM850" s="185"/>
      <c r="AR850" s="2" t="e">
        <f>VLOOKUP(CLEAN(H850),#REF!,2,FALSE)</f>
        <v>#REF!</v>
      </c>
      <c r="AZ850" s="2" t="e">
        <f>VLOOKUP(H850,#REF!,2,FALSE)</f>
        <v>#REF!</v>
      </c>
      <c r="BF850" s="189"/>
      <c r="BO850" s="2" t="e">
        <f>VLOOKUP(H850,#REF!,13,FALSE)</f>
        <v>#REF!</v>
      </c>
      <c r="BP850" s="293"/>
      <c r="BQ850" s="2" t="e">
        <f>VLOOKUP(H850,#REF!,13,FALSE)</f>
        <v>#REF!</v>
      </c>
    </row>
    <row r="851" spans="1:70" ht="15" customHeight="1" outlineLevel="2">
      <c r="A851" s="7"/>
      <c r="B851" s="7"/>
      <c r="C851" s="7"/>
      <c r="D851" s="7"/>
      <c r="E851" s="7"/>
      <c r="F851" s="7"/>
      <c r="G851" s="7"/>
      <c r="H851" s="11"/>
      <c r="I851" s="11"/>
      <c r="J851" s="11"/>
      <c r="K851" s="11"/>
      <c r="L851" s="18" t="s">
        <v>701</v>
      </c>
      <c r="M851" s="22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47"/>
      <c r="Z851" s="47"/>
      <c r="AM851" s="185" t="e">
        <f>VLOOKUP(CLEAN(H851),#REF!,7,FALSE)</f>
        <v>#REF!</v>
      </c>
      <c r="AO851"/>
      <c r="AP851"/>
      <c r="AQ851"/>
      <c r="AR851" s="2" t="e">
        <f>VLOOKUP(CLEAN(H851),#REF!,2,FALSE)</f>
        <v>#REF!</v>
      </c>
      <c r="AZ851" s="2" t="e">
        <f>VLOOKUP(H851,#REF!,2,FALSE)</f>
        <v>#REF!</v>
      </c>
      <c r="BO851" s="2" t="e">
        <f>VLOOKUP(H851,#REF!,13,FALSE)</f>
        <v>#REF!</v>
      </c>
      <c r="BQ851" s="2" t="e">
        <f>VLOOKUP(H851,#REF!,13,FALSE)</f>
        <v>#REF!</v>
      </c>
    </row>
    <row r="852" spans="1:70" s="2" customFormat="1" ht="15" customHeight="1" outlineLevel="2">
      <c r="A852" s="5">
        <v>31</v>
      </c>
      <c r="B852" s="5" t="s">
        <v>54</v>
      </c>
      <c r="C852" s="5" t="s">
        <v>251</v>
      </c>
      <c r="D852" s="5" t="s">
        <v>43</v>
      </c>
      <c r="E852" s="5" t="s">
        <v>46</v>
      </c>
      <c r="F852" s="5" t="s">
        <v>457</v>
      </c>
      <c r="G852" s="5" t="s">
        <v>144</v>
      </c>
      <c r="H852" s="12">
        <v>30395825</v>
      </c>
      <c r="I852" s="42" t="str">
        <f t="shared" ref="I852:I860" si="520">CONCATENATE(H852,"-",G852)</f>
        <v>30395825-EJECUCION</v>
      </c>
      <c r="J852" s="12"/>
      <c r="K852" s="307" t="str">
        <f t="shared" ref="K852:K860" si="521">CLEAN(H852)</f>
        <v>30395825</v>
      </c>
      <c r="L852" s="15" t="s">
        <v>294</v>
      </c>
      <c r="M852" s="23">
        <v>113663000</v>
      </c>
      <c r="N852" s="34">
        <v>0</v>
      </c>
      <c r="O852" s="34">
        <v>34098900</v>
      </c>
      <c r="P852" s="310">
        <v>0</v>
      </c>
      <c r="Q852" s="34">
        <v>0</v>
      </c>
      <c r="R852" s="308">
        <v>0</v>
      </c>
      <c r="S852" s="34">
        <f t="shared" ref="S852:S860" si="522">P852+Q852+R852</f>
        <v>0</v>
      </c>
      <c r="T852" s="34">
        <v>0</v>
      </c>
      <c r="U852" s="34">
        <v>0</v>
      </c>
      <c r="V852" s="34">
        <f>P852+Q852+R852+T852+U852</f>
        <v>0</v>
      </c>
      <c r="W852" s="34">
        <f>O852-V852</f>
        <v>34098900</v>
      </c>
      <c r="X852" s="34">
        <f>M852-(N852+O852)</f>
        <v>79564100</v>
      </c>
      <c r="Y852" s="48" t="s">
        <v>243</v>
      </c>
      <c r="Z852" s="48" t="s">
        <v>10</v>
      </c>
      <c r="AA852" s="2" t="e">
        <v>#N/A</v>
      </c>
      <c r="AB852" s="2" t="e">
        <f>VLOOKUP(H852,#REF!,2,FALSE)</f>
        <v>#REF!</v>
      </c>
      <c r="AC852" s="2" t="e">
        <f>VLOOKUP(I852,#REF!,2,FALSE)</f>
        <v>#REF!</v>
      </c>
      <c r="AD852" s="2" t="e">
        <f>VLOOKUP(H852,#REF!,13,FALSE)</f>
        <v>#REF!</v>
      </c>
      <c r="AE852" s="2" t="e">
        <f>VLOOKUP(I852,#REF!,7,FALSE)</f>
        <v>#REF!</v>
      </c>
      <c r="AG852" s="2" t="e">
        <f>VLOOKUP(H852,#REF!,13,FALSE)</f>
        <v>#REF!</v>
      </c>
      <c r="AH852" s="2" t="e">
        <f>VLOOKUP(I852,#REF!,2,FALSE)</f>
        <v>#REF!</v>
      </c>
      <c r="AJ852" s="185" t="e">
        <f>VLOOKUP(H852,#REF!,3,FALSE)</f>
        <v>#REF!</v>
      </c>
      <c r="AK852" s="185"/>
      <c r="AL852" s="185" t="e">
        <f>VLOOKUP(H852,#REF!,13,FALSE)</f>
        <v>#REF!</v>
      </c>
      <c r="AM852" s="185" t="e">
        <f>VLOOKUP(CLEAN(H852),#REF!,7,FALSE)</f>
        <v>#REF!</v>
      </c>
      <c r="AN852" s="2" t="e">
        <f>VLOOKUP(H852,#REF!,8,FALSE)</f>
        <v>#REF!</v>
      </c>
      <c r="AO852" s="189" t="e">
        <f>VLOOKUP(H852,#REF!,2,FALSE)</f>
        <v>#REF!</v>
      </c>
      <c r="AP852" s="189" t="e">
        <f>VLOOKUP(H852,#REF!,2,FALSE)</f>
        <v>#REF!</v>
      </c>
      <c r="AQ852" s="189"/>
      <c r="AR852" s="2" t="e">
        <f>VLOOKUP(CLEAN(H852),#REF!,2,FALSE)</f>
        <v>#REF!</v>
      </c>
      <c r="AT852" s="2" t="e">
        <f>VLOOKUP(H852,#REF!,13,FALSE)</f>
        <v>#REF!</v>
      </c>
      <c r="AU852" s="2" t="e">
        <f>VLOOKUP(H852,#REF!,13,FALSE)</f>
        <v>#REF!</v>
      </c>
      <c r="AV852" s="2" t="e">
        <f>VLOOKUP(H852,#REF!,13,FALSE)</f>
        <v>#REF!</v>
      </c>
      <c r="AW852" s="2" t="e">
        <f>VLOOKUP(H852,#REF!,13,FALSE)</f>
        <v>#REF!</v>
      </c>
      <c r="AX852" s="2" t="e">
        <f>VLOOKUP(H852,#REF!,9,FALSE)</f>
        <v>#REF!</v>
      </c>
      <c r="AY852" s="2" t="e">
        <f>VLOOKUP(H852,#REF!,2,FALSE)</f>
        <v>#REF!</v>
      </c>
      <c r="AZ852" s="189" t="e">
        <f>VLOOKUP(H852,#REF!,2,FALSE)</f>
        <v>#REF!</v>
      </c>
      <c r="BF852" s="189" t="e">
        <f>VLOOKUP(CLEAN(H852),#REF!,2,FALSE)</f>
        <v>#REF!</v>
      </c>
      <c r="BG852" s="189" t="e">
        <f>T852-BF852</f>
        <v>#REF!</v>
      </c>
      <c r="BO852" s="2" t="e">
        <f>VLOOKUP(H852,#REF!,13,FALSE)</f>
        <v>#REF!</v>
      </c>
      <c r="BP852" s="2" t="e">
        <f>VLOOKUP(H852,#REF!,2,FALSE)</f>
        <v>#REF!</v>
      </c>
      <c r="BQ852" s="2" t="e">
        <f>VLOOKUP(H852,#REF!,13,FALSE)</f>
        <v>#REF!</v>
      </c>
      <c r="BR852" s="2" t="e">
        <f>VLOOKUP(H852,#REF!,3,FALSE)</f>
        <v>#REF!</v>
      </c>
    </row>
    <row r="853" spans="1:70" s="2" customFormat="1" ht="15" customHeight="1" outlineLevel="2">
      <c r="A853" s="5">
        <v>31</v>
      </c>
      <c r="B853" s="5" t="s">
        <v>11</v>
      </c>
      <c r="C853" s="5" t="s">
        <v>240</v>
      </c>
      <c r="D853" s="5" t="s">
        <v>43</v>
      </c>
      <c r="E853" s="5" t="s">
        <v>46</v>
      </c>
      <c r="F853" s="5" t="s">
        <v>77</v>
      </c>
      <c r="G853" s="5" t="s">
        <v>144</v>
      </c>
      <c r="H853" s="12">
        <v>30311722</v>
      </c>
      <c r="I853" s="42" t="str">
        <f t="shared" si="520"/>
        <v>30311722-EJECUCION</v>
      </c>
      <c r="J853" s="12" t="s">
        <v>738</v>
      </c>
      <c r="K853" s="307" t="str">
        <f t="shared" si="521"/>
        <v>30311722</v>
      </c>
      <c r="L853" s="15" t="s">
        <v>128</v>
      </c>
      <c r="M853" s="23">
        <v>614592000</v>
      </c>
      <c r="N853" s="34">
        <v>0</v>
      </c>
      <c r="O853" s="34">
        <v>61459200</v>
      </c>
      <c r="P853" s="310">
        <v>0</v>
      </c>
      <c r="Q853" s="34">
        <v>0</v>
      </c>
      <c r="R853" s="308">
        <v>0</v>
      </c>
      <c r="S853" s="34">
        <f t="shared" si="522"/>
        <v>0</v>
      </c>
      <c r="T853" s="34">
        <v>0</v>
      </c>
      <c r="U853" s="34">
        <v>0</v>
      </c>
      <c r="V853" s="34">
        <f>P853+Q853+R853+T853+U853</f>
        <v>0</v>
      </c>
      <c r="W853" s="34">
        <f>O853-V853</f>
        <v>61459200</v>
      </c>
      <c r="X853" s="34">
        <f>M853-(N853+O853)</f>
        <v>553132800</v>
      </c>
      <c r="Y853" s="48" t="s">
        <v>243</v>
      </c>
      <c r="Z853" s="48" t="s">
        <v>8</v>
      </c>
      <c r="AA853" s="2" t="s">
        <v>842</v>
      </c>
      <c r="AB853" s="2" t="e">
        <f>VLOOKUP(H853,#REF!,2,FALSE)</f>
        <v>#REF!</v>
      </c>
      <c r="AC853" s="2" t="e">
        <f>VLOOKUP(I853,#REF!,2,FALSE)</f>
        <v>#REF!</v>
      </c>
      <c r="AD853" s="2" t="e">
        <f>VLOOKUP(H853,#REF!,13,FALSE)</f>
        <v>#REF!</v>
      </c>
      <c r="AE853" s="2" t="e">
        <f>VLOOKUP(I853,#REF!,7,FALSE)</f>
        <v>#REF!</v>
      </c>
      <c r="AG853" s="2" t="e">
        <f>VLOOKUP(H853,#REF!,13,FALSE)</f>
        <v>#REF!</v>
      </c>
      <c r="AH853" s="2" t="e">
        <f>VLOOKUP(I853,#REF!,2,FALSE)</f>
        <v>#REF!</v>
      </c>
      <c r="AJ853" s="185" t="e">
        <f>VLOOKUP(H853,#REF!,3,FALSE)</f>
        <v>#REF!</v>
      </c>
      <c r="AK853" s="185"/>
      <c r="AL853" s="185" t="e">
        <f>VLOOKUP(H853,#REF!,13,FALSE)</f>
        <v>#REF!</v>
      </c>
      <c r="AM853" s="185" t="e">
        <f>VLOOKUP(CLEAN(H853),#REF!,7,FALSE)</f>
        <v>#REF!</v>
      </c>
      <c r="AN853" s="2" t="e">
        <f>VLOOKUP(H853,#REF!,8,FALSE)</f>
        <v>#REF!</v>
      </c>
      <c r="AO853" s="189" t="e">
        <f>VLOOKUP(H853,#REF!,2,FALSE)</f>
        <v>#REF!</v>
      </c>
      <c r="AP853" s="189" t="e">
        <f>VLOOKUP(H853,#REF!,2,FALSE)</f>
        <v>#REF!</v>
      </c>
      <c r="AQ853" s="189"/>
      <c r="AR853" s="2" t="e">
        <f>VLOOKUP(CLEAN(H853),#REF!,2,FALSE)</f>
        <v>#REF!</v>
      </c>
      <c r="AT853" s="2" t="e">
        <f>VLOOKUP(H853,#REF!,13,FALSE)</f>
        <v>#REF!</v>
      </c>
      <c r="AU853" s="2" t="e">
        <f>VLOOKUP(H853,#REF!,13,FALSE)</f>
        <v>#REF!</v>
      </c>
      <c r="AV853" s="2" t="e">
        <f>VLOOKUP(H853,#REF!,13,FALSE)</f>
        <v>#REF!</v>
      </c>
      <c r="AW853" s="2" t="e">
        <f>VLOOKUP(H853,#REF!,13,FALSE)</f>
        <v>#REF!</v>
      </c>
      <c r="AX853" s="2" t="e">
        <f>VLOOKUP(H853,#REF!,9,FALSE)</f>
        <v>#REF!</v>
      </c>
      <c r="AY853" s="2" t="e">
        <f>VLOOKUP(H853,#REF!,2,FALSE)</f>
        <v>#REF!</v>
      </c>
      <c r="AZ853" s="189" t="e">
        <f>VLOOKUP(H853,#REF!,2,FALSE)</f>
        <v>#REF!</v>
      </c>
      <c r="BF853" s="189" t="e">
        <f>VLOOKUP(CLEAN(H853),#REF!,2,FALSE)</f>
        <v>#REF!</v>
      </c>
      <c r="BG853" s="189" t="e">
        <f>T853-BF853</f>
        <v>#REF!</v>
      </c>
      <c r="BO853" s="2" t="e">
        <f>VLOOKUP(H853,#REF!,13,FALSE)</f>
        <v>#REF!</v>
      </c>
      <c r="BP853" s="2" t="e">
        <f>VLOOKUP(H853,#REF!,2,FALSE)</f>
        <v>#REF!</v>
      </c>
      <c r="BQ853" s="2" t="e">
        <f>VLOOKUP(H853,#REF!,13,FALSE)</f>
        <v>#REF!</v>
      </c>
      <c r="BR853" s="2" t="e">
        <f>VLOOKUP(H853,#REF!,3,FALSE)</f>
        <v>#REF!</v>
      </c>
    </row>
    <row r="854" spans="1:70" s="2" customFormat="1" ht="15" customHeight="1" outlineLevel="2">
      <c r="A854" s="5">
        <v>31</v>
      </c>
      <c r="B854" s="5" t="s">
        <v>11</v>
      </c>
      <c r="C854" s="5" t="s">
        <v>251</v>
      </c>
      <c r="D854" s="5" t="s">
        <v>43</v>
      </c>
      <c r="E854" s="5" t="s">
        <v>46</v>
      </c>
      <c r="F854" s="5" t="s">
        <v>77</v>
      </c>
      <c r="G854" s="5" t="s">
        <v>9</v>
      </c>
      <c r="H854" s="12">
        <v>30340472</v>
      </c>
      <c r="I854" s="42" t="str">
        <f t="shared" si="520"/>
        <v>30340472-DISEÑO</v>
      </c>
      <c r="J854" s="190"/>
      <c r="K854" s="307" t="str">
        <f t="shared" si="521"/>
        <v>30340472</v>
      </c>
      <c r="L854" s="15" t="s">
        <v>315</v>
      </c>
      <c r="M854" s="23">
        <v>44601000</v>
      </c>
      <c r="N854" s="34">
        <v>0</v>
      </c>
      <c r="O854" s="34">
        <v>44601000</v>
      </c>
      <c r="P854" s="310">
        <v>0</v>
      </c>
      <c r="Q854" s="34">
        <v>0</v>
      </c>
      <c r="R854" s="308">
        <v>0</v>
      </c>
      <c r="S854" s="34">
        <f t="shared" si="522"/>
        <v>0</v>
      </c>
      <c r="T854" s="34">
        <v>0</v>
      </c>
      <c r="U854" s="34">
        <v>0</v>
      </c>
      <c r="V854" s="34">
        <f>P854+Q854+R854+T854+U854</f>
        <v>0</v>
      </c>
      <c r="W854" s="34">
        <f>O854-V854</f>
        <v>44601000</v>
      </c>
      <c r="X854" s="34">
        <f>M854-(N854+O854)</f>
        <v>0</v>
      </c>
      <c r="Y854" s="48" t="s">
        <v>418</v>
      </c>
      <c r="Z854" s="48" t="s">
        <v>8</v>
      </c>
      <c r="AA854" s="2" t="e">
        <v>#N/A</v>
      </c>
      <c r="AB854" s="2" t="e">
        <f>VLOOKUP(H854,#REF!,2,FALSE)</f>
        <v>#REF!</v>
      </c>
      <c r="AC854" s="2" t="e">
        <f>VLOOKUP(I854,#REF!,2,FALSE)</f>
        <v>#REF!</v>
      </c>
      <c r="AD854" s="2" t="e">
        <f>VLOOKUP(H854,#REF!,13,FALSE)</f>
        <v>#REF!</v>
      </c>
      <c r="AE854" s="2" t="e">
        <f>VLOOKUP(I854,#REF!,7,FALSE)</f>
        <v>#REF!</v>
      </c>
      <c r="AG854" s="2" t="e">
        <f>VLOOKUP(H854,#REF!,13,FALSE)</f>
        <v>#REF!</v>
      </c>
      <c r="AH854" s="2" t="e">
        <f>VLOOKUP(I854,#REF!,2,FALSE)</f>
        <v>#REF!</v>
      </c>
      <c r="AJ854" s="185" t="e">
        <f>VLOOKUP(H854,#REF!,3,FALSE)</f>
        <v>#REF!</v>
      </c>
      <c r="AK854" s="185"/>
      <c r="AL854" s="185" t="e">
        <f>VLOOKUP(H854,#REF!,13,FALSE)</f>
        <v>#REF!</v>
      </c>
      <c r="AM854" s="185" t="e">
        <f>VLOOKUP(CLEAN(H854),#REF!,7,FALSE)</f>
        <v>#REF!</v>
      </c>
      <c r="AN854" s="2" t="e">
        <f>VLOOKUP(H854,#REF!,8,FALSE)</f>
        <v>#REF!</v>
      </c>
      <c r="AO854" s="189" t="e">
        <f>VLOOKUP(H854,#REF!,2,FALSE)</f>
        <v>#REF!</v>
      </c>
      <c r="AP854" s="189" t="e">
        <f>VLOOKUP(H854,#REF!,2,FALSE)</f>
        <v>#REF!</v>
      </c>
      <c r="AQ854" s="189"/>
      <c r="AR854" s="2" t="e">
        <f>VLOOKUP(CLEAN(H854),#REF!,2,FALSE)</f>
        <v>#REF!</v>
      </c>
      <c r="AT854" s="2" t="e">
        <f>VLOOKUP(H854,#REF!,13,FALSE)</f>
        <v>#REF!</v>
      </c>
      <c r="AU854" s="2" t="e">
        <f>VLOOKUP(H854,#REF!,13,FALSE)</f>
        <v>#REF!</v>
      </c>
      <c r="AV854" s="2" t="e">
        <f>VLOOKUP(H854,#REF!,13,FALSE)</f>
        <v>#REF!</v>
      </c>
      <c r="AW854" s="2" t="e">
        <f>VLOOKUP(H854,#REF!,13,FALSE)</f>
        <v>#REF!</v>
      </c>
      <c r="AX854" s="2" t="e">
        <f>VLOOKUP(H854,#REF!,9,FALSE)</f>
        <v>#REF!</v>
      </c>
      <c r="AZ854" s="2" t="e">
        <f>VLOOKUP(H854,#REF!,2,FALSE)</f>
        <v>#REF!</v>
      </c>
      <c r="BF854" s="189" t="e">
        <f>VLOOKUP(CLEAN(H854),#REF!,2,FALSE)</f>
        <v>#REF!</v>
      </c>
      <c r="BG854" s="189" t="e">
        <f>T854-BF854</f>
        <v>#REF!</v>
      </c>
      <c r="BO854" s="2" t="e">
        <f>VLOOKUP(H854,#REF!,13,FALSE)</f>
        <v>#REF!</v>
      </c>
      <c r="BP854" s="2" t="e">
        <f>VLOOKUP(H854,#REF!,2,FALSE)</f>
        <v>#REF!</v>
      </c>
      <c r="BQ854" s="2" t="e">
        <f>VLOOKUP(H854,#REF!,13,FALSE)</f>
        <v>#REF!</v>
      </c>
      <c r="BR854" s="2" t="e">
        <f>VLOOKUP(H854,#REF!,3,FALSE)</f>
        <v>#REF!</v>
      </c>
    </row>
    <row r="855" spans="1:70" s="2" customFormat="1" ht="15" customHeight="1" outlineLevel="2">
      <c r="A855" s="5">
        <v>31</v>
      </c>
      <c r="B855" s="5" t="s">
        <v>11</v>
      </c>
      <c r="C855" s="5" t="s">
        <v>241</v>
      </c>
      <c r="D855" s="5" t="s">
        <v>43</v>
      </c>
      <c r="E855" s="5" t="s">
        <v>46</v>
      </c>
      <c r="F855" s="5" t="s">
        <v>89</v>
      </c>
      <c r="G855" s="5" t="s">
        <v>144</v>
      </c>
      <c r="H855" s="12">
        <v>30471092</v>
      </c>
      <c r="I855" s="42" t="str">
        <f t="shared" si="520"/>
        <v>30471092-EJECUCION</v>
      </c>
      <c r="J855" s="190"/>
      <c r="K855" s="307" t="str">
        <f t="shared" si="521"/>
        <v>30471092</v>
      </c>
      <c r="L855" s="15" t="s">
        <v>808</v>
      </c>
      <c r="M855" s="23">
        <v>354649000</v>
      </c>
      <c r="N855" s="34">
        <v>0</v>
      </c>
      <c r="O855" s="34">
        <v>30000000</v>
      </c>
      <c r="P855" s="310">
        <v>0</v>
      </c>
      <c r="Q855" s="34">
        <v>0</v>
      </c>
      <c r="R855" s="308">
        <v>0</v>
      </c>
      <c r="S855" s="34">
        <f t="shared" si="522"/>
        <v>0</v>
      </c>
      <c r="T855" s="34">
        <v>0</v>
      </c>
      <c r="U855" s="34">
        <v>0</v>
      </c>
      <c r="V855" s="34">
        <f>P855+Q855+R855+T855+U855</f>
        <v>0</v>
      </c>
      <c r="W855" s="34">
        <f>O855-V855</f>
        <v>30000000</v>
      </c>
      <c r="X855" s="34">
        <f>M855-(N855+O855)</f>
        <v>324649000</v>
      </c>
      <c r="Y855" s="48" t="s">
        <v>418</v>
      </c>
      <c r="Z855" s="48" t="s">
        <v>10</v>
      </c>
      <c r="AA855" s="2" t="e">
        <v>#N/A</v>
      </c>
      <c r="AB855" s="2" t="e">
        <f>VLOOKUP(H855,#REF!,2,FALSE)</f>
        <v>#REF!</v>
      </c>
      <c r="AC855" s="2" t="e">
        <f>VLOOKUP(I855,#REF!,2,FALSE)</f>
        <v>#REF!</v>
      </c>
      <c r="AD855" s="2" t="e">
        <f>VLOOKUP(H855,#REF!,13,FALSE)</f>
        <v>#REF!</v>
      </c>
      <c r="AE855" s="2" t="e">
        <f>VLOOKUP(I855,#REF!,7,FALSE)</f>
        <v>#REF!</v>
      </c>
      <c r="AG855" s="2" t="e">
        <f>VLOOKUP(H855,#REF!,13,FALSE)</f>
        <v>#REF!</v>
      </c>
      <c r="AH855" s="2" t="e">
        <f>VLOOKUP(I855,#REF!,2,FALSE)</f>
        <v>#REF!</v>
      </c>
      <c r="AJ855" s="185" t="e">
        <f>VLOOKUP(H855,#REF!,3,FALSE)</f>
        <v>#REF!</v>
      </c>
      <c r="AK855" s="185"/>
      <c r="AL855" s="185" t="e">
        <f>VLOOKUP(H855,#REF!,13,FALSE)</f>
        <v>#REF!</v>
      </c>
      <c r="AM855" s="185" t="e">
        <f>VLOOKUP(CLEAN(H855),#REF!,7,FALSE)</f>
        <v>#REF!</v>
      </c>
      <c r="AN855" s="2" t="e">
        <f>VLOOKUP(H855,#REF!,8,FALSE)</f>
        <v>#REF!</v>
      </c>
      <c r="AO855" s="189" t="e">
        <f>VLOOKUP(H855,#REF!,2,FALSE)</f>
        <v>#REF!</v>
      </c>
      <c r="AP855" s="189" t="e">
        <f>VLOOKUP(H855,#REF!,2,FALSE)</f>
        <v>#REF!</v>
      </c>
      <c r="AQ855" s="189"/>
      <c r="AR855" s="2" t="e">
        <f>VLOOKUP(CLEAN(H855),#REF!,2,FALSE)</f>
        <v>#REF!</v>
      </c>
      <c r="AT855" s="2" t="e">
        <f>VLOOKUP(H855,#REF!,13,FALSE)</f>
        <v>#REF!</v>
      </c>
      <c r="AU855" s="2" t="e">
        <f>VLOOKUP(H855,#REF!,13,FALSE)</f>
        <v>#REF!</v>
      </c>
      <c r="AV855" s="2" t="e">
        <f>VLOOKUP(H855,#REF!,13,FALSE)</f>
        <v>#REF!</v>
      </c>
      <c r="AW855" s="2" t="e">
        <f>VLOOKUP(H855,#REF!,13,FALSE)</f>
        <v>#REF!</v>
      </c>
      <c r="AX855" s="2" t="e">
        <f>VLOOKUP(H855,#REF!,9,FALSE)</f>
        <v>#REF!</v>
      </c>
      <c r="AZ855" s="2" t="e">
        <f>VLOOKUP(H855,#REF!,2,FALSE)</f>
        <v>#REF!</v>
      </c>
      <c r="BF855" s="189" t="e">
        <f>VLOOKUP(CLEAN(H855),#REF!,2,FALSE)</f>
        <v>#REF!</v>
      </c>
      <c r="BG855" s="189" t="e">
        <f>T855-BF855</f>
        <v>#REF!</v>
      </c>
      <c r="BO855" s="2" t="e">
        <f>VLOOKUP(H855,#REF!,13,FALSE)</f>
        <v>#REF!</v>
      </c>
      <c r="BP855" s="2" t="e">
        <f>VLOOKUP(H855,#REF!,2,FALSE)</f>
        <v>#REF!</v>
      </c>
      <c r="BQ855" s="2" t="e">
        <f>VLOOKUP(H855,#REF!,13,FALSE)</f>
        <v>#REF!</v>
      </c>
      <c r="BR855" s="2" t="e">
        <f>VLOOKUP(H855,#REF!,3,FALSE)</f>
        <v>#REF!</v>
      </c>
    </row>
    <row r="856" spans="1:70" s="2" customFormat="1" ht="15" customHeight="1" outlineLevel="2">
      <c r="A856" s="5">
        <v>31</v>
      </c>
      <c r="B856" s="5" t="s">
        <v>54</v>
      </c>
      <c r="C856" s="5" t="s">
        <v>253</v>
      </c>
      <c r="D856" s="5" t="s">
        <v>43</v>
      </c>
      <c r="E856" s="5" t="s">
        <v>46</v>
      </c>
      <c r="F856" s="5" t="s">
        <v>77</v>
      </c>
      <c r="G856" s="5" t="s">
        <v>9</v>
      </c>
      <c r="H856" s="12">
        <v>30393123</v>
      </c>
      <c r="I856" s="42" t="str">
        <f t="shared" si="520"/>
        <v>30393123-DISEÑO</v>
      </c>
      <c r="J856" s="191"/>
      <c r="K856" s="307" t="str">
        <f t="shared" si="521"/>
        <v>30393123</v>
      </c>
      <c r="L856" s="15" t="s">
        <v>296</v>
      </c>
      <c r="M856" s="23">
        <v>30175000</v>
      </c>
      <c r="N856" s="34">
        <v>0</v>
      </c>
      <c r="O856" s="34">
        <v>20000000</v>
      </c>
      <c r="P856" s="310">
        <v>0</v>
      </c>
      <c r="Q856" s="34">
        <v>0</v>
      </c>
      <c r="R856" s="308">
        <v>0</v>
      </c>
      <c r="S856" s="34">
        <f t="shared" si="522"/>
        <v>0</v>
      </c>
      <c r="T856" s="34">
        <v>0</v>
      </c>
      <c r="U856" s="34">
        <v>0</v>
      </c>
      <c r="V856" s="34">
        <f>P856+Q856+R856+T856+U856</f>
        <v>0</v>
      </c>
      <c r="W856" s="34">
        <f>O856-V856</f>
        <v>20000000</v>
      </c>
      <c r="X856" s="34">
        <f>M856-(N856+O856)</f>
        <v>10175000</v>
      </c>
      <c r="Y856" s="48" t="s">
        <v>418</v>
      </c>
      <c r="Z856" s="48" t="s">
        <v>8</v>
      </c>
      <c r="AA856" s="2" t="e">
        <v>#N/A</v>
      </c>
      <c r="AB856" s="2" t="e">
        <f>VLOOKUP(H856,#REF!,2,FALSE)</f>
        <v>#REF!</v>
      </c>
      <c r="AC856" s="2" t="e">
        <f>VLOOKUP(I856,#REF!,2,FALSE)</f>
        <v>#REF!</v>
      </c>
      <c r="AD856" s="2" t="e">
        <f>VLOOKUP(H856,#REF!,13,FALSE)</f>
        <v>#REF!</v>
      </c>
      <c r="AE856" s="2" t="e">
        <f>VLOOKUP(I856,#REF!,7,FALSE)</f>
        <v>#REF!</v>
      </c>
      <c r="AG856" s="2" t="e">
        <f>VLOOKUP(H856,#REF!,13,FALSE)</f>
        <v>#REF!</v>
      </c>
      <c r="AH856" s="2" t="e">
        <f>VLOOKUP(I856,#REF!,2,FALSE)</f>
        <v>#REF!</v>
      </c>
      <c r="AJ856" s="185" t="e">
        <f>VLOOKUP(H856,#REF!,3,FALSE)</f>
        <v>#REF!</v>
      </c>
      <c r="AK856" s="185" t="s">
        <v>685</v>
      </c>
      <c r="AL856" s="185" t="e">
        <f>VLOOKUP(H856,#REF!,13,FALSE)</f>
        <v>#REF!</v>
      </c>
      <c r="AM856" s="185" t="e">
        <f>VLOOKUP(CLEAN(H856),#REF!,7,FALSE)</f>
        <v>#REF!</v>
      </c>
      <c r="AN856" s="2" t="e">
        <f>VLOOKUP(H856,#REF!,8,FALSE)</f>
        <v>#REF!</v>
      </c>
      <c r="AO856" s="189" t="e">
        <f>VLOOKUP(H856,#REF!,2,FALSE)</f>
        <v>#REF!</v>
      </c>
      <c r="AP856" s="189" t="e">
        <f>VLOOKUP(H856,#REF!,2,FALSE)</f>
        <v>#REF!</v>
      </c>
      <c r="AQ856" s="189"/>
      <c r="AR856" s="2" t="e">
        <f>VLOOKUP(CLEAN(H856),#REF!,2,FALSE)</f>
        <v>#REF!</v>
      </c>
      <c r="AT856" s="2" t="e">
        <f>VLOOKUP(H856,#REF!,13,FALSE)</f>
        <v>#REF!</v>
      </c>
      <c r="AU856" s="2" t="e">
        <f>VLOOKUP(H856,#REF!,13,FALSE)</f>
        <v>#REF!</v>
      </c>
      <c r="AV856" s="2" t="e">
        <f>VLOOKUP(H856,#REF!,13,FALSE)</f>
        <v>#REF!</v>
      </c>
      <c r="AW856" s="2" t="e">
        <f>VLOOKUP(H856,#REF!,13,FALSE)</f>
        <v>#REF!</v>
      </c>
      <c r="AX856" s="2" t="e">
        <f>VLOOKUP(H856,#REF!,9,FALSE)</f>
        <v>#REF!</v>
      </c>
      <c r="AZ856" s="2" t="e">
        <f>VLOOKUP(H856,#REF!,2,FALSE)</f>
        <v>#REF!</v>
      </c>
      <c r="BF856" s="189" t="e">
        <f>VLOOKUP(CLEAN(H856),#REF!,2,FALSE)</f>
        <v>#REF!</v>
      </c>
      <c r="BG856" s="189" t="e">
        <f>T856-BF856</f>
        <v>#REF!</v>
      </c>
      <c r="BO856" s="2" t="e">
        <f>VLOOKUP(H856,#REF!,13,FALSE)</f>
        <v>#REF!</v>
      </c>
      <c r="BP856" s="2" t="e">
        <f>VLOOKUP(H856,#REF!,2,FALSE)</f>
        <v>#REF!</v>
      </c>
      <c r="BQ856" s="2" t="e">
        <f>VLOOKUP(H856,#REF!,13,FALSE)</f>
        <v>#REF!</v>
      </c>
      <c r="BR856" s="2" t="e">
        <f>VLOOKUP(H856,#REF!,3,FALSE)</f>
        <v>#REF!</v>
      </c>
    </row>
    <row r="857" spans="1:70" s="2" customFormat="1" ht="15" customHeight="1" outlineLevel="2">
      <c r="A857" s="5">
        <v>31</v>
      </c>
      <c r="B857" s="5" t="s">
        <v>54</v>
      </c>
      <c r="C857" s="5" t="s">
        <v>248</v>
      </c>
      <c r="D857" s="5" t="s">
        <v>43</v>
      </c>
      <c r="E857" s="5" t="s">
        <v>46</v>
      </c>
      <c r="F857" s="5" t="s">
        <v>15</v>
      </c>
      <c r="G857" s="5" t="s">
        <v>9</v>
      </c>
      <c r="H857" s="12">
        <v>30338024</v>
      </c>
      <c r="I857" s="42" t="str">
        <f t="shared" si="520"/>
        <v>30338024-DISEÑO</v>
      </c>
      <c r="J857" s="191"/>
      <c r="K857" s="307" t="str">
        <f t="shared" si="521"/>
        <v>30338024</v>
      </c>
      <c r="L857" s="15" t="s">
        <v>298</v>
      </c>
      <c r="M857" s="23">
        <v>33857000</v>
      </c>
      <c r="N857" s="34">
        <v>0</v>
      </c>
      <c r="O857" s="34">
        <v>33857000</v>
      </c>
      <c r="P857" s="310">
        <v>0</v>
      </c>
      <c r="Q857" s="34">
        <v>0</v>
      </c>
      <c r="R857" s="308">
        <v>0</v>
      </c>
      <c r="S857" s="34">
        <f t="shared" si="522"/>
        <v>0</v>
      </c>
      <c r="T857" s="34">
        <v>0</v>
      </c>
      <c r="U857" s="34">
        <v>0</v>
      </c>
      <c r="V857" s="34">
        <f>P857+Q857+R857+T857+U857</f>
        <v>0</v>
      </c>
      <c r="W857" s="34">
        <f>O857-V857</f>
        <v>33857000</v>
      </c>
      <c r="X857" s="34">
        <f>M857-(N857+O857)</f>
        <v>0</v>
      </c>
      <c r="Y857" s="48" t="s">
        <v>418</v>
      </c>
      <c r="Z857" s="48" t="s">
        <v>8</v>
      </c>
      <c r="AA857" s="2" t="e">
        <v>#N/A</v>
      </c>
      <c r="AB857" s="2" t="e">
        <f>VLOOKUP(H857,#REF!,2,FALSE)</f>
        <v>#REF!</v>
      </c>
      <c r="AC857" s="2" t="e">
        <f>VLOOKUP(I857,#REF!,2,FALSE)</f>
        <v>#REF!</v>
      </c>
      <c r="AD857" s="2" t="e">
        <f>VLOOKUP(H857,#REF!,13,FALSE)</f>
        <v>#REF!</v>
      </c>
      <c r="AE857" s="2" t="e">
        <f>VLOOKUP(I857,#REF!,7,FALSE)</f>
        <v>#REF!</v>
      </c>
      <c r="AG857" s="2" t="e">
        <f>VLOOKUP(H857,#REF!,13,FALSE)</f>
        <v>#REF!</v>
      </c>
      <c r="AH857" s="2" t="e">
        <f>VLOOKUP(I857,#REF!,2,FALSE)</f>
        <v>#REF!</v>
      </c>
      <c r="AJ857" s="185" t="e">
        <f>VLOOKUP(H857,#REF!,3,FALSE)</f>
        <v>#REF!</v>
      </c>
      <c r="AK857" s="185" t="s">
        <v>685</v>
      </c>
      <c r="AL857" s="185" t="e">
        <f>VLOOKUP(H857,#REF!,13,FALSE)</f>
        <v>#REF!</v>
      </c>
      <c r="AM857" s="185" t="e">
        <f>VLOOKUP(CLEAN(H857),#REF!,7,FALSE)</f>
        <v>#REF!</v>
      </c>
      <c r="AN857" s="2" t="e">
        <f>VLOOKUP(H857,#REF!,8,FALSE)</f>
        <v>#REF!</v>
      </c>
      <c r="AO857" s="189" t="e">
        <f>VLOOKUP(H857,#REF!,2,FALSE)</f>
        <v>#REF!</v>
      </c>
      <c r="AP857" s="189" t="e">
        <f>VLOOKUP(H857,#REF!,2,FALSE)</f>
        <v>#REF!</v>
      </c>
      <c r="AQ857" s="189"/>
      <c r="AR857" s="2" t="e">
        <f>VLOOKUP(CLEAN(H857),#REF!,2,FALSE)</f>
        <v>#REF!</v>
      </c>
      <c r="AT857" s="2" t="e">
        <f>VLOOKUP(H857,#REF!,13,FALSE)</f>
        <v>#REF!</v>
      </c>
      <c r="AU857" s="2" t="e">
        <f>VLOOKUP(H857,#REF!,13,FALSE)</f>
        <v>#REF!</v>
      </c>
      <c r="AV857" s="2" t="e">
        <f>VLOOKUP(H857,#REF!,13,FALSE)</f>
        <v>#REF!</v>
      </c>
      <c r="AW857" s="2" t="e">
        <f>VLOOKUP(H857,#REF!,13,FALSE)</f>
        <v>#REF!</v>
      </c>
      <c r="AX857" s="2" t="e">
        <f>VLOOKUP(H857,#REF!,9,FALSE)</f>
        <v>#REF!</v>
      </c>
      <c r="AZ857" s="2" t="e">
        <f>VLOOKUP(H857,#REF!,2,FALSE)</f>
        <v>#REF!</v>
      </c>
      <c r="BF857" s="189" t="e">
        <f>VLOOKUP(CLEAN(H857),#REF!,2,FALSE)</f>
        <v>#REF!</v>
      </c>
      <c r="BG857" s="189" t="e">
        <f>T857-BF857</f>
        <v>#REF!</v>
      </c>
      <c r="BO857" s="2" t="e">
        <f>VLOOKUP(H857,#REF!,13,FALSE)</f>
        <v>#REF!</v>
      </c>
      <c r="BP857" s="2" t="e">
        <f>VLOOKUP(H857,#REF!,2,FALSE)</f>
        <v>#REF!</v>
      </c>
      <c r="BQ857" s="2" t="e">
        <f>VLOOKUP(H857,#REF!,13,FALSE)</f>
        <v>#REF!</v>
      </c>
      <c r="BR857" s="2" t="e">
        <f>VLOOKUP(H857,#REF!,3,FALSE)</f>
        <v>#REF!</v>
      </c>
    </row>
    <row r="858" spans="1:70" s="2" customFormat="1" ht="15" customHeight="1" outlineLevel="2">
      <c r="A858" s="5">
        <v>31</v>
      </c>
      <c r="B858" s="5" t="s">
        <v>54</v>
      </c>
      <c r="C858" s="5" t="s">
        <v>248</v>
      </c>
      <c r="D858" s="5" t="s">
        <v>43</v>
      </c>
      <c r="E858" s="5" t="s">
        <v>46</v>
      </c>
      <c r="F858" s="5" t="s">
        <v>14</v>
      </c>
      <c r="G858" s="5" t="s">
        <v>9</v>
      </c>
      <c r="H858" s="12">
        <v>30338523</v>
      </c>
      <c r="I858" s="42" t="str">
        <f t="shared" si="520"/>
        <v>30338523-DISEÑO</v>
      </c>
      <c r="J858" s="191"/>
      <c r="K858" s="307" t="str">
        <f t="shared" si="521"/>
        <v>30338523</v>
      </c>
      <c r="L858" s="15" t="s">
        <v>299</v>
      </c>
      <c r="M858" s="23">
        <v>33857000</v>
      </c>
      <c r="N858" s="34">
        <v>0</v>
      </c>
      <c r="O858" s="34">
        <v>33857000</v>
      </c>
      <c r="P858" s="310">
        <v>0</v>
      </c>
      <c r="Q858" s="34">
        <v>0</v>
      </c>
      <c r="R858" s="308">
        <v>0</v>
      </c>
      <c r="S858" s="34">
        <f t="shared" si="522"/>
        <v>0</v>
      </c>
      <c r="T858" s="34">
        <v>0</v>
      </c>
      <c r="U858" s="34">
        <v>0</v>
      </c>
      <c r="V858" s="34">
        <f>P858+Q858+R858+T858+U858</f>
        <v>0</v>
      </c>
      <c r="W858" s="34">
        <f>O858-V858</f>
        <v>33857000</v>
      </c>
      <c r="X858" s="34">
        <f>M858-(N858+O858)</f>
        <v>0</v>
      </c>
      <c r="Y858" s="48" t="s">
        <v>418</v>
      </c>
      <c r="Z858" s="48" t="s">
        <v>8</v>
      </c>
      <c r="AA858" s="2" t="e">
        <v>#N/A</v>
      </c>
      <c r="AB858" s="2" t="e">
        <f>VLOOKUP(H858,#REF!,2,FALSE)</f>
        <v>#REF!</v>
      </c>
      <c r="AC858" s="2" t="e">
        <f>VLOOKUP(I858,#REF!,2,FALSE)</f>
        <v>#REF!</v>
      </c>
      <c r="AD858" s="2" t="e">
        <f>VLOOKUP(H858,#REF!,13,FALSE)</f>
        <v>#REF!</v>
      </c>
      <c r="AE858" s="2" t="e">
        <f>VLOOKUP(I858,#REF!,7,FALSE)</f>
        <v>#REF!</v>
      </c>
      <c r="AG858" s="2" t="e">
        <f>VLOOKUP(H858,#REF!,13,FALSE)</f>
        <v>#REF!</v>
      </c>
      <c r="AH858" s="2" t="e">
        <f>VLOOKUP(I858,#REF!,2,FALSE)</f>
        <v>#REF!</v>
      </c>
      <c r="AJ858" s="185" t="e">
        <f>VLOOKUP(H858,#REF!,3,FALSE)</f>
        <v>#REF!</v>
      </c>
      <c r="AK858" s="185" t="s">
        <v>685</v>
      </c>
      <c r="AL858" s="185" t="e">
        <f>VLOOKUP(H858,#REF!,13,FALSE)</f>
        <v>#REF!</v>
      </c>
      <c r="AM858" s="185" t="e">
        <f>VLOOKUP(CLEAN(H858),#REF!,7,FALSE)</f>
        <v>#REF!</v>
      </c>
      <c r="AN858" s="2" t="e">
        <f>VLOOKUP(H858,#REF!,8,FALSE)</f>
        <v>#REF!</v>
      </c>
      <c r="AO858" s="189" t="e">
        <f>VLOOKUP(H858,#REF!,2,FALSE)</f>
        <v>#REF!</v>
      </c>
      <c r="AP858" s="189" t="e">
        <f>VLOOKUP(H858,#REF!,2,FALSE)</f>
        <v>#REF!</v>
      </c>
      <c r="AQ858" s="189"/>
      <c r="AR858" s="2" t="e">
        <f>VLOOKUP(CLEAN(H858),#REF!,2,FALSE)</f>
        <v>#REF!</v>
      </c>
      <c r="AT858" s="2" t="e">
        <f>VLOOKUP(H858,#REF!,13,FALSE)</f>
        <v>#REF!</v>
      </c>
      <c r="AU858" s="2" t="e">
        <f>VLOOKUP(H858,#REF!,13,FALSE)</f>
        <v>#REF!</v>
      </c>
      <c r="AV858" s="2" t="e">
        <f>VLOOKUP(H858,#REF!,13,FALSE)</f>
        <v>#REF!</v>
      </c>
      <c r="AW858" s="2" t="e">
        <f>VLOOKUP(H858,#REF!,13,FALSE)</f>
        <v>#REF!</v>
      </c>
      <c r="AX858" s="2" t="e">
        <f>VLOOKUP(H858,#REF!,9,FALSE)</f>
        <v>#REF!</v>
      </c>
      <c r="AZ858" s="2" t="e">
        <f>VLOOKUP(H858,#REF!,2,FALSE)</f>
        <v>#REF!</v>
      </c>
      <c r="BF858" s="189" t="e">
        <f>VLOOKUP(CLEAN(H858),#REF!,2,FALSE)</f>
        <v>#REF!</v>
      </c>
      <c r="BG858" s="189" t="e">
        <f>T858-BF858</f>
        <v>#REF!</v>
      </c>
      <c r="BO858" s="2" t="e">
        <f>VLOOKUP(H858,#REF!,13,FALSE)</f>
        <v>#REF!</v>
      </c>
      <c r="BP858" s="2" t="e">
        <f>VLOOKUP(H858,#REF!,2,FALSE)</f>
        <v>#REF!</v>
      </c>
      <c r="BQ858" s="2" t="e">
        <f>VLOOKUP(H858,#REF!,13,FALSE)</f>
        <v>#REF!</v>
      </c>
      <c r="BR858" s="2" t="e">
        <f>VLOOKUP(H858,#REF!,3,FALSE)</f>
        <v>#REF!</v>
      </c>
    </row>
    <row r="859" spans="1:70" s="2" customFormat="1" ht="15" customHeight="1" outlineLevel="2">
      <c r="A859" s="5">
        <v>29</v>
      </c>
      <c r="B859" s="5" t="s">
        <v>11</v>
      </c>
      <c r="C859" s="5" t="s">
        <v>251</v>
      </c>
      <c r="D859" s="5" t="s">
        <v>43</v>
      </c>
      <c r="E859" s="5" t="s">
        <v>46</v>
      </c>
      <c r="F859" s="5" t="s">
        <v>457</v>
      </c>
      <c r="G859" s="5" t="s">
        <v>144</v>
      </c>
      <c r="H859" s="12">
        <v>30349931</v>
      </c>
      <c r="I859" s="42" t="str">
        <f t="shared" si="520"/>
        <v>30349931-EJECUCION</v>
      </c>
      <c r="J859" s="12"/>
      <c r="K859" s="307" t="str">
        <f t="shared" si="521"/>
        <v>30349931</v>
      </c>
      <c r="L859" s="15" t="s">
        <v>820</v>
      </c>
      <c r="M859" s="23">
        <v>330966000</v>
      </c>
      <c r="N859" s="34">
        <v>0</v>
      </c>
      <c r="O859" s="34">
        <v>0</v>
      </c>
      <c r="P859" s="310">
        <v>0</v>
      </c>
      <c r="Q859" s="34">
        <v>0</v>
      </c>
      <c r="R859" s="308">
        <v>0</v>
      </c>
      <c r="S859" s="34">
        <f t="shared" si="522"/>
        <v>0</v>
      </c>
      <c r="T859" s="34">
        <v>0</v>
      </c>
      <c r="U859" s="34">
        <v>0</v>
      </c>
      <c r="V859" s="34">
        <f>P859+Q859+R859+T859+U859</f>
        <v>0</v>
      </c>
      <c r="W859" s="34">
        <f>O859-V859</f>
        <v>0</v>
      </c>
      <c r="X859" s="34">
        <f>M859-(N859+O859)</f>
        <v>330966000</v>
      </c>
      <c r="Y859" s="48" t="s">
        <v>418</v>
      </c>
      <c r="Z859" s="48" t="s">
        <v>10</v>
      </c>
      <c r="AA859" s="2" t="e">
        <v>#N/A</v>
      </c>
      <c r="AB859" s="2" t="e">
        <f>VLOOKUP(H859,#REF!,2,FALSE)</f>
        <v>#REF!</v>
      </c>
      <c r="AJ859" s="185"/>
      <c r="AK859" s="185"/>
      <c r="AL859" s="185"/>
      <c r="AM859" s="185"/>
      <c r="AO859" s="189" t="e">
        <f>VLOOKUP(H859,#REF!,2,FALSE)</f>
        <v>#REF!</v>
      </c>
      <c r="AP859" s="189" t="e">
        <f>VLOOKUP(H859,#REF!,2,FALSE)</f>
        <v>#REF!</v>
      </c>
      <c r="AQ859" s="189"/>
      <c r="AT859" s="2" t="e">
        <f>VLOOKUP(H859,#REF!,13,FALSE)</f>
        <v>#REF!</v>
      </c>
      <c r="AU859" s="2" t="e">
        <f>VLOOKUP(H859,#REF!,13,FALSE)</f>
        <v>#REF!</v>
      </c>
      <c r="AV859" s="2" t="e">
        <f>VLOOKUP(H859,#REF!,13,FALSE)</f>
        <v>#REF!</v>
      </c>
      <c r="AW859" s="2" t="e">
        <f>VLOOKUP(H859,#REF!,13,FALSE)</f>
        <v>#REF!</v>
      </c>
      <c r="AX859" s="2" t="e">
        <f>VLOOKUP(H859,#REF!,9,FALSE)</f>
        <v>#REF!</v>
      </c>
      <c r="AZ859" s="2" t="e">
        <f>VLOOKUP(H859,#REF!,2,FALSE)</f>
        <v>#REF!</v>
      </c>
      <c r="BF859" s="189" t="e">
        <f>VLOOKUP(CLEAN(H859),#REF!,2,FALSE)</f>
        <v>#REF!</v>
      </c>
      <c r="BG859" s="189" t="e">
        <f>T859-BF859</f>
        <v>#REF!</v>
      </c>
      <c r="BO859" s="2" t="e">
        <f>VLOOKUP(H859,#REF!,13,FALSE)</f>
        <v>#REF!</v>
      </c>
      <c r="BP859" s="2" t="e">
        <f>VLOOKUP(H859,#REF!,2,FALSE)</f>
        <v>#REF!</v>
      </c>
      <c r="BQ859" s="2" t="e">
        <f>VLOOKUP(H859,#REF!,13,FALSE)</f>
        <v>#REF!</v>
      </c>
      <c r="BR859" s="2" t="e">
        <f>VLOOKUP(H859,#REF!,3,FALSE)</f>
        <v>#REF!</v>
      </c>
    </row>
    <row r="860" spans="1:70" s="2" customFormat="1" ht="15" customHeight="1" outlineLevel="2">
      <c r="A860" s="5">
        <v>31</v>
      </c>
      <c r="B860" s="5" t="s">
        <v>11</v>
      </c>
      <c r="C860" s="5" t="s">
        <v>248</v>
      </c>
      <c r="D860" s="5" t="s">
        <v>43</v>
      </c>
      <c r="E860" s="5" t="s">
        <v>46</v>
      </c>
      <c r="F860" s="5" t="s">
        <v>77</v>
      </c>
      <c r="G860" s="5" t="s">
        <v>144</v>
      </c>
      <c r="H860" s="12">
        <v>30065600</v>
      </c>
      <c r="I860" s="42" t="str">
        <f t="shared" si="520"/>
        <v>30065600-EJECUCION</v>
      </c>
      <c r="J860" s="191"/>
      <c r="K860" s="307" t="str">
        <f t="shared" si="521"/>
        <v>30065600</v>
      </c>
      <c r="L860" s="15" t="s">
        <v>416</v>
      </c>
      <c r="M860" s="23">
        <v>418012000</v>
      </c>
      <c r="N860" s="34">
        <v>0</v>
      </c>
      <c r="O860" s="34">
        <v>41801200</v>
      </c>
      <c r="P860" s="310">
        <v>0</v>
      </c>
      <c r="Q860" s="34">
        <v>0</v>
      </c>
      <c r="R860" s="308">
        <v>0</v>
      </c>
      <c r="S860" s="34">
        <f t="shared" si="522"/>
        <v>0</v>
      </c>
      <c r="T860" s="34">
        <v>0</v>
      </c>
      <c r="U860" s="34">
        <v>0</v>
      </c>
      <c r="V860" s="34">
        <f>P860+Q860+R860+T860+U860</f>
        <v>0</v>
      </c>
      <c r="W860" s="34">
        <f>O860-V860</f>
        <v>41801200</v>
      </c>
      <c r="X860" s="34">
        <f>M860-(N860+O860)</f>
        <v>376210800</v>
      </c>
      <c r="Y860" s="48" t="s">
        <v>418</v>
      </c>
      <c r="Z860" s="48" t="s">
        <v>8</v>
      </c>
      <c r="AA860" s="2" t="e">
        <v>#N/A</v>
      </c>
      <c r="AB860" s="2" t="e">
        <f>VLOOKUP(H860,#REF!,2,FALSE)</f>
        <v>#REF!</v>
      </c>
      <c r="AC860" s="2" t="e">
        <f>VLOOKUP(I860,#REF!,2,FALSE)</f>
        <v>#REF!</v>
      </c>
      <c r="AD860" s="2" t="e">
        <f>VLOOKUP(H860,#REF!,13,FALSE)</f>
        <v>#REF!</v>
      </c>
      <c r="AE860" s="2" t="e">
        <f>VLOOKUP(I860,#REF!,7,FALSE)</f>
        <v>#REF!</v>
      </c>
      <c r="AG860" s="2" t="e">
        <f>VLOOKUP(H860,#REF!,13,FALSE)</f>
        <v>#REF!</v>
      </c>
      <c r="AH860" s="2" t="e">
        <f>VLOOKUP(I860,#REF!,2,FALSE)</f>
        <v>#REF!</v>
      </c>
      <c r="AJ860" s="185" t="e">
        <f>VLOOKUP(H860,#REF!,3,FALSE)</f>
        <v>#REF!</v>
      </c>
      <c r="AK860" s="185"/>
      <c r="AL860" s="185" t="e">
        <f>VLOOKUP(H860,#REF!,13,FALSE)</f>
        <v>#REF!</v>
      </c>
      <c r="AM860" s="185" t="e">
        <f>VLOOKUP(CLEAN(H860),#REF!,7,FALSE)</f>
        <v>#REF!</v>
      </c>
      <c r="AN860" s="2" t="e">
        <f>VLOOKUP(H860,#REF!,8,FALSE)</f>
        <v>#REF!</v>
      </c>
      <c r="AO860" s="189" t="e">
        <f>VLOOKUP(H860,#REF!,2,FALSE)</f>
        <v>#REF!</v>
      </c>
      <c r="AP860" s="189" t="e">
        <f>VLOOKUP(H860,#REF!,2,FALSE)</f>
        <v>#REF!</v>
      </c>
      <c r="AQ860" s="189"/>
      <c r="AR860" s="2" t="e">
        <f>VLOOKUP(CLEAN(H860),#REF!,2,FALSE)</f>
        <v>#REF!</v>
      </c>
      <c r="AT860" s="2" t="e">
        <f>VLOOKUP(H860,#REF!,13,FALSE)</f>
        <v>#REF!</v>
      </c>
      <c r="AU860" s="2" t="e">
        <f>VLOOKUP(H860,#REF!,13,FALSE)</f>
        <v>#REF!</v>
      </c>
      <c r="AV860" s="2" t="e">
        <f>VLOOKUP(H860,#REF!,13,FALSE)</f>
        <v>#REF!</v>
      </c>
      <c r="AW860" s="2" t="e">
        <f>VLOOKUP(H860,#REF!,13,FALSE)</f>
        <v>#REF!</v>
      </c>
      <c r="AX860" s="2" t="e">
        <f>VLOOKUP(H860,#REF!,9,FALSE)</f>
        <v>#REF!</v>
      </c>
      <c r="AZ860" s="2" t="e">
        <f>VLOOKUP(H860,#REF!,2,FALSE)</f>
        <v>#REF!</v>
      </c>
      <c r="BF860" s="189" t="e">
        <f>VLOOKUP(CLEAN(H860),#REF!,2,FALSE)</f>
        <v>#REF!</v>
      </c>
      <c r="BG860" s="189" t="e">
        <f>T860-BF860</f>
        <v>#REF!</v>
      </c>
      <c r="BO860" s="2" t="e">
        <f>VLOOKUP(H860,#REF!,13,FALSE)</f>
        <v>#REF!</v>
      </c>
      <c r="BP860" s="2" t="e">
        <f>VLOOKUP(H860,#REF!,2,FALSE)</f>
        <v>#REF!</v>
      </c>
      <c r="BQ860" s="2" t="e">
        <f>VLOOKUP(H860,#REF!,13,FALSE)</f>
        <v>#REF!</v>
      </c>
      <c r="BR860" s="2" t="e">
        <f>VLOOKUP(H860,#REF!,3,FALSE)</f>
        <v>#REF!</v>
      </c>
    </row>
    <row r="861" spans="1:70" ht="15" customHeight="1" outlineLevel="2">
      <c r="A861" s="7"/>
      <c r="B861" s="7"/>
      <c r="C861" s="7"/>
      <c r="D861" s="7"/>
      <c r="E861" s="7"/>
      <c r="F861" s="7"/>
      <c r="G861" s="7"/>
      <c r="H861" s="11"/>
      <c r="I861" s="11"/>
      <c r="J861" s="11"/>
      <c r="K861" s="11"/>
      <c r="L861" s="17" t="s">
        <v>702</v>
      </c>
      <c r="M861" s="27">
        <f t="shared" ref="M861:X861" si="523">SUBTOTAL(9,M852:M860)</f>
        <v>1974372000</v>
      </c>
      <c r="N861" s="27">
        <f t="shared" si="523"/>
        <v>0</v>
      </c>
      <c r="O861" s="27">
        <f t="shared" si="523"/>
        <v>299674300</v>
      </c>
      <c r="P861" s="24">
        <f t="shared" si="523"/>
        <v>0</v>
      </c>
      <c r="Q861" s="24">
        <f t="shared" si="523"/>
        <v>0</v>
      </c>
      <c r="R861" s="24">
        <f t="shared" si="523"/>
        <v>0</v>
      </c>
      <c r="S861" s="27">
        <f t="shared" si="523"/>
        <v>0</v>
      </c>
      <c r="T861" s="27">
        <f t="shared" si="523"/>
        <v>0</v>
      </c>
      <c r="U861" s="27">
        <f t="shared" si="523"/>
        <v>0</v>
      </c>
      <c r="V861" s="27">
        <f t="shared" si="523"/>
        <v>0</v>
      </c>
      <c r="W861" s="27">
        <f t="shared" si="523"/>
        <v>299674300</v>
      </c>
      <c r="X861" s="27">
        <f t="shared" si="523"/>
        <v>1674697700</v>
      </c>
      <c r="Y861" s="47"/>
      <c r="Z861" s="47"/>
      <c r="AM861" s="185" t="e">
        <f>VLOOKUP(CLEAN(H861),#REF!,7,FALSE)</f>
        <v>#REF!</v>
      </c>
      <c r="AO861"/>
      <c r="AP861"/>
      <c r="AQ861"/>
      <c r="AR861" s="2" t="e">
        <f>VLOOKUP(CLEAN(H861),#REF!,2,FALSE)</f>
        <v>#REF!</v>
      </c>
      <c r="AZ861" s="2" t="e">
        <f>VLOOKUP(H861,#REF!,2,FALSE)</f>
        <v>#REF!</v>
      </c>
      <c r="BO861" s="2" t="e">
        <f>VLOOKUP(H861,#REF!,13,FALSE)</f>
        <v>#REF!</v>
      </c>
      <c r="BQ861" s="2" t="e">
        <f>VLOOKUP(H861,#REF!,13,FALSE)</f>
        <v>#REF!</v>
      </c>
    </row>
    <row r="862" spans="1:70" ht="15" customHeight="1" outlineLevel="2">
      <c r="A862" s="7"/>
      <c r="B862" s="7"/>
      <c r="C862" s="7"/>
      <c r="D862" s="7"/>
      <c r="E862" s="7"/>
      <c r="F862" s="7"/>
      <c r="G862" s="7"/>
      <c r="H862" s="11"/>
      <c r="I862" s="11"/>
      <c r="J862" s="11"/>
      <c r="K862" s="11"/>
      <c r="L862" s="292"/>
      <c r="M862" s="22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47"/>
      <c r="Z862" s="47"/>
      <c r="AM862" s="185" t="e">
        <f>VLOOKUP(CLEAN(H862),#REF!,7,FALSE)</f>
        <v>#REF!</v>
      </c>
      <c r="AO862"/>
      <c r="AP862"/>
      <c r="AQ862"/>
      <c r="AR862" s="2" t="e">
        <f>VLOOKUP(CLEAN(H862),#REF!,2,FALSE)</f>
        <v>#REF!</v>
      </c>
      <c r="AZ862" s="2" t="e">
        <f>VLOOKUP(H862,#REF!,2,FALSE)</f>
        <v>#REF!</v>
      </c>
      <c r="BO862" s="2" t="e">
        <f>VLOOKUP(H862,#REF!,13,FALSE)</f>
        <v>#REF!</v>
      </c>
      <c r="BP862" s="293"/>
      <c r="BQ862" s="2" t="e">
        <f>VLOOKUP(H862,#REF!,13,FALSE)</f>
        <v>#REF!</v>
      </c>
    </row>
    <row r="863" spans="1:70" ht="15" customHeight="1" outlineLevel="2">
      <c r="A863" s="7"/>
      <c r="B863" s="7"/>
      <c r="C863" s="7"/>
      <c r="D863" s="7"/>
      <c r="E863" s="7"/>
      <c r="F863" s="7"/>
      <c r="G863" s="7"/>
      <c r="H863" s="11"/>
      <c r="I863" s="11"/>
      <c r="J863" s="11"/>
      <c r="K863" s="11"/>
      <c r="L863" s="18" t="s">
        <v>696</v>
      </c>
      <c r="M863" s="22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47"/>
      <c r="Z863" s="47"/>
      <c r="AM863" s="185" t="e">
        <f>VLOOKUP(CLEAN(H863),#REF!,7,FALSE)</f>
        <v>#REF!</v>
      </c>
      <c r="AO863"/>
      <c r="AP863"/>
      <c r="AQ863"/>
      <c r="AR863" s="2" t="e">
        <f>VLOOKUP(CLEAN(H863),#REF!,2,FALSE)</f>
        <v>#REF!</v>
      </c>
      <c r="AZ863" s="2" t="e">
        <f>VLOOKUP(H863,#REF!,2,FALSE)</f>
        <v>#REF!</v>
      </c>
      <c r="BO863" s="2" t="e">
        <f>VLOOKUP(H863,#REF!,13,FALSE)</f>
        <v>#REF!</v>
      </c>
      <c r="BQ863" s="2" t="e">
        <f>VLOOKUP(H863,#REF!,13,FALSE)</f>
        <v>#REF!</v>
      </c>
    </row>
    <row r="864" spans="1:70" s="2" customFormat="1" ht="15" customHeight="1" outlineLevel="2">
      <c r="A864" s="5">
        <v>29</v>
      </c>
      <c r="B864" s="5" t="s">
        <v>11</v>
      </c>
      <c r="C864" s="5" t="s">
        <v>241</v>
      </c>
      <c r="D864" s="5" t="s">
        <v>43</v>
      </c>
      <c r="E864" s="5" t="s">
        <v>46</v>
      </c>
      <c r="F864" s="5" t="s">
        <v>457</v>
      </c>
      <c r="G864" s="5" t="s">
        <v>144</v>
      </c>
      <c r="H864" s="12">
        <v>30471865</v>
      </c>
      <c r="I864" s="42" t="str">
        <f t="shared" ref="I864:I867" si="524">CONCATENATE(H864,"-",G864)</f>
        <v>30471865-EJECUCION</v>
      </c>
      <c r="J864" s="12"/>
      <c r="K864" s="307" t="str">
        <f t="shared" ref="K864:K867" si="525">CLEAN(H864)</f>
        <v>30471865</v>
      </c>
      <c r="L864" s="15" t="s">
        <v>779</v>
      </c>
      <c r="M864" s="23">
        <v>101104000</v>
      </c>
      <c r="N864" s="34">
        <v>0</v>
      </c>
      <c r="O864" s="34">
        <v>101104000</v>
      </c>
      <c r="P864" s="310">
        <v>0</v>
      </c>
      <c r="Q864" s="34">
        <v>0</v>
      </c>
      <c r="R864" s="308">
        <v>0</v>
      </c>
      <c r="S864" s="34">
        <f t="shared" ref="S864:S867" si="526">P864+Q864+R864</f>
        <v>0</v>
      </c>
      <c r="T864" s="34">
        <v>0</v>
      </c>
      <c r="U864" s="34">
        <v>0</v>
      </c>
      <c r="V864" s="34">
        <f>P864+Q864+R864+T864+U864</f>
        <v>0</v>
      </c>
      <c r="W864" s="34">
        <f>O864-V864</f>
        <v>101104000</v>
      </c>
      <c r="X864" s="34">
        <f>M864-(N864+O864)</f>
        <v>0</v>
      </c>
      <c r="Y864" s="48" t="s">
        <v>420</v>
      </c>
      <c r="Z864" s="48" t="s">
        <v>10</v>
      </c>
      <c r="AA864" s="2" t="e">
        <v>#N/A</v>
      </c>
      <c r="AB864" s="2" t="e">
        <f>VLOOKUP(H864,#REF!,2,FALSE)</f>
        <v>#REF!</v>
      </c>
      <c r="AC864" s="2" t="e">
        <f>VLOOKUP(I864,#REF!,2,FALSE)</f>
        <v>#REF!</v>
      </c>
      <c r="AD864" s="2" t="e">
        <f>VLOOKUP(H864,#REF!,13,FALSE)</f>
        <v>#REF!</v>
      </c>
      <c r="AE864" s="2" t="e">
        <f>VLOOKUP(I864,#REF!,7,FALSE)</f>
        <v>#REF!</v>
      </c>
      <c r="AG864" s="2" t="e">
        <f>VLOOKUP(H864,#REF!,13,FALSE)</f>
        <v>#REF!</v>
      </c>
      <c r="AH864" s="2" t="e">
        <f>VLOOKUP(I864,#REF!,2,FALSE)</f>
        <v>#REF!</v>
      </c>
      <c r="AJ864" s="185" t="e">
        <f>VLOOKUP(H864,#REF!,3,FALSE)</f>
        <v>#REF!</v>
      </c>
      <c r="AK864" s="185"/>
      <c r="AL864" s="185" t="e">
        <f>VLOOKUP(H864,#REF!,13,FALSE)</f>
        <v>#REF!</v>
      </c>
      <c r="AM864" s="185" t="e">
        <f>VLOOKUP(CLEAN(H864),#REF!,7,FALSE)</f>
        <v>#REF!</v>
      </c>
      <c r="AN864" s="2" t="e">
        <f>VLOOKUP(H864,#REF!,8,FALSE)</f>
        <v>#REF!</v>
      </c>
      <c r="AO864" s="189" t="e">
        <f>VLOOKUP(H864,#REF!,2,FALSE)</f>
        <v>#REF!</v>
      </c>
      <c r="AP864" s="189" t="e">
        <f>VLOOKUP(H864,#REF!,2,FALSE)</f>
        <v>#REF!</v>
      </c>
      <c r="AQ864" s="189"/>
      <c r="AR864" s="2" t="e">
        <f>VLOOKUP(CLEAN(H864),#REF!,2,FALSE)</f>
        <v>#REF!</v>
      </c>
      <c r="AT864" s="2" t="e">
        <f>VLOOKUP(H864,#REF!,13,FALSE)</f>
        <v>#REF!</v>
      </c>
      <c r="AU864" s="2" t="e">
        <f>VLOOKUP(H864,#REF!,13,FALSE)</f>
        <v>#REF!</v>
      </c>
      <c r="AV864" s="2" t="e">
        <f>VLOOKUP(H864,#REF!,13,FALSE)</f>
        <v>#REF!</v>
      </c>
      <c r="AW864" s="2" t="e">
        <f>VLOOKUP(H864,#REF!,13,FALSE)</f>
        <v>#REF!</v>
      </c>
      <c r="AX864" s="2" t="e">
        <f>VLOOKUP(H864,#REF!,9,FALSE)</f>
        <v>#REF!</v>
      </c>
      <c r="AZ864" s="2" t="e">
        <f>VLOOKUP(H864,#REF!,2,FALSE)</f>
        <v>#REF!</v>
      </c>
      <c r="BF864" s="189" t="e">
        <f>VLOOKUP(CLEAN(H864),#REF!,2,FALSE)</f>
        <v>#REF!</v>
      </c>
      <c r="BG864" s="189" t="e">
        <f>T864-BF864</f>
        <v>#REF!</v>
      </c>
      <c r="BO864" s="2" t="e">
        <f>VLOOKUP(H864,#REF!,13,FALSE)</f>
        <v>#REF!</v>
      </c>
      <c r="BP864" s="2" t="e">
        <f>VLOOKUP(H864,#REF!,2,FALSE)</f>
        <v>#REF!</v>
      </c>
      <c r="BQ864" s="2" t="e">
        <f>VLOOKUP(H864,#REF!,13,FALSE)</f>
        <v>#REF!</v>
      </c>
      <c r="BR864" s="2" t="e">
        <f>VLOOKUP(H864,#REF!,3,FALSE)</f>
        <v>#REF!</v>
      </c>
    </row>
    <row r="865" spans="1:70" s="2" customFormat="1" ht="15" customHeight="1" outlineLevel="2">
      <c r="A865" s="5">
        <v>29</v>
      </c>
      <c r="B865" s="5" t="s">
        <v>11</v>
      </c>
      <c r="C865" s="5" t="s">
        <v>242</v>
      </c>
      <c r="D865" s="5" t="s">
        <v>43</v>
      </c>
      <c r="E865" s="5" t="s">
        <v>46</v>
      </c>
      <c r="F865" s="5" t="s">
        <v>457</v>
      </c>
      <c r="G865" s="5" t="s">
        <v>144</v>
      </c>
      <c r="H865" s="12">
        <v>30480167</v>
      </c>
      <c r="I865" s="42" t="str">
        <f t="shared" si="524"/>
        <v>30480167-EJECUCION</v>
      </c>
      <c r="J865" s="12"/>
      <c r="K865" s="307" t="str">
        <f t="shared" si="525"/>
        <v>30480167</v>
      </c>
      <c r="L865" s="15" t="s">
        <v>774</v>
      </c>
      <c r="M865" s="23">
        <v>74992000</v>
      </c>
      <c r="N865" s="34">
        <v>0</v>
      </c>
      <c r="O865" s="34">
        <v>3749600</v>
      </c>
      <c r="P865" s="310">
        <v>0</v>
      </c>
      <c r="Q865" s="34">
        <v>0</v>
      </c>
      <c r="R865" s="308">
        <v>0</v>
      </c>
      <c r="S865" s="34">
        <f t="shared" si="526"/>
        <v>0</v>
      </c>
      <c r="T865" s="34">
        <v>0</v>
      </c>
      <c r="U865" s="34">
        <v>0</v>
      </c>
      <c r="V865" s="34">
        <f>P865+Q865+R865+T865+U865</f>
        <v>0</v>
      </c>
      <c r="W865" s="34">
        <f>O865-V865</f>
        <v>3749600</v>
      </c>
      <c r="X865" s="34">
        <f>M865-(N865+O865)</f>
        <v>71242400</v>
      </c>
      <c r="Y865" s="48" t="s">
        <v>369</v>
      </c>
      <c r="Z865" s="48" t="s">
        <v>421</v>
      </c>
      <c r="AA865" s="2" t="e">
        <v>#N/A</v>
      </c>
      <c r="AB865" s="2" t="e">
        <f>VLOOKUP(H865,#REF!,2,FALSE)</f>
        <v>#REF!</v>
      </c>
      <c r="AC865" s="2" t="e">
        <f>VLOOKUP(I865,#REF!,2,FALSE)</f>
        <v>#REF!</v>
      </c>
      <c r="AD865" s="2" t="e">
        <f>VLOOKUP(H865,#REF!,13,FALSE)</f>
        <v>#REF!</v>
      </c>
      <c r="AE865" s="2" t="e">
        <f>VLOOKUP(I865,#REF!,7,FALSE)</f>
        <v>#REF!</v>
      </c>
      <c r="AG865" s="2" t="e">
        <f>VLOOKUP(H865,#REF!,13,FALSE)</f>
        <v>#REF!</v>
      </c>
      <c r="AH865" s="2" t="e">
        <f>VLOOKUP(I865,#REF!,2,FALSE)</f>
        <v>#REF!</v>
      </c>
      <c r="AJ865" s="185" t="e">
        <f>VLOOKUP(H865,#REF!,3,FALSE)</f>
        <v>#REF!</v>
      </c>
      <c r="AK865" s="185"/>
      <c r="AL865" s="185" t="e">
        <f>VLOOKUP(H865,#REF!,13,FALSE)</f>
        <v>#REF!</v>
      </c>
      <c r="AM865" s="185" t="e">
        <f>VLOOKUP(CLEAN(H865),#REF!,7,FALSE)</f>
        <v>#REF!</v>
      </c>
      <c r="AN865" s="2" t="e">
        <f>VLOOKUP(H865,#REF!,8,FALSE)</f>
        <v>#REF!</v>
      </c>
      <c r="AO865" s="189" t="e">
        <f>VLOOKUP(H865,#REF!,2,FALSE)</f>
        <v>#REF!</v>
      </c>
      <c r="AP865" s="189" t="e">
        <f>VLOOKUP(H865,#REF!,2,FALSE)</f>
        <v>#REF!</v>
      </c>
      <c r="AQ865" s="189"/>
      <c r="AR865" s="2" t="e">
        <f>VLOOKUP(CLEAN(H865),#REF!,2,FALSE)</f>
        <v>#REF!</v>
      </c>
      <c r="AT865" s="2" t="e">
        <f>VLOOKUP(H865,#REF!,13,FALSE)</f>
        <v>#REF!</v>
      </c>
      <c r="AU865" s="2" t="e">
        <f>VLOOKUP(H865,#REF!,13,FALSE)</f>
        <v>#REF!</v>
      </c>
      <c r="AV865" s="2" t="e">
        <f>VLOOKUP(H865,#REF!,13,FALSE)</f>
        <v>#REF!</v>
      </c>
      <c r="AW865" s="2" t="e">
        <f>VLOOKUP(H865,#REF!,13,FALSE)</f>
        <v>#REF!</v>
      </c>
      <c r="AX865" s="2" t="e">
        <f>VLOOKUP(H865,#REF!,9,FALSE)</f>
        <v>#REF!</v>
      </c>
      <c r="AZ865" s="2" t="e">
        <f>VLOOKUP(H865,#REF!,2,FALSE)</f>
        <v>#REF!</v>
      </c>
      <c r="BF865" s="189" t="e">
        <f>VLOOKUP(CLEAN(H865),#REF!,2,FALSE)</f>
        <v>#REF!</v>
      </c>
      <c r="BG865" s="189" t="e">
        <f>T865-BF865</f>
        <v>#REF!</v>
      </c>
      <c r="BO865" s="2" t="e">
        <f>VLOOKUP(H865,#REF!,13,FALSE)</f>
        <v>#REF!</v>
      </c>
      <c r="BP865" s="2" t="e">
        <f>VLOOKUP(H865,#REF!,2,FALSE)</f>
        <v>#REF!</v>
      </c>
      <c r="BQ865" s="2" t="e">
        <f>VLOOKUP(H865,#REF!,13,FALSE)</f>
        <v>#REF!</v>
      </c>
      <c r="BR865" s="2" t="e">
        <f>VLOOKUP(H865,#REF!,3,FALSE)</f>
        <v>#REF!</v>
      </c>
    </row>
    <row r="866" spans="1:70" s="2" customFormat="1" ht="15" customHeight="1" outlineLevel="2">
      <c r="A866" s="5">
        <v>31</v>
      </c>
      <c r="B866" s="5" t="s">
        <v>11</v>
      </c>
      <c r="C866" s="5" t="s">
        <v>240</v>
      </c>
      <c r="D866" s="5" t="s">
        <v>43</v>
      </c>
      <c r="E866" s="5" t="s">
        <v>46</v>
      </c>
      <c r="F866" s="5" t="s">
        <v>457</v>
      </c>
      <c r="G866" s="5" t="s">
        <v>9</v>
      </c>
      <c r="H866" s="12">
        <v>30311772</v>
      </c>
      <c r="I866" s="42" t="str">
        <f t="shared" si="524"/>
        <v>30311772-DISEÑO</v>
      </c>
      <c r="J866" s="12" t="s">
        <v>739</v>
      </c>
      <c r="K866" s="307" t="str">
        <f t="shared" si="525"/>
        <v>30311772</v>
      </c>
      <c r="L866" s="15" t="s">
        <v>704</v>
      </c>
      <c r="M866" s="23">
        <v>121599000</v>
      </c>
      <c r="N866" s="34">
        <v>0</v>
      </c>
      <c r="O866" s="34">
        <v>5000000</v>
      </c>
      <c r="P866" s="310">
        <v>0</v>
      </c>
      <c r="Q866" s="34">
        <v>0</v>
      </c>
      <c r="R866" s="308">
        <v>0</v>
      </c>
      <c r="S866" s="34">
        <f t="shared" si="526"/>
        <v>0</v>
      </c>
      <c r="T866" s="34">
        <v>0</v>
      </c>
      <c r="U866" s="34">
        <v>0</v>
      </c>
      <c r="V866" s="34">
        <f>P866+Q866+R866+T866+U866</f>
        <v>0</v>
      </c>
      <c r="W866" s="34">
        <f>O866-V866</f>
        <v>5000000</v>
      </c>
      <c r="X866" s="34">
        <f>M866-(N866+O866)</f>
        <v>116599000</v>
      </c>
      <c r="Y866" s="48" t="s">
        <v>246</v>
      </c>
      <c r="Z866" s="48" t="s">
        <v>357</v>
      </c>
      <c r="AA866" s="2" t="e">
        <v>#N/A</v>
      </c>
      <c r="AB866" s="2" t="e">
        <f>VLOOKUP(H866,#REF!,2,FALSE)</f>
        <v>#REF!</v>
      </c>
      <c r="AC866" s="2" t="e">
        <f>VLOOKUP(I866,#REF!,2,FALSE)</f>
        <v>#REF!</v>
      </c>
      <c r="AD866" s="2" t="e">
        <f>VLOOKUP(H866,#REF!,13,FALSE)</f>
        <v>#REF!</v>
      </c>
      <c r="AE866" s="2" t="e">
        <f>VLOOKUP(I866,#REF!,7,FALSE)</f>
        <v>#REF!</v>
      </c>
      <c r="AG866" s="2" t="e">
        <f>VLOOKUP(H866,#REF!,13,FALSE)</f>
        <v>#REF!</v>
      </c>
      <c r="AH866" s="2" t="e">
        <f>VLOOKUP(I866,#REF!,2,FALSE)</f>
        <v>#REF!</v>
      </c>
      <c r="AJ866" s="185" t="e">
        <f>VLOOKUP(H866,#REF!,3,FALSE)</f>
        <v>#REF!</v>
      </c>
      <c r="AK866" s="185"/>
      <c r="AL866" s="185" t="e">
        <f>VLOOKUP(H866,#REF!,13,FALSE)</f>
        <v>#REF!</v>
      </c>
      <c r="AM866" s="185" t="e">
        <f>VLOOKUP(CLEAN(H866),#REF!,7,FALSE)</f>
        <v>#REF!</v>
      </c>
      <c r="AN866" s="2" t="e">
        <f>VLOOKUP(H866,#REF!,8,FALSE)</f>
        <v>#REF!</v>
      </c>
      <c r="AO866" s="189" t="e">
        <f>VLOOKUP(H866,#REF!,2,FALSE)</f>
        <v>#REF!</v>
      </c>
      <c r="AP866" s="189" t="e">
        <f>VLOOKUP(H866,#REF!,2,FALSE)</f>
        <v>#REF!</v>
      </c>
      <c r="AQ866" s="189"/>
      <c r="AR866" s="2" t="e">
        <f>VLOOKUP(CLEAN(H866),#REF!,2,FALSE)</f>
        <v>#REF!</v>
      </c>
      <c r="AT866" s="2" t="e">
        <f>VLOOKUP(H866,#REF!,13,FALSE)</f>
        <v>#REF!</v>
      </c>
      <c r="AU866" s="2" t="e">
        <f>VLOOKUP(H866,#REF!,13,FALSE)</f>
        <v>#REF!</v>
      </c>
      <c r="AV866" s="2" t="e">
        <f>VLOOKUP(H866,#REF!,13,FALSE)</f>
        <v>#REF!</v>
      </c>
      <c r="AW866" s="2" t="e">
        <f>VLOOKUP(H866,#REF!,13,FALSE)</f>
        <v>#REF!</v>
      </c>
      <c r="AX866" s="2" t="e">
        <f>VLOOKUP(H866,#REF!,9,FALSE)</f>
        <v>#REF!</v>
      </c>
      <c r="AZ866" s="2" t="e">
        <f>VLOOKUP(H866,#REF!,2,FALSE)</f>
        <v>#REF!</v>
      </c>
      <c r="BF866" s="189" t="e">
        <f>VLOOKUP(CLEAN(H866),#REF!,2,FALSE)</f>
        <v>#REF!</v>
      </c>
      <c r="BG866" s="189" t="e">
        <f>T866-BF866</f>
        <v>#REF!</v>
      </c>
      <c r="BO866" s="2" t="e">
        <f>VLOOKUP(H866,#REF!,13,FALSE)</f>
        <v>#REF!</v>
      </c>
      <c r="BP866" s="2" t="e">
        <f>VLOOKUP(H866,#REF!,2,FALSE)</f>
        <v>#REF!</v>
      </c>
      <c r="BQ866" s="2" t="e">
        <f>VLOOKUP(H866,#REF!,13,FALSE)</f>
        <v>#REF!</v>
      </c>
      <c r="BR866" s="2" t="e">
        <f>VLOOKUP(H866,#REF!,3,FALSE)</f>
        <v>#REF!</v>
      </c>
    </row>
    <row r="867" spans="1:70" s="2" customFormat="1" ht="15" customHeight="1" outlineLevel="2">
      <c r="A867" s="5">
        <v>31</v>
      </c>
      <c r="B867" s="5" t="s">
        <v>11</v>
      </c>
      <c r="C867" s="5" t="s">
        <v>253</v>
      </c>
      <c r="D867" s="5" t="s">
        <v>43</v>
      </c>
      <c r="E867" s="5" t="s">
        <v>46</v>
      </c>
      <c r="F867" s="5" t="s">
        <v>457</v>
      </c>
      <c r="G867" s="5" t="s">
        <v>144</v>
      </c>
      <c r="H867" s="12">
        <v>30395923</v>
      </c>
      <c r="I867" s="42" t="str">
        <f t="shared" si="524"/>
        <v>30395923-EJECUCION</v>
      </c>
      <c r="J867" s="12"/>
      <c r="K867" s="307" t="str">
        <f t="shared" si="525"/>
        <v>30395923</v>
      </c>
      <c r="L867" s="15" t="s">
        <v>328</v>
      </c>
      <c r="M867" s="23">
        <v>596813000</v>
      </c>
      <c r="N867" s="34">
        <v>0</v>
      </c>
      <c r="O867" s="34">
        <f>59681300-2918798-16529375-20000000</f>
        <v>20233127</v>
      </c>
      <c r="P867" s="310">
        <v>0</v>
      </c>
      <c r="Q867" s="34">
        <v>0</v>
      </c>
      <c r="R867" s="308">
        <v>0</v>
      </c>
      <c r="S867" s="34">
        <f t="shared" si="526"/>
        <v>0</v>
      </c>
      <c r="T867" s="34">
        <v>0</v>
      </c>
      <c r="U867" s="34">
        <v>0</v>
      </c>
      <c r="V867" s="34">
        <f>P867+Q867+R867+T867+U867</f>
        <v>0</v>
      </c>
      <c r="W867" s="34">
        <f>O867-V867</f>
        <v>20233127</v>
      </c>
      <c r="X867" s="34">
        <f>M867-(N867+O867)</f>
        <v>576579873</v>
      </c>
      <c r="Y867" s="48" t="s">
        <v>246</v>
      </c>
      <c r="Z867" s="48" t="s">
        <v>357</v>
      </c>
      <c r="AA867" s="2" t="e">
        <v>#N/A</v>
      </c>
      <c r="AB867" s="2" t="e">
        <f>VLOOKUP(H867,#REF!,2,FALSE)</f>
        <v>#REF!</v>
      </c>
      <c r="AC867" s="2" t="e">
        <f>VLOOKUP(I867,#REF!,2,FALSE)</f>
        <v>#REF!</v>
      </c>
      <c r="AD867" s="2" t="e">
        <f>VLOOKUP(H867,#REF!,13,FALSE)</f>
        <v>#REF!</v>
      </c>
      <c r="AE867" s="2" t="e">
        <f>VLOOKUP(I867,#REF!,7,FALSE)</f>
        <v>#REF!</v>
      </c>
      <c r="AG867" s="2" t="e">
        <f>VLOOKUP(H867,#REF!,13,FALSE)</f>
        <v>#REF!</v>
      </c>
      <c r="AH867" s="2" t="e">
        <f>VLOOKUP(I867,#REF!,2,FALSE)</f>
        <v>#REF!</v>
      </c>
      <c r="AJ867" s="185" t="e">
        <f>VLOOKUP(H867,#REF!,3,FALSE)</f>
        <v>#REF!</v>
      </c>
      <c r="AK867" s="185"/>
      <c r="AL867" s="185" t="e">
        <f>VLOOKUP(H867,#REF!,13,FALSE)</f>
        <v>#REF!</v>
      </c>
      <c r="AM867" s="185" t="e">
        <f>VLOOKUP(CLEAN(H867),#REF!,7,FALSE)</f>
        <v>#REF!</v>
      </c>
      <c r="AN867" s="2" t="e">
        <f>VLOOKUP(H867,#REF!,8,FALSE)</f>
        <v>#REF!</v>
      </c>
      <c r="AO867" s="189" t="e">
        <f>VLOOKUP(H867,#REF!,2,FALSE)</f>
        <v>#REF!</v>
      </c>
      <c r="AP867" s="189" t="e">
        <f>VLOOKUP(H867,#REF!,2,FALSE)</f>
        <v>#REF!</v>
      </c>
      <c r="AQ867" s="189"/>
      <c r="AR867" s="2" t="e">
        <f>VLOOKUP(CLEAN(H867),#REF!,2,FALSE)</f>
        <v>#REF!</v>
      </c>
      <c r="AT867" s="2" t="e">
        <f>VLOOKUP(H867,#REF!,13,FALSE)</f>
        <v>#REF!</v>
      </c>
      <c r="AU867" s="2" t="e">
        <f>VLOOKUP(H867,#REF!,13,FALSE)</f>
        <v>#REF!</v>
      </c>
      <c r="AV867" s="2" t="e">
        <f>VLOOKUP(H867,#REF!,13,FALSE)</f>
        <v>#REF!</v>
      </c>
      <c r="AW867" s="2" t="e">
        <f>VLOOKUP(H867,#REF!,13,FALSE)</f>
        <v>#REF!</v>
      </c>
      <c r="AX867" s="2" t="e">
        <f>VLOOKUP(H867,#REF!,9,FALSE)</f>
        <v>#REF!</v>
      </c>
      <c r="AZ867" s="2" t="e">
        <f>VLOOKUP(H867,#REF!,2,FALSE)</f>
        <v>#REF!</v>
      </c>
      <c r="BF867" s="189" t="e">
        <f>VLOOKUP(CLEAN(H867),#REF!,2,FALSE)</f>
        <v>#REF!</v>
      </c>
      <c r="BG867" s="189" t="e">
        <f>T867-BF867</f>
        <v>#REF!</v>
      </c>
      <c r="BO867" s="2" t="e">
        <f>VLOOKUP(H867,#REF!,13,FALSE)</f>
        <v>#REF!</v>
      </c>
      <c r="BP867" s="2" t="e">
        <f>VLOOKUP(H867,#REF!,2,FALSE)</f>
        <v>#REF!</v>
      </c>
      <c r="BQ867" s="2" t="e">
        <f>VLOOKUP(H867,#REF!,13,FALSE)</f>
        <v>#REF!</v>
      </c>
      <c r="BR867" s="2" t="e">
        <f>VLOOKUP(H867,#REF!,3,FALSE)</f>
        <v>#REF!</v>
      </c>
    </row>
    <row r="868" spans="1:70" ht="15" customHeight="1" outlineLevel="2">
      <c r="A868" s="7"/>
      <c r="B868" s="7"/>
      <c r="C868" s="7"/>
      <c r="D868" s="7"/>
      <c r="E868" s="7"/>
      <c r="F868" s="7"/>
      <c r="G868" s="7"/>
      <c r="H868" s="11"/>
      <c r="I868" s="11"/>
      <c r="J868" s="11"/>
      <c r="K868" s="11"/>
      <c r="L868" s="17" t="s">
        <v>693</v>
      </c>
      <c r="M868" s="27">
        <f t="shared" ref="M868:X868" si="527">SUBTOTAL(9,M864:M867)</f>
        <v>894508000</v>
      </c>
      <c r="N868" s="27">
        <f t="shared" si="527"/>
        <v>0</v>
      </c>
      <c r="O868" s="27">
        <f t="shared" si="527"/>
        <v>130086727</v>
      </c>
      <c r="P868" s="24">
        <f t="shared" si="527"/>
        <v>0</v>
      </c>
      <c r="Q868" s="24">
        <f t="shared" si="527"/>
        <v>0</v>
      </c>
      <c r="R868" s="24">
        <f t="shared" si="527"/>
        <v>0</v>
      </c>
      <c r="S868" s="27">
        <f t="shared" si="527"/>
        <v>0</v>
      </c>
      <c r="T868" s="27">
        <f t="shared" si="527"/>
        <v>0</v>
      </c>
      <c r="U868" s="27">
        <f t="shared" si="527"/>
        <v>0</v>
      </c>
      <c r="V868" s="27">
        <f t="shared" si="527"/>
        <v>0</v>
      </c>
      <c r="W868" s="27">
        <f t="shared" si="527"/>
        <v>130086727</v>
      </c>
      <c r="X868" s="27">
        <f t="shared" si="527"/>
        <v>764421273</v>
      </c>
      <c r="Y868" s="47"/>
      <c r="Z868" s="47"/>
      <c r="AM868" s="185" t="e">
        <f>VLOOKUP(CLEAN(H868),#REF!,7,FALSE)</f>
        <v>#REF!</v>
      </c>
      <c r="AO868"/>
      <c r="AP868"/>
      <c r="AQ868"/>
      <c r="AR868" s="2" t="e">
        <f>VLOOKUP(CLEAN(H868),#REF!,2,FALSE)</f>
        <v>#REF!</v>
      </c>
      <c r="AZ868" s="2" t="e">
        <f>VLOOKUP(H868,#REF!,2,FALSE)</f>
        <v>#REF!</v>
      </c>
      <c r="BO868" s="2" t="e">
        <f>VLOOKUP(H868,#REF!,13,FALSE)</f>
        <v>#REF!</v>
      </c>
      <c r="BQ868" s="2" t="e">
        <f>VLOOKUP(H868,#REF!,13,FALSE)</f>
        <v>#REF!</v>
      </c>
    </row>
    <row r="869" spans="1:70" ht="15" customHeight="1" outlineLevel="2">
      <c r="A869" s="7"/>
      <c r="B869" s="7"/>
      <c r="C869" s="7"/>
      <c r="D869" s="7"/>
      <c r="E869" s="7"/>
      <c r="F869" s="7"/>
      <c r="G869" s="7"/>
      <c r="H869" s="11"/>
      <c r="I869" s="11"/>
      <c r="J869" s="11"/>
      <c r="K869" s="11"/>
      <c r="L869" s="292"/>
      <c r="M869" s="22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47"/>
      <c r="Z869" s="47"/>
      <c r="AM869" s="185" t="e">
        <f>VLOOKUP(CLEAN(H869),#REF!,7,FALSE)</f>
        <v>#REF!</v>
      </c>
      <c r="AO869"/>
      <c r="AP869"/>
      <c r="AQ869"/>
      <c r="AR869" s="2" t="e">
        <f>VLOOKUP(CLEAN(H869),#REF!,2,FALSE)</f>
        <v>#REF!</v>
      </c>
      <c r="AZ869" s="2" t="e">
        <f>VLOOKUP(H869,#REF!,2,FALSE)</f>
        <v>#REF!</v>
      </c>
      <c r="BO869" s="2" t="e">
        <f>VLOOKUP(H869,#REF!,13,FALSE)</f>
        <v>#REF!</v>
      </c>
      <c r="BP869" s="293"/>
      <c r="BQ869" s="2" t="e">
        <f>VLOOKUP(H869,#REF!,13,FALSE)</f>
        <v>#REF!</v>
      </c>
    </row>
    <row r="870" spans="1:70" ht="18.75" customHeight="1" outlineLevel="1">
      <c r="A870" s="7"/>
      <c r="B870" s="7"/>
      <c r="C870" s="7"/>
      <c r="D870" s="7"/>
      <c r="E870" s="8"/>
      <c r="F870" s="7"/>
      <c r="G870" s="7"/>
      <c r="H870" s="11"/>
      <c r="I870" s="11"/>
      <c r="J870" s="11"/>
      <c r="K870" s="11"/>
      <c r="L870" s="45" t="s">
        <v>175</v>
      </c>
      <c r="M870" s="46">
        <f t="shared" ref="M870:X870" si="528">M868+M861+M844+M849</f>
        <v>5425097151</v>
      </c>
      <c r="N870" s="46">
        <f t="shared" si="528"/>
        <v>2229216151</v>
      </c>
      <c r="O870" s="46">
        <f t="shared" si="528"/>
        <v>597952839</v>
      </c>
      <c r="P870" s="46">
        <f t="shared" si="528"/>
        <v>0</v>
      </c>
      <c r="Q870" s="46">
        <f t="shared" si="528"/>
        <v>0</v>
      </c>
      <c r="R870" s="46">
        <f t="shared" si="528"/>
        <v>3970778</v>
      </c>
      <c r="S870" s="46">
        <f t="shared" si="528"/>
        <v>3970778</v>
      </c>
      <c r="T870" s="46">
        <f t="shared" si="528"/>
        <v>58238761</v>
      </c>
      <c r="U870" s="46">
        <f t="shared" si="528"/>
        <v>43743384</v>
      </c>
      <c r="V870" s="46">
        <f t="shared" si="528"/>
        <v>105952923</v>
      </c>
      <c r="W870" s="46">
        <f t="shared" si="528"/>
        <v>491999916</v>
      </c>
      <c r="X870" s="46">
        <f t="shared" si="528"/>
        <v>2597928161</v>
      </c>
      <c r="Y870" s="47"/>
      <c r="Z870" s="47"/>
      <c r="AM870" s="185" t="e">
        <f>VLOOKUP(CLEAN(H870),#REF!,7,FALSE)</f>
        <v>#REF!</v>
      </c>
      <c r="AO870"/>
      <c r="AP870"/>
      <c r="AQ870"/>
      <c r="AR870" s="2" t="e">
        <f>VLOOKUP(CLEAN(H870),#REF!,2,FALSE)</f>
        <v>#REF!</v>
      </c>
      <c r="AZ870" s="2" t="e">
        <f>VLOOKUP(H870,#REF!,2,FALSE)</f>
        <v>#REF!</v>
      </c>
      <c r="BO870" s="2" t="e">
        <f>VLOOKUP(H870,#REF!,13,FALSE)</f>
        <v>#REF!</v>
      </c>
      <c r="BQ870" s="2" t="e">
        <f>VLOOKUP(H870,#REF!,13,FALSE)</f>
        <v>#REF!</v>
      </c>
    </row>
    <row r="871" spans="1:70" s="3" customFormat="1" ht="15" customHeight="1" outlineLevel="1">
      <c r="A871" s="7"/>
      <c r="B871" s="7"/>
      <c r="C871" s="7"/>
      <c r="D871" s="7"/>
      <c r="E871" s="8"/>
      <c r="F871" s="7"/>
      <c r="G871" s="7"/>
      <c r="H871" s="11"/>
      <c r="I871" s="11"/>
      <c r="J871" s="11"/>
      <c r="K871" s="11"/>
      <c r="L871" s="294"/>
      <c r="M871" s="26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47"/>
      <c r="Z871" s="47"/>
      <c r="AJ871" s="186"/>
      <c r="AK871" s="186"/>
      <c r="AL871" s="186"/>
      <c r="AM871" s="185" t="e">
        <f>VLOOKUP(CLEAN(H871),#REF!,7,FALSE)</f>
        <v>#REF!</v>
      </c>
      <c r="AR871" s="2" t="e">
        <f>VLOOKUP(CLEAN(H871),#REF!,2,FALSE)</f>
        <v>#REF!</v>
      </c>
      <c r="AZ871" s="2" t="e">
        <f>VLOOKUP(H871,#REF!,2,FALSE)</f>
        <v>#REF!</v>
      </c>
      <c r="BF871" s="193"/>
      <c r="BO871" s="2" t="e">
        <f>VLOOKUP(H871,#REF!,13,FALSE)</f>
        <v>#REF!</v>
      </c>
      <c r="BP871" s="7"/>
      <c r="BQ871" s="2" t="e">
        <f>VLOOKUP(H871,#REF!,13,FALSE)</f>
        <v>#REF!</v>
      </c>
    </row>
    <row r="872" spans="1:70" ht="26.25" customHeight="1" outlineLevel="1">
      <c r="A872" s="7"/>
      <c r="B872" s="7"/>
      <c r="C872" s="7"/>
      <c r="D872" s="7"/>
      <c r="E872" s="8"/>
      <c r="F872" s="7"/>
      <c r="G872" s="7"/>
      <c r="H872" s="11"/>
      <c r="I872" s="11"/>
      <c r="J872" s="11"/>
      <c r="K872" s="11"/>
      <c r="L872" s="57" t="s">
        <v>211</v>
      </c>
      <c r="M872" s="26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47"/>
      <c r="Z872" s="47"/>
      <c r="AM872" s="185" t="e">
        <f>VLOOKUP(CLEAN(H872),#REF!,7,FALSE)</f>
        <v>#REF!</v>
      </c>
      <c r="AO872"/>
      <c r="AP872"/>
      <c r="AQ872"/>
      <c r="AR872" s="2" t="e">
        <f>VLOOKUP(CLEAN(H872),#REF!,2,FALSE)</f>
        <v>#REF!</v>
      </c>
      <c r="AZ872" s="2" t="e">
        <f>VLOOKUP(H872,#REF!,2,FALSE)</f>
        <v>#REF!</v>
      </c>
      <c r="BO872" s="2" t="e">
        <f>VLOOKUP(H872,#REF!,13,FALSE)</f>
        <v>#REF!</v>
      </c>
      <c r="BQ872" s="2" t="e">
        <f>VLOOKUP(H872,#REF!,13,FALSE)</f>
        <v>#REF!</v>
      </c>
    </row>
    <row r="873" spans="1:70" ht="15" customHeight="1" outlineLevel="1">
      <c r="A873" s="7"/>
      <c r="B873" s="7"/>
      <c r="C873" s="7"/>
      <c r="D873" s="7"/>
      <c r="E873" s="8"/>
      <c r="F873" s="7"/>
      <c r="G873" s="7"/>
      <c r="H873" s="11"/>
      <c r="I873" s="11"/>
      <c r="J873" s="11"/>
      <c r="K873" s="11"/>
      <c r="L873" s="18" t="s">
        <v>695</v>
      </c>
      <c r="M873" s="26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47"/>
      <c r="Z873" s="47"/>
      <c r="AM873" s="185" t="e">
        <f>VLOOKUP(CLEAN(H873),#REF!,7,FALSE)</f>
        <v>#REF!</v>
      </c>
      <c r="AO873"/>
      <c r="AP873"/>
      <c r="AQ873"/>
      <c r="AR873" s="2" t="e">
        <f>VLOOKUP(CLEAN(H873),#REF!,2,FALSE)</f>
        <v>#REF!</v>
      </c>
      <c r="AZ873" s="2" t="e">
        <f>VLOOKUP(H873,#REF!,2,FALSE)</f>
        <v>#REF!</v>
      </c>
      <c r="BO873" s="2" t="e">
        <f>VLOOKUP(H873,#REF!,13,FALSE)</f>
        <v>#REF!</v>
      </c>
      <c r="BQ873" s="2" t="e">
        <f>VLOOKUP(H873,#REF!,13,FALSE)</f>
        <v>#REF!</v>
      </c>
    </row>
    <row r="874" spans="1:70" s="2" customFormat="1" ht="15" customHeight="1" outlineLevel="2">
      <c r="A874" s="5">
        <v>31</v>
      </c>
      <c r="B874" s="5" t="s">
        <v>5</v>
      </c>
      <c r="C874" s="5" t="s">
        <v>242</v>
      </c>
      <c r="D874" s="5" t="s">
        <v>43</v>
      </c>
      <c r="E874" s="5" t="s">
        <v>43</v>
      </c>
      <c r="F874" s="5" t="s">
        <v>77</v>
      </c>
      <c r="G874" s="5" t="s">
        <v>144</v>
      </c>
      <c r="H874" s="12">
        <v>30115295</v>
      </c>
      <c r="I874" s="42" t="str">
        <f t="shared" ref="I874:I875" si="529">CONCATENATE(H874,"-",G874)</f>
        <v>30115295-EJECUCION</v>
      </c>
      <c r="J874" s="12"/>
      <c r="K874" s="307" t="str">
        <f t="shared" ref="K874:K875" si="530">CLEAN(H874)</f>
        <v>30115295</v>
      </c>
      <c r="L874" s="15" t="s">
        <v>612</v>
      </c>
      <c r="M874" s="23">
        <v>704595000</v>
      </c>
      <c r="N874" s="34">
        <v>256755441</v>
      </c>
      <c r="O874" s="34">
        <v>234865000</v>
      </c>
      <c r="P874" s="310">
        <v>1645250</v>
      </c>
      <c r="Q874" s="34">
        <v>40971274</v>
      </c>
      <c r="R874" s="308">
        <v>59963061</v>
      </c>
      <c r="S874" s="34">
        <f t="shared" ref="S874:S875" si="531">P874+Q874+R874</f>
        <v>102579585</v>
      </c>
      <c r="T874" s="34">
        <v>35001460</v>
      </c>
      <c r="U874" s="34">
        <v>1645250</v>
      </c>
      <c r="V874" s="34">
        <f>P874+Q874+R874+T874+U874</f>
        <v>139226295</v>
      </c>
      <c r="W874" s="34">
        <f>O874-V874</f>
        <v>95638705</v>
      </c>
      <c r="X874" s="34">
        <f>M874-(N874+O874)</f>
        <v>212974559</v>
      </c>
      <c r="Y874" s="48" t="s">
        <v>239</v>
      </c>
      <c r="Z874" s="48" t="s">
        <v>8</v>
      </c>
      <c r="AA874" s="2" t="s">
        <v>842</v>
      </c>
      <c r="AB874" s="2" t="e">
        <f>VLOOKUP(H874,#REF!,2,FALSE)</f>
        <v>#REF!</v>
      </c>
      <c r="AC874" s="2" t="e">
        <f>VLOOKUP(I874,#REF!,2,FALSE)</f>
        <v>#REF!</v>
      </c>
      <c r="AD874" s="2" t="e">
        <f>VLOOKUP(H874,#REF!,13,FALSE)</f>
        <v>#REF!</v>
      </c>
      <c r="AE874" s="2" t="e">
        <f>VLOOKUP(I874,#REF!,7,FALSE)</f>
        <v>#REF!</v>
      </c>
      <c r="AG874" s="2" t="e">
        <f>VLOOKUP(H874,#REF!,13,FALSE)</f>
        <v>#REF!</v>
      </c>
      <c r="AH874" s="2" t="e">
        <f>VLOOKUP(I874,#REF!,2,FALSE)</f>
        <v>#REF!</v>
      </c>
      <c r="AJ874" s="185" t="e">
        <f>VLOOKUP(H874,#REF!,3,FALSE)</f>
        <v>#REF!</v>
      </c>
      <c r="AK874" s="185"/>
      <c r="AL874" s="185" t="e">
        <f>VLOOKUP(H874,#REF!,13,FALSE)</f>
        <v>#REF!</v>
      </c>
      <c r="AM874" s="185" t="e">
        <f>VLOOKUP(CLEAN(H874),#REF!,7,FALSE)</f>
        <v>#REF!</v>
      </c>
      <c r="AN874" s="2" t="e">
        <f>VLOOKUP(H874,#REF!,8,FALSE)</f>
        <v>#REF!</v>
      </c>
      <c r="AO874" s="189" t="e">
        <f>VLOOKUP(H874,#REF!,2,FALSE)</f>
        <v>#REF!</v>
      </c>
      <c r="AP874" s="189" t="e">
        <f>VLOOKUP(H874,#REF!,2,FALSE)</f>
        <v>#REF!</v>
      </c>
      <c r="AQ874" s="189" t="e">
        <f>AO874-AP874</f>
        <v>#REF!</v>
      </c>
      <c r="AR874" s="189" t="e">
        <f>VLOOKUP(CLEAN(H874),#REF!,2,FALSE)</f>
        <v>#REF!</v>
      </c>
      <c r="AS874" s="189" t="e">
        <f>T874-AR874</f>
        <v>#REF!</v>
      </c>
      <c r="AT874" s="2" t="e">
        <f>VLOOKUP(H874,#REF!,13,FALSE)</f>
        <v>#REF!</v>
      </c>
      <c r="AU874" s="2" t="e">
        <f>VLOOKUP(H874,#REF!,13,FALSE)</f>
        <v>#REF!</v>
      </c>
      <c r="AV874" s="2" t="e">
        <f>VLOOKUP(H874,#REF!,13,FALSE)</f>
        <v>#REF!</v>
      </c>
      <c r="AW874" s="2" t="e">
        <f>VLOOKUP(H874,#REF!,13,FALSE)</f>
        <v>#REF!</v>
      </c>
      <c r="AX874" s="2" t="e">
        <f>VLOOKUP(H874,#REF!,9,FALSE)</f>
        <v>#REF!</v>
      </c>
      <c r="AZ874" s="189" t="e">
        <f>VLOOKUP(H874,#REF!,2,FALSE)</f>
        <v>#REF!</v>
      </c>
      <c r="BF874" s="189" t="e">
        <f>VLOOKUP(CLEAN(H874),#REF!,2,FALSE)</f>
        <v>#REF!</v>
      </c>
      <c r="BG874" s="189" t="e">
        <f>T874-BF874</f>
        <v>#REF!</v>
      </c>
      <c r="BO874" s="2" t="e">
        <f>VLOOKUP(H874,#REF!,13,FALSE)</f>
        <v>#REF!</v>
      </c>
      <c r="BP874" s="2" t="e">
        <f>VLOOKUP(H874,#REF!,2,FALSE)</f>
        <v>#REF!</v>
      </c>
      <c r="BQ874" s="2" t="e">
        <f>VLOOKUP(H874,#REF!,13,FALSE)</f>
        <v>#REF!</v>
      </c>
      <c r="BR874" s="2" t="e">
        <f>VLOOKUP(H874,#REF!,3,FALSE)</f>
        <v>#REF!</v>
      </c>
    </row>
    <row r="875" spans="1:70" s="2" customFormat="1" ht="15" customHeight="1" outlineLevel="2">
      <c r="A875" s="5">
        <v>31</v>
      </c>
      <c r="B875" s="5" t="s">
        <v>5</v>
      </c>
      <c r="C875" s="5" t="s">
        <v>251</v>
      </c>
      <c r="D875" s="5" t="s">
        <v>43</v>
      </c>
      <c r="E875" s="5" t="s">
        <v>43</v>
      </c>
      <c r="F875" s="5" t="s">
        <v>77</v>
      </c>
      <c r="G875" s="5" t="s">
        <v>9</v>
      </c>
      <c r="H875" s="12">
        <v>30116040</v>
      </c>
      <c r="I875" s="42" t="str">
        <f t="shared" si="529"/>
        <v>30116040-DISEÑO</v>
      </c>
      <c r="J875" s="12"/>
      <c r="K875" s="307" t="str">
        <f t="shared" si="530"/>
        <v>30116040</v>
      </c>
      <c r="L875" s="15" t="s">
        <v>461</v>
      </c>
      <c r="M875" s="23">
        <v>43969000</v>
      </c>
      <c r="N875" s="34">
        <v>35173080</v>
      </c>
      <c r="O875" s="34">
        <v>0</v>
      </c>
      <c r="P875" s="310">
        <v>0</v>
      </c>
      <c r="Q875" s="34">
        <v>0</v>
      </c>
      <c r="R875" s="308">
        <v>0</v>
      </c>
      <c r="S875" s="34">
        <f t="shared" si="531"/>
        <v>0</v>
      </c>
      <c r="T875" s="34">
        <v>0</v>
      </c>
      <c r="U875" s="34">
        <v>0</v>
      </c>
      <c r="V875" s="34">
        <f>P875+Q875+R875+T875+U875</f>
        <v>0</v>
      </c>
      <c r="W875" s="34">
        <f>O875-V875</f>
        <v>0</v>
      </c>
      <c r="X875" s="34">
        <f>M875-(N875+O875)</f>
        <v>8795920</v>
      </c>
      <c r="Y875" s="48" t="s">
        <v>239</v>
      </c>
      <c r="Z875" s="48" t="s">
        <v>8</v>
      </c>
      <c r="AA875" s="2" t="s">
        <v>842</v>
      </c>
      <c r="AB875" s="2" t="e">
        <f>VLOOKUP(H875,#REF!,2,FALSE)</f>
        <v>#REF!</v>
      </c>
      <c r="AC875" s="2" t="e">
        <f>VLOOKUP(I875,#REF!,2,FALSE)</f>
        <v>#REF!</v>
      </c>
      <c r="AD875" s="2" t="e">
        <f>VLOOKUP(H875,#REF!,13,FALSE)</f>
        <v>#REF!</v>
      </c>
      <c r="AE875" s="177" t="e">
        <f>VLOOKUP(I875,#REF!,7,FALSE)</f>
        <v>#REF!</v>
      </c>
      <c r="AG875" s="2" t="e">
        <f>VLOOKUP(H875,#REF!,13,FALSE)</f>
        <v>#REF!</v>
      </c>
      <c r="AH875" s="2" t="e">
        <f>VLOOKUP(I875,#REF!,2,FALSE)</f>
        <v>#REF!</v>
      </c>
      <c r="AJ875" s="185" t="e">
        <f>VLOOKUP(H875,#REF!,3,FALSE)</f>
        <v>#REF!</v>
      </c>
      <c r="AK875" s="185"/>
      <c r="AL875" s="185" t="e">
        <f>VLOOKUP(H875,#REF!,13,FALSE)</f>
        <v>#REF!</v>
      </c>
      <c r="AM875" s="185" t="e">
        <f>VLOOKUP(CLEAN(H875),#REF!,7,FALSE)</f>
        <v>#REF!</v>
      </c>
      <c r="AN875" s="2" t="e">
        <f>VLOOKUP(H875,#REF!,8,FALSE)</f>
        <v>#REF!</v>
      </c>
      <c r="AO875" s="189" t="e">
        <f>VLOOKUP(H875,#REF!,2,FALSE)</f>
        <v>#REF!</v>
      </c>
      <c r="AP875" s="189" t="e">
        <f>VLOOKUP(H875,#REF!,2,FALSE)</f>
        <v>#REF!</v>
      </c>
      <c r="AQ875" s="189"/>
      <c r="AR875" s="2" t="e">
        <f>VLOOKUP(CLEAN(H875),#REF!,2,FALSE)</f>
        <v>#REF!</v>
      </c>
      <c r="AT875" s="2" t="e">
        <f>VLOOKUP(H875,#REF!,13,FALSE)</f>
        <v>#REF!</v>
      </c>
      <c r="AU875" s="2" t="e">
        <f>VLOOKUP(H875,#REF!,13,FALSE)</f>
        <v>#REF!</v>
      </c>
      <c r="AV875" s="2" t="e">
        <f>VLOOKUP(H875,#REF!,13,FALSE)</f>
        <v>#REF!</v>
      </c>
      <c r="AW875" s="2" t="e">
        <f>VLOOKUP(H875,#REF!,13,FALSE)</f>
        <v>#REF!</v>
      </c>
      <c r="AX875" s="2" t="e">
        <f>VLOOKUP(H875,#REF!,9,FALSE)</f>
        <v>#REF!</v>
      </c>
      <c r="AZ875" s="2" t="e">
        <f>VLOOKUP(H875,#REF!,2,FALSE)</f>
        <v>#REF!</v>
      </c>
      <c r="BF875" s="189" t="e">
        <f>VLOOKUP(CLEAN(H875),#REF!,2,FALSE)</f>
        <v>#REF!</v>
      </c>
      <c r="BG875" s="189" t="e">
        <f>T875-BF875</f>
        <v>#REF!</v>
      </c>
      <c r="BO875" s="2" t="e">
        <f>VLOOKUP(H875,#REF!,13,FALSE)</f>
        <v>#REF!</v>
      </c>
      <c r="BP875" s="2" t="e">
        <f>VLOOKUP(H875,#REF!,2,FALSE)</f>
        <v>#REF!</v>
      </c>
      <c r="BQ875" s="2" t="e">
        <f>VLOOKUP(H875,#REF!,13,FALSE)</f>
        <v>#REF!</v>
      </c>
      <c r="BR875" s="2" t="e">
        <f>VLOOKUP(H875,#REF!,3,FALSE)</f>
        <v>#REF!</v>
      </c>
    </row>
    <row r="876" spans="1:70" ht="15" customHeight="1" outlineLevel="1">
      <c r="A876" s="7"/>
      <c r="B876" s="7"/>
      <c r="C876" s="7"/>
      <c r="D876" s="7"/>
      <c r="E876" s="8"/>
      <c r="F876" s="7"/>
      <c r="G876" s="7"/>
      <c r="H876" s="11"/>
      <c r="I876" s="11"/>
      <c r="J876" s="11"/>
      <c r="K876" s="11"/>
      <c r="L876" s="17" t="s">
        <v>691</v>
      </c>
      <c r="M876" s="27">
        <f>SUBTOTAL(9,M874:M875)</f>
        <v>748564000</v>
      </c>
      <c r="N876" s="27">
        <f t="shared" ref="N876:O876" si="532">SUBTOTAL(9,N874:N875)</f>
        <v>291928521</v>
      </c>
      <c r="O876" s="27">
        <f t="shared" si="532"/>
        <v>234865000</v>
      </c>
      <c r="P876" s="24">
        <f t="shared" ref="P876:X876" si="533">SUBTOTAL(9,P874:P875)</f>
        <v>1645250</v>
      </c>
      <c r="Q876" s="24">
        <f t="shared" si="533"/>
        <v>40971274</v>
      </c>
      <c r="R876" s="24">
        <f t="shared" si="533"/>
        <v>59963061</v>
      </c>
      <c r="S876" s="27">
        <f t="shared" si="533"/>
        <v>102579585</v>
      </c>
      <c r="T876" s="27">
        <f t="shared" si="533"/>
        <v>35001460</v>
      </c>
      <c r="U876" s="27">
        <f t="shared" si="533"/>
        <v>1645250</v>
      </c>
      <c r="V876" s="27">
        <f t="shared" si="533"/>
        <v>139226295</v>
      </c>
      <c r="W876" s="27">
        <f t="shared" si="533"/>
        <v>95638705</v>
      </c>
      <c r="X876" s="27">
        <f t="shared" si="533"/>
        <v>221770479</v>
      </c>
      <c r="Y876" s="47"/>
      <c r="Z876" s="47"/>
      <c r="AM876" s="185" t="e">
        <f>VLOOKUP(CLEAN(H876),#REF!,7,FALSE)</f>
        <v>#REF!</v>
      </c>
      <c r="AO876"/>
      <c r="AP876"/>
      <c r="AQ876"/>
      <c r="AR876" s="2" t="e">
        <f>VLOOKUP(CLEAN(H876),#REF!,2,FALSE)</f>
        <v>#REF!</v>
      </c>
      <c r="AZ876" s="2" t="e">
        <f>VLOOKUP(H876,#REF!,2,FALSE)</f>
        <v>#REF!</v>
      </c>
      <c r="BO876" s="2" t="e">
        <f>VLOOKUP(H876,#REF!,13,FALSE)</f>
        <v>#REF!</v>
      </c>
      <c r="BQ876" s="2" t="e">
        <f>VLOOKUP(H876,#REF!,13,FALSE)</f>
        <v>#REF!</v>
      </c>
    </row>
    <row r="877" spans="1:70" s="3" customFormat="1" ht="15" customHeight="1" outlineLevel="1">
      <c r="A877" s="7"/>
      <c r="B877" s="7"/>
      <c r="C877" s="7"/>
      <c r="D877" s="7"/>
      <c r="E877" s="8"/>
      <c r="F877" s="7"/>
      <c r="G877" s="7"/>
      <c r="H877" s="11"/>
      <c r="I877" s="14"/>
      <c r="J877" s="14"/>
      <c r="K877" s="14"/>
      <c r="L877" s="295"/>
      <c r="M877" s="26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47"/>
      <c r="Z877" s="47"/>
      <c r="AJ877" s="186"/>
      <c r="AK877" s="186"/>
      <c r="AL877" s="186"/>
      <c r="AM877" s="186" t="e">
        <f>VLOOKUP(CLEAN(H877),#REF!,7,FALSE)</f>
        <v>#REF!</v>
      </c>
      <c r="AR877" s="3" t="e">
        <f>VLOOKUP(CLEAN(H877),#REF!,2,FALSE)</f>
        <v>#REF!</v>
      </c>
      <c r="AZ877" s="2" t="e">
        <f>VLOOKUP(H877,#REF!,2,FALSE)</f>
        <v>#REF!</v>
      </c>
      <c r="BF877" s="193"/>
      <c r="BO877" s="2" t="e">
        <f>VLOOKUP(H877,#REF!,13,FALSE)</f>
        <v>#REF!</v>
      </c>
      <c r="BP877" s="7"/>
      <c r="BQ877" s="2" t="e">
        <f>VLOOKUP(H877,#REF!,13,FALSE)</f>
        <v>#REF!</v>
      </c>
    </row>
    <row r="878" spans="1:70" s="3" customFormat="1" ht="15" customHeight="1" outlineLevel="1">
      <c r="A878" s="7"/>
      <c r="B878" s="7"/>
      <c r="C878" s="7"/>
      <c r="D878" s="7"/>
      <c r="E878" s="8"/>
      <c r="F878" s="7"/>
      <c r="G878" s="7"/>
      <c r="H878" s="11"/>
      <c r="I878" s="14"/>
      <c r="J878" s="14"/>
      <c r="K878" s="14"/>
      <c r="L878" s="18" t="s">
        <v>698</v>
      </c>
      <c r="M878" s="29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50"/>
      <c r="Z878" s="50"/>
      <c r="AJ878" s="186"/>
      <c r="AK878" s="186"/>
      <c r="AL878" s="186"/>
      <c r="AM878" s="186"/>
      <c r="AZ878" s="2" t="e">
        <f>VLOOKUP(H878,#REF!,2,FALSE)</f>
        <v>#REF!</v>
      </c>
      <c r="BF878" s="193"/>
      <c r="BO878" s="2" t="e">
        <f>VLOOKUP(H878,#REF!,13,FALSE)</f>
        <v>#REF!</v>
      </c>
      <c r="BQ878" s="2" t="e">
        <f>VLOOKUP(H878,#REF!,13,FALSE)</f>
        <v>#REF!</v>
      </c>
    </row>
    <row r="879" spans="1:70" s="2" customFormat="1" ht="15" customHeight="1" outlineLevel="2">
      <c r="A879" s="5">
        <v>29</v>
      </c>
      <c r="B879" s="5" t="s">
        <v>11</v>
      </c>
      <c r="C879" s="5" t="s">
        <v>251</v>
      </c>
      <c r="D879" s="5" t="s">
        <v>43</v>
      </c>
      <c r="E879" s="5" t="s">
        <v>43</v>
      </c>
      <c r="F879" s="5" t="s">
        <v>457</v>
      </c>
      <c r="G879" s="5" t="s">
        <v>144</v>
      </c>
      <c r="H879" s="12">
        <v>40000847</v>
      </c>
      <c r="I879" s="311" t="str">
        <f>CONCATENATE(H879,"-",G879)</f>
        <v>40000847-EJECUCION</v>
      </c>
      <c r="J879" s="190"/>
      <c r="K879" s="309" t="str">
        <f>CLEAN(H879)</f>
        <v>40000847</v>
      </c>
      <c r="L879" s="15" t="s">
        <v>640</v>
      </c>
      <c r="M879" s="23">
        <v>110000000</v>
      </c>
      <c r="N879" s="34">
        <v>0</v>
      </c>
      <c r="O879" s="34">
        <v>110000000</v>
      </c>
      <c r="P879" s="310">
        <v>0</v>
      </c>
      <c r="Q879" s="34">
        <v>0</v>
      </c>
      <c r="R879" s="308">
        <v>0</v>
      </c>
      <c r="S879" s="34">
        <f>P879+Q879+R879</f>
        <v>0</v>
      </c>
      <c r="T879" s="34">
        <v>0</v>
      </c>
      <c r="U879" s="34">
        <v>0</v>
      </c>
      <c r="V879" s="34">
        <f>P879+Q879+R879+T879+U879</f>
        <v>0</v>
      </c>
      <c r="W879" s="34">
        <f>O879-V879</f>
        <v>110000000</v>
      </c>
      <c r="X879" s="34">
        <f>M879-(N879+O879)</f>
        <v>0</v>
      </c>
      <c r="Y879" s="48" t="s">
        <v>460</v>
      </c>
      <c r="Z879" s="48" t="s">
        <v>10</v>
      </c>
      <c r="AA879" s="2" t="e">
        <v>#N/A</v>
      </c>
      <c r="AB879" s="2" t="e">
        <f>VLOOKUP(H879,#REF!,2,FALSE)</f>
        <v>#REF!</v>
      </c>
      <c r="AD879" s="2" t="e">
        <f>VLOOKUP(H879,#REF!,13,FALSE)</f>
        <v>#REF!</v>
      </c>
      <c r="AE879" s="2" t="e">
        <f>VLOOKUP(I879,#REF!,7,FALSE)</f>
        <v>#REF!</v>
      </c>
      <c r="AG879" s="2" t="e">
        <f>VLOOKUP(H879,#REF!,13,FALSE)</f>
        <v>#REF!</v>
      </c>
      <c r="AH879" s="2" t="e">
        <f>VLOOKUP(I879,#REF!,2,FALSE)</f>
        <v>#REF!</v>
      </c>
      <c r="AJ879" s="185" t="e">
        <f>VLOOKUP(H879,#REF!,3,FALSE)</f>
        <v>#REF!</v>
      </c>
      <c r="AK879" s="185"/>
      <c r="AL879" s="185" t="e">
        <f>VLOOKUP(H879,#REF!,13,FALSE)</f>
        <v>#REF!</v>
      </c>
      <c r="AM879" s="185" t="e">
        <f>VLOOKUP(CLEAN(H879),#REF!,7,FALSE)</f>
        <v>#REF!</v>
      </c>
      <c r="AN879" s="2" t="e">
        <f>VLOOKUP(H879,#REF!,8,FALSE)</f>
        <v>#REF!</v>
      </c>
      <c r="AO879" s="189" t="e">
        <f>VLOOKUP(H879,#REF!,2,FALSE)</f>
        <v>#REF!</v>
      </c>
      <c r="AP879" s="189" t="e">
        <f>VLOOKUP(H879,#REF!,2,FALSE)</f>
        <v>#REF!</v>
      </c>
      <c r="AQ879" s="189"/>
      <c r="AR879" s="2" t="e">
        <f>VLOOKUP(CLEAN(H879),#REF!,2,FALSE)</f>
        <v>#REF!</v>
      </c>
      <c r="AT879" s="2" t="e">
        <f>VLOOKUP(H879,#REF!,13,FALSE)</f>
        <v>#REF!</v>
      </c>
      <c r="AU879" s="2" t="e">
        <f>VLOOKUP(H879,#REF!,13,FALSE)</f>
        <v>#REF!</v>
      </c>
      <c r="AV879" s="2" t="e">
        <f>VLOOKUP(H879,#REF!,13,FALSE)</f>
        <v>#REF!</v>
      </c>
      <c r="AW879" s="2" t="e">
        <f>VLOOKUP(H879,#REF!,13,FALSE)</f>
        <v>#REF!</v>
      </c>
      <c r="AX879" s="2" t="e">
        <f>VLOOKUP(H879,#REF!,9,FALSE)</f>
        <v>#REF!</v>
      </c>
      <c r="AY879" s="2" t="s">
        <v>649</v>
      </c>
      <c r="AZ879" s="189" t="e">
        <f>VLOOKUP(H879,#REF!,2,FALSE)</f>
        <v>#REF!</v>
      </c>
      <c r="BF879" s="189" t="e">
        <f>VLOOKUP(CLEAN(H879),#REF!,2,FALSE)</f>
        <v>#REF!</v>
      </c>
      <c r="BG879" s="189" t="e">
        <f>T879-BF879</f>
        <v>#REF!</v>
      </c>
      <c r="BO879" s="2" t="e">
        <f>VLOOKUP(H879,#REF!,13,FALSE)</f>
        <v>#REF!</v>
      </c>
      <c r="BP879" s="2" t="e">
        <f>VLOOKUP(H879,#REF!,2,FALSE)</f>
        <v>#REF!</v>
      </c>
      <c r="BQ879" s="2" t="e">
        <f>VLOOKUP(H879,#REF!,13,FALSE)</f>
        <v>#REF!</v>
      </c>
      <c r="BR879" s="2" t="e">
        <f>VLOOKUP(H879,#REF!,3,FALSE)</f>
        <v>#REF!</v>
      </c>
    </row>
    <row r="880" spans="1:70" s="3" customFormat="1" ht="15" customHeight="1" outlineLevel="1">
      <c r="A880" s="7"/>
      <c r="B880" s="7"/>
      <c r="C880" s="7"/>
      <c r="D880" s="7"/>
      <c r="E880" s="8"/>
      <c r="F880" s="7"/>
      <c r="G880" s="7"/>
      <c r="H880" s="11"/>
      <c r="I880" s="14"/>
      <c r="J880" s="14"/>
      <c r="K880" s="14"/>
      <c r="L880" s="17" t="s">
        <v>692</v>
      </c>
      <c r="M880" s="313">
        <f>SUBTOTAL(9,M879)</f>
        <v>110000000</v>
      </c>
      <c r="N880" s="313">
        <f t="shared" ref="N880:O880" si="534">SUBTOTAL(9,N879)</f>
        <v>0</v>
      </c>
      <c r="O880" s="313">
        <f t="shared" si="534"/>
        <v>110000000</v>
      </c>
      <c r="P880" s="25">
        <f t="shared" ref="P880:X880" si="535">SUBTOTAL(9,P879)</f>
        <v>0</v>
      </c>
      <c r="Q880" s="25">
        <f t="shared" si="535"/>
        <v>0</v>
      </c>
      <c r="R880" s="25">
        <f t="shared" si="535"/>
        <v>0</v>
      </c>
      <c r="S880" s="313">
        <f t="shared" si="535"/>
        <v>0</v>
      </c>
      <c r="T880" s="313">
        <f t="shared" si="535"/>
        <v>0</v>
      </c>
      <c r="U880" s="313">
        <f t="shared" si="535"/>
        <v>0</v>
      </c>
      <c r="V880" s="313">
        <f t="shared" si="535"/>
        <v>0</v>
      </c>
      <c r="W880" s="313">
        <f t="shared" si="535"/>
        <v>110000000</v>
      </c>
      <c r="X880" s="313">
        <f t="shared" si="535"/>
        <v>0</v>
      </c>
      <c r="Y880" s="50"/>
      <c r="Z880" s="50"/>
      <c r="AJ880" s="186"/>
      <c r="AK880" s="186"/>
      <c r="AL880" s="186"/>
      <c r="AM880" s="186"/>
      <c r="AZ880" s="2" t="e">
        <f>VLOOKUP(H880,#REF!,2,FALSE)</f>
        <v>#REF!</v>
      </c>
      <c r="BF880" s="193"/>
      <c r="BO880" s="2" t="e">
        <f>VLOOKUP(H880,#REF!,13,FALSE)</f>
        <v>#REF!</v>
      </c>
      <c r="BQ880" s="2" t="e">
        <f>VLOOKUP(H880,#REF!,13,FALSE)</f>
        <v>#REF!</v>
      </c>
    </row>
    <row r="881" spans="1:70" s="3" customFormat="1" ht="15" customHeight="1" outlineLevel="1">
      <c r="A881" s="7"/>
      <c r="B881" s="7"/>
      <c r="C881" s="7"/>
      <c r="D881" s="7"/>
      <c r="E881" s="8"/>
      <c r="F881" s="7"/>
      <c r="G881" s="7"/>
      <c r="H881" s="11"/>
      <c r="I881" s="14"/>
      <c r="J881" s="14"/>
      <c r="K881" s="14"/>
      <c r="L881" s="295"/>
      <c r="M881" s="26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47"/>
      <c r="Z881" s="47"/>
      <c r="AJ881" s="186"/>
      <c r="AK881" s="186"/>
      <c r="AL881" s="186"/>
      <c r="AM881" s="186"/>
      <c r="AZ881" s="2" t="e">
        <f>VLOOKUP(H881,#REF!,2,FALSE)</f>
        <v>#REF!</v>
      </c>
      <c r="BF881" s="193"/>
      <c r="BO881" s="2" t="e">
        <f>VLOOKUP(H881,#REF!,13,FALSE)</f>
        <v>#REF!</v>
      </c>
      <c r="BP881" s="7"/>
      <c r="BQ881" s="2" t="e">
        <f>VLOOKUP(H881,#REF!,13,FALSE)</f>
        <v>#REF!</v>
      </c>
    </row>
    <row r="882" spans="1:70" ht="15" customHeight="1" outlineLevel="2">
      <c r="A882" s="7"/>
      <c r="B882" s="7"/>
      <c r="C882" s="7"/>
      <c r="D882" s="7"/>
      <c r="E882" s="7"/>
      <c r="F882" s="7"/>
      <c r="G882" s="7"/>
      <c r="H882" s="11"/>
      <c r="I882" s="11"/>
      <c r="J882" s="11"/>
      <c r="K882" s="11"/>
      <c r="L882" s="18" t="s">
        <v>696</v>
      </c>
      <c r="M882" s="22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47"/>
      <c r="Z882" s="47"/>
      <c r="AM882" s="185" t="e">
        <f>VLOOKUP(CLEAN(H882),#REF!,7,FALSE)</f>
        <v>#REF!</v>
      </c>
      <c r="AO882"/>
      <c r="AP882"/>
      <c r="AQ882"/>
      <c r="AR882" s="2" t="e">
        <f>VLOOKUP(CLEAN(H882),#REF!,2,FALSE)</f>
        <v>#REF!</v>
      </c>
      <c r="AZ882" s="2" t="e">
        <f>VLOOKUP(H882,#REF!,2,FALSE)</f>
        <v>#REF!</v>
      </c>
      <c r="BO882" s="2" t="e">
        <f>VLOOKUP(H882,#REF!,13,FALSE)</f>
        <v>#REF!</v>
      </c>
      <c r="BQ882" s="2" t="e">
        <f>VLOOKUP(H882,#REF!,13,FALSE)</f>
        <v>#REF!</v>
      </c>
    </row>
    <row r="883" spans="1:70" s="2" customFormat="1" ht="15" customHeight="1" outlineLevel="2">
      <c r="A883" s="5">
        <v>22</v>
      </c>
      <c r="B883" s="5" t="s">
        <v>54</v>
      </c>
      <c r="C883" s="5" t="s">
        <v>311</v>
      </c>
      <c r="D883" s="5" t="s">
        <v>43</v>
      </c>
      <c r="E883" s="5" t="s">
        <v>43</v>
      </c>
      <c r="F883" s="5" t="s">
        <v>457</v>
      </c>
      <c r="G883" s="5" t="s">
        <v>144</v>
      </c>
      <c r="H883" s="12">
        <v>30474713</v>
      </c>
      <c r="I883" s="42" t="str">
        <f t="shared" ref="I883:I887" si="536">CONCATENATE(H883,"-",G883)</f>
        <v>30474713-EJECUCION</v>
      </c>
      <c r="J883" s="12"/>
      <c r="K883" s="307" t="str">
        <f t="shared" ref="K883:K887" si="537">CLEAN(H883)</f>
        <v>30474713</v>
      </c>
      <c r="L883" s="15" t="s">
        <v>300</v>
      </c>
      <c r="M883" s="23">
        <v>130000000</v>
      </c>
      <c r="N883" s="34">
        <v>0</v>
      </c>
      <c r="O883" s="34">
        <v>39000000</v>
      </c>
      <c r="P883" s="310">
        <v>0</v>
      </c>
      <c r="Q883" s="34">
        <v>0</v>
      </c>
      <c r="R883" s="308">
        <v>0</v>
      </c>
      <c r="S883" s="34">
        <f t="shared" ref="S883:S887" si="538">P883+Q883+R883</f>
        <v>0</v>
      </c>
      <c r="T883" s="34">
        <v>0</v>
      </c>
      <c r="U883" s="34">
        <v>0</v>
      </c>
      <c r="V883" s="34">
        <f>P883+Q883+R883+T883+U883</f>
        <v>0</v>
      </c>
      <c r="W883" s="34">
        <f>O883-V883</f>
        <v>39000000</v>
      </c>
      <c r="X883" s="34">
        <f>M883-(N883+O883)</f>
        <v>91000000</v>
      </c>
      <c r="Y883" s="48" t="s">
        <v>247</v>
      </c>
      <c r="Z883" s="48" t="s">
        <v>10</v>
      </c>
      <c r="AA883" s="2" t="e">
        <v>#N/A</v>
      </c>
      <c r="AB883" s="2" t="e">
        <f>VLOOKUP(H883,#REF!,2,FALSE)</f>
        <v>#REF!</v>
      </c>
      <c r="AC883" s="2" t="e">
        <f>VLOOKUP(I883,#REF!,2,FALSE)</f>
        <v>#REF!</v>
      </c>
      <c r="AD883" s="2" t="e">
        <f>VLOOKUP(H883,#REF!,13,FALSE)</f>
        <v>#REF!</v>
      </c>
      <c r="AE883" s="2" t="e">
        <f>VLOOKUP(I883,#REF!,7,FALSE)</f>
        <v>#REF!</v>
      </c>
      <c r="AG883" s="2" t="e">
        <f>VLOOKUP(H883,#REF!,13,FALSE)</f>
        <v>#REF!</v>
      </c>
      <c r="AH883" s="2" t="e">
        <f>VLOOKUP(I883,#REF!,2,FALSE)</f>
        <v>#REF!</v>
      </c>
      <c r="AJ883" s="185" t="e">
        <f>VLOOKUP(H883,#REF!,3,FALSE)</f>
        <v>#REF!</v>
      </c>
      <c r="AK883" s="185"/>
      <c r="AL883" s="185"/>
      <c r="AM883" s="185" t="e">
        <f>VLOOKUP(CLEAN(H883),#REF!,7,FALSE)</f>
        <v>#REF!</v>
      </c>
      <c r="AN883" s="2" t="e">
        <f>VLOOKUP(H883,#REF!,8,FALSE)</f>
        <v>#REF!</v>
      </c>
      <c r="AO883" s="189" t="e">
        <f>VLOOKUP(H883,#REF!,2,FALSE)</f>
        <v>#REF!</v>
      </c>
      <c r="AP883" s="189" t="e">
        <f>VLOOKUP(H883,#REF!,2,FALSE)</f>
        <v>#REF!</v>
      </c>
      <c r="AQ883" s="189"/>
      <c r="AR883" s="2" t="e">
        <f>VLOOKUP(CLEAN(H883),#REF!,2,FALSE)</f>
        <v>#REF!</v>
      </c>
      <c r="AT883" s="2" t="e">
        <f>VLOOKUP(H883,#REF!,13,FALSE)</f>
        <v>#REF!</v>
      </c>
      <c r="AU883" s="2" t="e">
        <f>VLOOKUP(H883,#REF!,13,FALSE)</f>
        <v>#REF!</v>
      </c>
      <c r="AV883" s="2" t="e">
        <f>VLOOKUP(H883,#REF!,13,FALSE)</f>
        <v>#REF!</v>
      </c>
      <c r="AW883" s="2" t="e">
        <f>VLOOKUP(H883,#REF!,13,FALSE)</f>
        <v>#REF!</v>
      </c>
      <c r="AX883" s="2" t="e">
        <f>VLOOKUP(H883,#REF!,9,FALSE)</f>
        <v>#REF!</v>
      </c>
      <c r="AZ883" s="2" t="e">
        <f>VLOOKUP(H883,#REF!,2,FALSE)</f>
        <v>#REF!</v>
      </c>
      <c r="BF883" s="189" t="e">
        <f>VLOOKUP(CLEAN(H883),#REF!,2,FALSE)</f>
        <v>#REF!</v>
      </c>
      <c r="BG883" s="189" t="e">
        <f>T883-BF883</f>
        <v>#REF!</v>
      </c>
      <c r="BO883" s="2" t="e">
        <f>VLOOKUP(H883,#REF!,13,FALSE)</f>
        <v>#REF!</v>
      </c>
      <c r="BP883" s="2" t="e">
        <f>VLOOKUP(H883,#REF!,2,FALSE)</f>
        <v>#REF!</v>
      </c>
      <c r="BQ883" s="2" t="e">
        <f>VLOOKUP(H883,#REF!,13,FALSE)</f>
        <v>#REF!</v>
      </c>
      <c r="BR883" s="2" t="e">
        <f>VLOOKUP(H883,#REF!,3,FALSE)</f>
        <v>#REF!</v>
      </c>
    </row>
    <row r="884" spans="1:70" s="2" customFormat="1" ht="15" customHeight="1" outlineLevel="2">
      <c r="A884" s="5">
        <v>31</v>
      </c>
      <c r="B884" s="5" t="s">
        <v>11</v>
      </c>
      <c r="C884" s="5" t="s">
        <v>241</v>
      </c>
      <c r="D884" s="5" t="s">
        <v>43</v>
      </c>
      <c r="E884" s="5" t="s">
        <v>43</v>
      </c>
      <c r="F884" s="5" t="s">
        <v>77</v>
      </c>
      <c r="G884" s="5" t="s">
        <v>145</v>
      </c>
      <c r="H884" s="12">
        <v>30384235</v>
      </c>
      <c r="I884" s="42" t="str">
        <f t="shared" si="536"/>
        <v>30384235-PREFACTIBILIDAD</v>
      </c>
      <c r="J884" s="12"/>
      <c r="K884" s="307" t="str">
        <f t="shared" si="537"/>
        <v>30384235</v>
      </c>
      <c r="L884" s="15" t="s">
        <v>768</v>
      </c>
      <c r="M884" s="23">
        <v>565000000</v>
      </c>
      <c r="N884" s="34">
        <v>0</v>
      </c>
      <c r="O884" s="34">
        <f>M884*30%</f>
        <v>169500000</v>
      </c>
      <c r="P884" s="310">
        <v>0</v>
      </c>
      <c r="Q884" s="34">
        <v>0</v>
      </c>
      <c r="R884" s="308">
        <v>0</v>
      </c>
      <c r="S884" s="34">
        <f t="shared" si="538"/>
        <v>0</v>
      </c>
      <c r="T884" s="34">
        <v>0</v>
      </c>
      <c r="U884" s="34">
        <v>0</v>
      </c>
      <c r="V884" s="34">
        <f>P884+Q884+R884+T884+U884</f>
        <v>0</v>
      </c>
      <c r="W884" s="34">
        <f>O884-V884</f>
        <v>169500000</v>
      </c>
      <c r="X884" s="34">
        <f>M884-(N884+O884)</f>
        <v>395500000</v>
      </c>
      <c r="Y884" s="48" t="s">
        <v>500</v>
      </c>
      <c r="Z884" s="48" t="s">
        <v>8</v>
      </c>
      <c r="AA884" s="2" t="s">
        <v>842</v>
      </c>
      <c r="AB884" s="2" t="e">
        <f>VLOOKUP(H884,#REF!,2,FALSE)</f>
        <v>#REF!</v>
      </c>
      <c r="AC884" s="2" t="e">
        <f>VLOOKUP(I884,#REF!,2,FALSE)</f>
        <v>#REF!</v>
      </c>
      <c r="AD884" s="2" t="e">
        <f>VLOOKUP(H884,#REF!,13,FALSE)</f>
        <v>#REF!</v>
      </c>
      <c r="AE884" s="2" t="e">
        <f>VLOOKUP(I884,#REF!,7,FALSE)</f>
        <v>#REF!</v>
      </c>
      <c r="AG884" s="2" t="e">
        <f>VLOOKUP(H884,#REF!,13,FALSE)</f>
        <v>#REF!</v>
      </c>
      <c r="AH884" s="2" t="e">
        <f>VLOOKUP(I884,#REF!,2,FALSE)</f>
        <v>#REF!</v>
      </c>
      <c r="AJ884" s="185" t="e">
        <f>VLOOKUP(H884,#REF!,3,FALSE)</f>
        <v>#REF!</v>
      </c>
      <c r="AK884" s="185"/>
      <c r="AL884" s="185" t="e">
        <f>VLOOKUP(H884,#REF!,13,FALSE)</f>
        <v>#REF!</v>
      </c>
      <c r="AM884" s="185" t="e">
        <f>VLOOKUP(CLEAN(H884),#REF!,7,FALSE)</f>
        <v>#REF!</v>
      </c>
      <c r="AN884" s="2" t="e">
        <f>VLOOKUP(H884,#REF!,8,FALSE)</f>
        <v>#REF!</v>
      </c>
      <c r="AO884" s="189" t="e">
        <f>VLOOKUP(H884,#REF!,2,FALSE)</f>
        <v>#REF!</v>
      </c>
      <c r="AP884" s="189" t="e">
        <f>VLOOKUP(H884,#REF!,2,FALSE)</f>
        <v>#REF!</v>
      </c>
      <c r="AQ884" s="189"/>
      <c r="AR884" s="2" t="e">
        <f>VLOOKUP(CLEAN(H884),#REF!,2,FALSE)</f>
        <v>#REF!</v>
      </c>
      <c r="AT884" s="2" t="e">
        <f>VLOOKUP(H884,#REF!,13,FALSE)</f>
        <v>#REF!</v>
      </c>
      <c r="AU884" s="2" t="e">
        <f>VLOOKUP(H884,#REF!,13,FALSE)</f>
        <v>#REF!</v>
      </c>
      <c r="AV884" s="2" t="e">
        <f>VLOOKUP(H884,#REF!,13,FALSE)</f>
        <v>#REF!</v>
      </c>
      <c r="AW884" s="2" t="e">
        <f>VLOOKUP(H884,#REF!,13,FALSE)</f>
        <v>#REF!</v>
      </c>
      <c r="AX884" s="2" t="e">
        <f>VLOOKUP(H884,#REF!,9,FALSE)</f>
        <v>#REF!</v>
      </c>
      <c r="AZ884" s="2" t="e">
        <f>VLOOKUP(H884,#REF!,2,FALSE)</f>
        <v>#REF!</v>
      </c>
      <c r="BF884" s="189" t="e">
        <f>VLOOKUP(CLEAN(H884),#REF!,2,FALSE)</f>
        <v>#REF!</v>
      </c>
      <c r="BG884" s="189" t="e">
        <f>T884-BF884</f>
        <v>#REF!</v>
      </c>
      <c r="BO884" s="2" t="e">
        <f>VLOOKUP(H884,#REF!,13,FALSE)</f>
        <v>#REF!</v>
      </c>
      <c r="BP884" s="2" t="e">
        <f>VLOOKUP(H884,#REF!,2,FALSE)</f>
        <v>#REF!</v>
      </c>
      <c r="BQ884" s="2" t="e">
        <f>VLOOKUP(H884,#REF!,13,FALSE)</f>
        <v>#REF!</v>
      </c>
      <c r="BR884" s="2" t="e">
        <f>VLOOKUP(H884,#REF!,3,FALSE)</f>
        <v>#REF!</v>
      </c>
    </row>
    <row r="885" spans="1:70" s="2" customFormat="1" ht="15" customHeight="1" outlineLevel="2">
      <c r="A885" s="5">
        <v>31</v>
      </c>
      <c r="B885" s="5" t="s">
        <v>11</v>
      </c>
      <c r="C885" s="5" t="s">
        <v>241</v>
      </c>
      <c r="D885" s="5" t="s">
        <v>43</v>
      </c>
      <c r="E885" s="5" t="s">
        <v>43</v>
      </c>
      <c r="F885" s="5" t="s">
        <v>89</v>
      </c>
      <c r="G885" s="5" t="s">
        <v>144</v>
      </c>
      <c r="H885" s="12">
        <v>30468388</v>
      </c>
      <c r="I885" s="42" t="str">
        <f t="shared" si="536"/>
        <v>30468388-EJECUCION</v>
      </c>
      <c r="J885" s="12"/>
      <c r="K885" s="307" t="str">
        <f t="shared" si="537"/>
        <v>30468388</v>
      </c>
      <c r="L885" s="15" t="s">
        <v>773</v>
      </c>
      <c r="M885" s="23">
        <v>200002000</v>
      </c>
      <c r="N885" s="34">
        <v>0</v>
      </c>
      <c r="O885" s="34">
        <v>10000000</v>
      </c>
      <c r="P885" s="310">
        <v>0</v>
      </c>
      <c r="Q885" s="34">
        <v>0</v>
      </c>
      <c r="R885" s="308">
        <v>0</v>
      </c>
      <c r="S885" s="34">
        <f t="shared" si="538"/>
        <v>0</v>
      </c>
      <c r="T885" s="34">
        <v>0</v>
      </c>
      <c r="U885" s="34">
        <v>0</v>
      </c>
      <c r="V885" s="34">
        <f>P885+Q885+R885+T885+U885</f>
        <v>0</v>
      </c>
      <c r="W885" s="34">
        <f>O885-V885</f>
        <v>10000000</v>
      </c>
      <c r="X885" s="34">
        <f>M885-(N885+O885)</f>
        <v>190002000</v>
      </c>
      <c r="Y885" s="48" t="s">
        <v>246</v>
      </c>
      <c r="Z885" s="48" t="s">
        <v>270</v>
      </c>
      <c r="AA885" s="2" t="e">
        <v>#N/A</v>
      </c>
      <c r="AB885" s="2" t="e">
        <f>VLOOKUP(H885,#REF!,2,FALSE)</f>
        <v>#REF!</v>
      </c>
      <c r="AC885" s="2" t="e">
        <f>VLOOKUP(I885,#REF!,2,FALSE)</f>
        <v>#REF!</v>
      </c>
      <c r="AD885" s="2" t="e">
        <f>VLOOKUP(H885,#REF!,13,FALSE)</f>
        <v>#REF!</v>
      </c>
      <c r="AE885" s="2" t="e">
        <f>VLOOKUP(I885,#REF!,7,FALSE)</f>
        <v>#REF!</v>
      </c>
      <c r="AG885" s="2" t="e">
        <f>VLOOKUP(H885,#REF!,13,FALSE)</f>
        <v>#REF!</v>
      </c>
      <c r="AH885" s="2" t="e">
        <f>VLOOKUP(I885,#REF!,2,FALSE)</f>
        <v>#REF!</v>
      </c>
      <c r="AJ885" s="185" t="e">
        <f>VLOOKUP(H885,#REF!,3,FALSE)</f>
        <v>#REF!</v>
      </c>
      <c r="AK885" s="185"/>
      <c r="AL885" s="185" t="e">
        <f>VLOOKUP(H885,#REF!,13,FALSE)</f>
        <v>#REF!</v>
      </c>
      <c r="AM885" s="185" t="e">
        <f>VLOOKUP(CLEAN(H885),#REF!,7,FALSE)</f>
        <v>#REF!</v>
      </c>
      <c r="AN885" s="2" t="e">
        <f>VLOOKUP(H885,#REF!,8,FALSE)</f>
        <v>#REF!</v>
      </c>
      <c r="AO885" s="189" t="e">
        <f>VLOOKUP(H885,#REF!,2,FALSE)</f>
        <v>#REF!</v>
      </c>
      <c r="AP885" s="189" t="e">
        <f>VLOOKUP(H885,#REF!,2,FALSE)</f>
        <v>#REF!</v>
      </c>
      <c r="AQ885" s="189"/>
      <c r="AR885" s="2" t="e">
        <f>VLOOKUP(CLEAN(H885),#REF!,2,FALSE)</f>
        <v>#REF!</v>
      </c>
      <c r="AT885" s="2" t="e">
        <f>VLOOKUP(H885,#REF!,13,FALSE)</f>
        <v>#REF!</v>
      </c>
      <c r="AU885" s="2" t="e">
        <f>VLOOKUP(H885,#REF!,13,FALSE)</f>
        <v>#REF!</v>
      </c>
      <c r="AV885" s="2" t="e">
        <f>VLOOKUP(H885,#REF!,13,FALSE)</f>
        <v>#REF!</v>
      </c>
      <c r="AW885" s="2" t="e">
        <f>VLOOKUP(H885,#REF!,13,FALSE)</f>
        <v>#REF!</v>
      </c>
      <c r="AX885" s="2" t="e">
        <f>VLOOKUP(H885,#REF!,9,FALSE)</f>
        <v>#REF!</v>
      </c>
      <c r="AZ885" s="2" t="e">
        <f>VLOOKUP(H885,#REF!,2,FALSE)</f>
        <v>#REF!</v>
      </c>
      <c r="BF885" s="189" t="e">
        <f>VLOOKUP(CLEAN(H885),#REF!,2,FALSE)</f>
        <v>#REF!</v>
      </c>
      <c r="BG885" s="189" t="e">
        <f>T885-BF885</f>
        <v>#REF!</v>
      </c>
      <c r="BO885" s="2" t="e">
        <f>VLOOKUP(H885,#REF!,13,FALSE)</f>
        <v>#REF!</v>
      </c>
      <c r="BP885" s="2" t="e">
        <f>VLOOKUP(H885,#REF!,2,FALSE)</f>
        <v>#REF!</v>
      </c>
      <c r="BQ885" s="2" t="e">
        <f>VLOOKUP(H885,#REF!,13,FALSE)</f>
        <v>#REF!</v>
      </c>
      <c r="BR885" s="2" t="e">
        <f>VLOOKUP(H885,#REF!,3,FALSE)</f>
        <v>#REF!</v>
      </c>
    </row>
    <row r="886" spans="1:70" s="2" customFormat="1" ht="15" customHeight="1" outlineLevel="2">
      <c r="A886" s="5">
        <v>31</v>
      </c>
      <c r="B886" s="5" t="s">
        <v>11</v>
      </c>
      <c r="C886" s="5" t="s">
        <v>248</v>
      </c>
      <c r="D886" s="5" t="s">
        <v>43</v>
      </c>
      <c r="E886" s="5" t="s">
        <v>43</v>
      </c>
      <c r="F886" s="5" t="s">
        <v>14</v>
      </c>
      <c r="G886" s="5" t="s">
        <v>144</v>
      </c>
      <c r="H886" s="12">
        <v>30116034</v>
      </c>
      <c r="I886" s="42" t="str">
        <f t="shared" si="536"/>
        <v>30116034-EJECUCION</v>
      </c>
      <c r="J886" s="12"/>
      <c r="K886" s="307" t="str">
        <f t="shared" si="537"/>
        <v>30116034</v>
      </c>
      <c r="L886" s="15" t="s">
        <v>417</v>
      </c>
      <c r="M886" s="23">
        <v>565000000</v>
      </c>
      <c r="N886" s="34">
        <v>0</v>
      </c>
      <c r="O886" s="34">
        <v>18250000</v>
      </c>
      <c r="P886" s="310">
        <v>0</v>
      </c>
      <c r="Q886" s="34">
        <v>0</v>
      </c>
      <c r="R886" s="308">
        <v>0</v>
      </c>
      <c r="S886" s="34">
        <f t="shared" si="538"/>
        <v>0</v>
      </c>
      <c r="T886" s="34">
        <v>0</v>
      </c>
      <c r="U886" s="34">
        <v>0</v>
      </c>
      <c r="V886" s="34">
        <f>P886+Q886+R886+T886+U886</f>
        <v>0</v>
      </c>
      <c r="W886" s="34">
        <f>O886-V886</f>
        <v>18250000</v>
      </c>
      <c r="X886" s="34">
        <f>M886-(N886+O886)</f>
        <v>546750000</v>
      </c>
      <c r="Y886" s="48" t="s">
        <v>246</v>
      </c>
      <c r="Z886" s="48" t="s">
        <v>357</v>
      </c>
      <c r="AA886" s="2" t="e">
        <v>#N/A</v>
      </c>
      <c r="AB886" s="2" t="e">
        <f>VLOOKUP(H886,#REF!,2,FALSE)</f>
        <v>#REF!</v>
      </c>
      <c r="AC886" s="2" t="e">
        <f>VLOOKUP(I886,#REF!,2,FALSE)</f>
        <v>#REF!</v>
      </c>
      <c r="AD886" s="2" t="e">
        <f>VLOOKUP(H886,#REF!,13,FALSE)</f>
        <v>#REF!</v>
      </c>
      <c r="AE886" s="2" t="e">
        <f>VLOOKUP(I886,#REF!,7,FALSE)</f>
        <v>#REF!</v>
      </c>
      <c r="AG886" s="2" t="e">
        <f>VLOOKUP(H886,#REF!,13,FALSE)</f>
        <v>#REF!</v>
      </c>
      <c r="AH886" s="2" t="e">
        <f>VLOOKUP(I886,#REF!,2,FALSE)</f>
        <v>#REF!</v>
      </c>
      <c r="AJ886" s="185" t="e">
        <f>VLOOKUP(H886,#REF!,3,FALSE)</f>
        <v>#REF!</v>
      </c>
      <c r="AK886" s="185"/>
      <c r="AL886" s="185" t="e">
        <f>VLOOKUP(H886,#REF!,13,FALSE)</f>
        <v>#REF!</v>
      </c>
      <c r="AM886" s="185" t="e">
        <f>VLOOKUP(CLEAN(H886),#REF!,7,FALSE)</f>
        <v>#REF!</v>
      </c>
      <c r="AN886" s="2" t="e">
        <f>VLOOKUP(H886,#REF!,8,FALSE)</f>
        <v>#REF!</v>
      </c>
      <c r="AO886" s="189" t="e">
        <f>VLOOKUP(H886,#REF!,2,FALSE)</f>
        <v>#REF!</v>
      </c>
      <c r="AP886" s="189" t="e">
        <f>VLOOKUP(H886,#REF!,2,FALSE)</f>
        <v>#REF!</v>
      </c>
      <c r="AQ886" s="189"/>
      <c r="AR886" s="2" t="e">
        <f>VLOOKUP(CLEAN(H886),#REF!,2,FALSE)</f>
        <v>#REF!</v>
      </c>
      <c r="AT886" s="2" t="e">
        <f>VLOOKUP(H886,#REF!,13,FALSE)</f>
        <v>#REF!</v>
      </c>
      <c r="AU886" s="2" t="e">
        <f>VLOOKUP(H886,#REF!,13,FALSE)</f>
        <v>#REF!</v>
      </c>
      <c r="AV886" s="2" t="e">
        <f>VLOOKUP(H886,#REF!,13,FALSE)</f>
        <v>#REF!</v>
      </c>
      <c r="AW886" s="2" t="e">
        <f>VLOOKUP(H886,#REF!,13,FALSE)</f>
        <v>#REF!</v>
      </c>
      <c r="AX886" s="2" t="e">
        <f>VLOOKUP(H886,#REF!,9,FALSE)</f>
        <v>#REF!</v>
      </c>
      <c r="AZ886" s="2" t="e">
        <f>VLOOKUP(H886,#REF!,2,FALSE)</f>
        <v>#REF!</v>
      </c>
      <c r="BF886" s="189" t="e">
        <f>VLOOKUP(CLEAN(H886),#REF!,2,FALSE)</f>
        <v>#REF!</v>
      </c>
      <c r="BG886" s="189" t="e">
        <f>T886-BF886</f>
        <v>#REF!</v>
      </c>
      <c r="BO886" s="2" t="e">
        <f>VLOOKUP(H886,#REF!,13,FALSE)</f>
        <v>#REF!</v>
      </c>
      <c r="BP886" s="2" t="e">
        <f>VLOOKUP(H886,#REF!,2,FALSE)</f>
        <v>#REF!</v>
      </c>
      <c r="BQ886" s="2" t="e">
        <f>VLOOKUP(H886,#REF!,13,FALSE)</f>
        <v>#REF!</v>
      </c>
      <c r="BR886" s="2" t="e">
        <f>VLOOKUP(H886,#REF!,3,FALSE)</f>
        <v>#REF!</v>
      </c>
    </row>
    <row r="887" spans="1:70" s="2" customFormat="1" ht="15" customHeight="1" outlineLevel="2">
      <c r="A887" s="5">
        <v>31</v>
      </c>
      <c r="B887" s="5" t="s">
        <v>11</v>
      </c>
      <c r="C887" s="5" t="s">
        <v>251</v>
      </c>
      <c r="D887" s="5" t="s">
        <v>43</v>
      </c>
      <c r="E887" s="5" t="s">
        <v>43</v>
      </c>
      <c r="F887" s="5" t="s">
        <v>13</v>
      </c>
      <c r="G887" s="5" t="s">
        <v>144</v>
      </c>
      <c r="H887" s="12">
        <v>30125915</v>
      </c>
      <c r="I887" s="42" t="str">
        <f t="shared" si="536"/>
        <v>30125915-EJECUCION</v>
      </c>
      <c r="J887" s="12"/>
      <c r="K887" s="307" t="str">
        <f t="shared" si="537"/>
        <v>30125915</v>
      </c>
      <c r="L887" s="15" t="s">
        <v>414</v>
      </c>
      <c r="M887" s="23">
        <v>800000000</v>
      </c>
      <c r="N887" s="34">
        <v>0</v>
      </c>
      <c r="O887" s="34">
        <v>40000000</v>
      </c>
      <c r="P887" s="310">
        <v>0</v>
      </c>
      <c r="Q887" s="34">
        <v>0</v>
      </c>
      <c r="R887" s="308">
        <v>0</v>
      </c>
      <c r="S887" s="34">
        <f t="shared" si="538"/>
        <v>0</v>
      </c>
      <c r="T887" s="34">
        <v>0</v>
      </c>
      <c r="U887" s="34">
        <v>0</v>
      </c>
      <c r="V887" s="34">
        <f>P887+Q887+R887+T887+U887</f>
        <v>0</v>
      </c>
      <c r="W887" s="34">
        <f>O887-V887</f>
        <v>40000000</v>
      </c>
      <c r="X887" s="34">
        <f>M887-(N887+O887)</f>
        <v>760000000</v>
      </c>
      <c r="Y887" s="48" t="s">
        <v>246</v>
      </c>
      <c r="Z887" s="48" t="s">
        <v>357</v>
      </c>
      <c r="AA887" s="2" t="e">
        <v>#N/A</v>
      </c>
      <c r="AB887" s="2" t="e">
        <f>VLOOKUP(H887,#REF!,2,FALSE)</f>
        <v>#REF!</v>
      </c>
      <c r="AC887" s="2" t="e">
        <f>VLOOKUP(I887,#REF!,2,FALSE)</f>
        <v>#REF!</v>
      </c>
      <c r="AD887" s="2" t="e">
        <f>VLOOKUP(H887,#REF!,13,FALSE)</f>
        <v>#REF!</v>
      </c>
      <c r="AE887" s="2" t="e">
        <f>VLOOKUP(I887,#REF!,7,FALSE)</f>
        <v>#REF!</v>
      </c>
      <c r="AG887" s="2" t="e">
        <f>VLOOKUP(H887,#REF!,13,FALSE)</f>
        <v>#REF!</v>
      </c>
      <c r="AH887" s="2" t="e">
        <f>VLOOKUP(I887,#REF!,2,FALSE)</f>
        <v>#REF!</v>
      </c>
      <c r="AJ887" s="185" t="e">
        <f>VLOOKUP(H887,#REF!,3,FALSE)</f>
        <v>#REF!</v>
      </c>
      <c r="AK887" s="185"/>
      <c r="AL887" s="185" t="e">
        <f>VLOOKUP(H887,#REF!,13,FALSE)</f>
        <v>#REF!</v>
      </c>
      <c r="AM887" s="185" t="e">
        <f>VLOOKUP(CLEAN(H887),#REF!,7,FALSE)</f>
        <v>#REF!</v>
      </c>
      <c r="AN887" s="2" t="e">
        <f>VLOOKUP(H887,#REF!,8,FALSE)</f>
        <v>#REF!</v>
      </c>
      <c r="AO887" s="189" t="e">
        <f>VLOOKUP(H887,#REF!,2,FALSE)</f>
        <v>#REF!</v>
      </c>
      <c r="AP887" s="189" t="e">
        <f>VLOOKUP(H887,#REF!,2,FALSE)</f>
        <v>#REF!</v>
      </c>
      <c r="AQ887" s="189"/>
      <c r="AR887" s="2" t="e">
        <f>VLOOKUP(CLEAN(H887),#REF!,2,FALSE)</f>
        <v>#REF!</v>
      </c>
      <c r="AT887" s="2" t="e">
        <f>VLOOKUP(H887,#REF!,13,FALSE)</f>
        <v>#REF!</v>
      </c>
      <c r="AU887" s="2" t="e">
        <f>VLOOKUP(H887,#REF!,13,FALSE)</f>
        <v>#REF!</v>
      </c>
      <c r="AV887" s="2" t="e">
        <f>VLOOKUP(H887,#REF!,13,FALSE)</f>
        <v>#REF!</v>
      </c>
      <c r="AW887" s="2" t="e">
        <f>VLOOKUP(H887,#REF!,13,FALSE)</f>
        <v>#REF!</v>
      </c>
      <c r="AX887" s="2" t="e">
        <f>VLOOKUP(H887,#REF!,9,FALSE)</f>
        <v>#REF!</v>
      </c>
      <c r="AZ887" s="2" t="e">
        <f>VLOOKUP(H887,#REF!,2,FALSE)</f>
        <v>#REF!</v>
      </c>
      <c r="BF887" s="189" t="e">
        <f>VLOOKUP(CLEAN(H887),#REF!,2,FALSE)</f>
        <v>#REF!</v>
      </c>
      <c r="BG887" s="189" t="e">
        <f>T887-BF887</f>
        <v>#REF!</v>
      </c>
      <c r="BO887" s="2" t="e">
        <f>VLOOKUP(H887,#REF!,13,FALSE)</f>
        <v>#REF!</v>
      </c>
      <c r="BP887" s="2" t="e">
        <f>VLOOKUP(H887,#REF!,2,FALSE)</f>
        <v>#REF!</v>
      </c>
      <c r="BQ887" s="2" t="e">
        <f>VLOOKUP(H887,#REF!,13,FALSE)</f>
        <v>#REF!</v>
      </c>
      <c r="BR887" s="2" t="e">
        <f>VLOOKUP(H887,#REF!,3,FALSE)</f>
        <v>#REF!</v>
      </c>
    </row>
    <row r="888" spans="1:70" ht="15" customHeight="1" outlineLevel="2">
      <c r="A888" s="7"/>
      <c r="B888" s="7"/>
      <c r="C888" s="7"/>
      <c r="D888" s="7"/>
      <c r="E888" s="7"/>
      <c r="F888" s="7"/>
      <c r="G888" s="7"/>
      <c r="H888" s="11"/>
      <c r="I888" s="11"/>
      <c r="J888" s="11"/>
      <c r="K888" s="11"/>
      <c r="L888" s="17" t="s">
        <v>693</v>
      </c>
      <c r="M888" s="27">
        <f>SUBTOTAL(9,M883:M887)</f>
        <v>2260002000</v>
      </c>
      <c r="N888" s="27">
        <f t="shared" ref="N888:O888" si="539">SUBTOTAL(9,N883:N887)</f>
        <v>0</v>
      </c>
      <c r="O888" s="27">
        <f t="shared" si="539"/>
        <v>276750000</v>
      </c>
      <c r="P888" s="24">
        <f t="shared" ref="P888:X888" si="540">SUBTOTAL(9,P883:P887)</f>
        <v>0</v>
      </c>
      <c r="Q888" s="24">
        <f t="shared" si="540"/>
        <v>0</v>
      </c>
      <c r="R888" s="24">
        <f t="shared" si="540"/>
        <v>0</v>
      </c>
      <c r="S888" s="27">
        <f t="shared" si="540"/>
        <v>0</v>
      </c>
      <c r="T888" s="27">
        <f t="shared" si="540"/>
        <v>0</v>
      </c>
      <c r="U888" s="27">
        <f t="shared" si="540"/>
        <v>0</v>
      </c>
      <c r="V888" s="27">
        <f t="shared" si="540"/>
        <v>0</v>
      </c>
      <c r="W888" s="27">
        <f t="shared" si="540"/>
        <v>276750000</v>
      </c>
      <c r="X888" s="27">
        <f t="shared" si="540"/>
        <v>1983252000</v>
      </c>
      <c r="Y888" s="47"/>
      <c r="Z888" s="47"/>
      <c r="AM888" s="185" t="e">
        <f>VLOOKUP(CLEAN(H888),#REF!,7,FALSE)</f>
        <v>#REF!</v>
      </c>
      <c r="AO888"/>
      <c r="AP888"/>
      <c r="AQ888"/>
      <c r="AR888" s="2" t="e">
        <f>VLOOKUP(CLEAN(H888),#REF!,2,FALSE)</f>
        <v>#REF!</v>
      </c>
      <c r="AZ888" s="2" t="e">
        <f>VLOOKUP(H888,#REF!,2,FALSE)</f>
        <v>#REF!</v>
      </c>
      <c r="BO888" s="2" t="e">
        <f>VLOOKUP(H888,#REF!,13,FALSE)</f>
        <v>#REF!</v>
      </c>
      <c r="BQ888" s="2" t="e">
        <f>VLOOKUP(H888,#REF!,13,FALSE)</f>
        <v>#REF!</v>
      </c>
    </row>
    <row r="889" spans="1:70" ht="15" customHeight="1" outlineLevel="2">
      <c r="A889" s="7"/>
      <c r="B889" s="7"/>
      <c r="C889" s="7"/>
      <c r="D889" s="7"/>
      <c r="E889" s="7"/>
      <c r="F889" s="7"/>
      <c r="G889" s="7"/>
      <c r="H889" s="11"/>
      <c r="I889" s="11"/>
      <c r="J889" s="11"/>
      <c r="K889" s="11"/>
      <c r="L889" s="292"/>
      <c r="M889" s="22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47"/>
      <c r="Z889" s="47"/>
      <c r="AM889" s="185" t="e">
        <f>VLOOKUP(CLEAN(H889),#REF!,7,FALSE)</f>
        <v>#REF!</v>
      </c>
      <c r="AO889"/>
      <c r="AP889"/>
      <c r="AQ889"/>
      <c r="AR889" s="2" t="e">
        <f>VLOOKUP(CLEAN(H889),#REF!,2,FALSE)</f>
        <v>#REF!</v>
      </c>
      <c r="AZ889" s="2" t="e">
        <f>VLOOKUP(H889,#REF!,2,FALSE)</f>
        <v>#REF!</v>
      </c>
      <c r="BO889" s="2" t="e">
        <f>VLOOKUP(H889,#REF!,13,FALSE)</f>
        <v>#REF!</v>
      </c>
      <c r="BP889" s="293"/>
      <c r="BQ889" s="2" t="e">
        <f>VLOOKUP(H889,#REF!,13,FALSE)</f>
        <v>#REF!</v>
      </c>
    </row>
    <row r="890" spans="1:70" ht="18.75" customHeight="1" outlineLevel="1">
      <c r="A890" s="7"/>
      <c r="B890" s="7"/>
      <c r="C890" s="7"/>
      <c r="D890" s="7"/>
      <c r="E890" s="8"/>
      <c r="F890" s="7"/>
      <c r="G890" s="7"/>
      <c r="H890" s="11"/>
      <c r="I890" s="11"/>
      <c r="J890" s="11"/>
      <c r="K890" s="11"/>
      <c r="L890" s="45" t="s">
        <v>176</v>
      </c>
      <c r="M890" s="46">
        <f>M888+M876+M880</f>
        <v>3118566000</v>
      </c>
      <c r="N890" s="46">
        <f t="shared" ref="N890:O890" si="541">N888+N876+N880</f>
        <v>291928521</v>
      </c>
      <c r="O890" s="46">
        <f t="shared" si="541"/>
        <v>621615000</v>
      </c>
      <c r="P890" s="46">
        <f t="shared" ref="P890:X890" si="542">P888+P876+P880</f>
        <v>1645250</v>
      </c>
      <c r="Q890" s="46">
        <f t="shared" si="542"/>
        <v>40971274</v>
      </c>
      <c r="R890" s="46">
        <f t="shared" si="542"/>
        <v>59963061</v>
      </c>
      <c r="S890" s="46">
        <f t="shared" si="542"/>
        <v>102579585</v>
      </c>
      <c r="T890" s="46">
        <f t="shared" si="542"/>
        <v>35001460</v>
      </c>
      <c r="U890" s="46">
        <f t="shared" si="542"/>
        <v>1645250</v>
      </c>
      <c r="V890" s="46">
        <f t="shared" si="542"/>
        <v>139226295</v>
      </c>
      <c r="W890" s="46">
        <f t="shared" si="542"/>
        <v>482388705</v>
      </c>
      <c r="X890" s="46">
        <f t="shared" si="542"/>
        <v>2205022479</v>
      </c>
      <c r="Y890" s="47"/>
      <c r="Z890" s="47"/>
      <c r="AM890" s="185" t="e">
        <f>VLOOKUP(CLEAN(H890),#REF!,7,FALSE)</f>
        <v>#REF!</v>
      </c>
      <c r="AO890"/>
      <c r="AP890"/>
      <c r="AQ890"/>
      <c r="AR890" s="2" t="e">
        <f>VLOOKUP(CLEAN(H890),#REF!,2,FALSE)</f>
        <v>#REF!</v>
      </c>
      <c r="AZ890" s="2" t="e">
        <f>VLOOKUP(H890,#REF!,2,FALSE)</f>
        <v>#REF!</v>
      </c>
      <c r="BO890" s="2" t="e">
        <f>VLOOKUP(H890,#REF!,13,FALSE)</f>
        <v>#REF!</v>
      </c>
      <c r="BQ890" s="2" t="e">
        <f>VLOOKUP(H890,#REF!,13,FALSE)</f>
        <v>#REF!</v>
      </c>
    </row>
    <row r="891" spans="1:70" s="3" customFormat="1" ht="15" customHeight="1" outlineLevel="1">
      <c r="A891" s="7"/>
      <c r="B891" s="7"/>
      <c r="C891" s="7"/>
      <c r="D891" s="7"/>
      <c r="E891" s="8"/>
      <c r="F891" s="7"/>
      <c r="G891" s="7"/>
      <c r="H891" s="11"/>
      <c r="I891" s="11"/>
      <c r="J891" s="11"/>
      <c r="K891" s="11"/>
      <c r="L891" s="294"/>
      <c r="M891" s="26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47"/>
      <c r="Z891" s="47"/>
      <c r="AJ891" s="186"/>
      <c r="AK891" s="186"/>
      <c r="AL891" s="186"/>
      <c r="AM891" s="185" t="e">
        <f>VLOOKUP(CLEAN(H891),#REF!,7,FALSE)</f>
        <v>#REF!</v>
      </c>
      <c r="AR891" s="2" t="e">
        <f>VLOOKUP(CLEAN(H891),#REF!,2,FALSE)</f>
        <v>#REF!</v>
      </c>
      <c r="AZ891" s="2" t="e">
        <f>VLOOKUP(H891,#REF!,2,FALSE)</f>
        <v>#REF!</v>
      </c>
      <c r="BF891" s="193"/>
      <c r="BO891" s="2" t="e">
        <f>VLOOKUP(H891,#REF!,13,FALSE)</f>
        <v>#REF!</v>
      </c>
      <c r="BP891" s="7"/>
      <c r="BQ891" s="2" t="e">
        <f>VLOOKUP(H891,#REF!,13,FALSE)</f>
        <v>#REF!</v>
      </c>
    </row>
    <row r="892" spans="1:70" ht="21" customHeight="1" outlineLevel="1">
      <c r="A892" s="7"/>
      <c r="B892" s="7"/>
      <c r="C892" s="7"/>
      <c r="D892" s="7"/>
      <c r="E892" s="8"/>
      <c r="F892" s="7"/>
      <c r="G892" s="7"/>
      <c r="H892" s="11"/>
      <c r="I892" s="11"/>
      <c r="J892" s="11"/>
      <c r="K892" s="11"/>
      <c r="L892" s="53" t="s">
        <v>184</v>
      </c>
      <c r="M892" s="26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49"/>
      <c r="Z892" s="49"/>
      <c r="AM892" s="185" t="e">
        <f>VLOOKUP(CLEAN(H892),#REF!,7,FALSE)</f>
        <v>#REF!</v>
      </c>
      <c r="AO892"/>
      <c r="AP892"/>
      <c r="AQ892"/>
      <c r="AR892" s="2" t="e">
        <f>VLOOKUP(CLEAN(H892),#REF!,2,FALSE)</f>
        <v>#REF!</v>
      </c>
      <c r="AZ892" s="2" t="e">
        <f>VLOOKUP(H892,#REF!,2,FALSE)</f>
        <v>#REF!</v>
      </c>
      <c r="BO892" s="2" t="e">
        <f>VLOOKUP(H892,#REF!,13,FALSE)</f>
        <v>#REF!</v>
      </c>
      <c r="BQ892" s="2" t="e">
        <f>VLOOKUP(H892,#REF!,13,FALSE)</f>
        <v>#REF!</v>
      </c>
    </row>
    <row r="893" spans="1:70" ht="15" customHeight="1" outlineLevel="1">
      <c r="A893" s="7"/>
      <c r="B893" s="7"/>
      <c r="C893" s="7"/>
      <c r="D893" s="7"/>
      <c r="E893" s="8"/>
      <c r="F893" s="7"/>
      <c r="G893" s="7"/>
      <c r="H893" s="11"/>
      <c r="I893" s="11"/>
      <c r="J893" s="11"/>
      <c r="K893" s="11"/>
      <c r="L893" s="18" t="s">
        <v>695</v>
      </c>
      <c r="M893" s="26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47"/>
      <c r="Z893" s="47"/>
      <c r="AM893" s="185" t="e">
        <f>VLOOKUP(CLEAN(H893),#REF!,7,FALSE)</f>
        <v>#REF!</v>
      </c>
      <c r="AO893"/>
      <c r="AP893"/>
      <c r="AQ893"/>
      <c r="AR893" s="2" t="e">
        <f>VLOOKUP(CLEAN(H893),#REF!,2,FALSE)</f>
        <v>#REF!</v>
      </c>
      <c r="AZ893" s="2" t="e">
        <f>VLOOKUP(H893,#REF!,2,FALSE)</f>
        <v>#REF!</v>
      </c>
      <c r="BO893" s="2" t="e">
        <f>VLOOKUP(H893,#REF!,13,FALSE)</f>
        <v>#REF!</v>
      </c>
      <c r="BQ893" s="2" t="e">
        <f>VLOOKUP(H893,#REF!,13,FALSE)</f>
        <v>#REF!</v>
      </c>
    </row>
    <row r="894" spans="1:70" s="2" customFormat="1" ht="15" customHeight="1" outlineLevel="2">
      <c r="A894" s="5">
        <v>31</v>
      </c>
      <c r="B894" s="5" t="s">
        <v>5</v>
      </c>
      <c r="C894" s="5" t="s">
        <v>241</v>
      </c>
      <c r="D894" s="5" t="s">
        <v>43</v>
      </c>
      <c r="E894" s="5" t="s">
        <v>47</v>
      </c>
      <c r="F894" s="5" t="s">
        <v>77</v>
      </c>
      <c r="G894" s="5" t="s">
        <v>144</v>
      </c>
      <c r="H894" s="12">
        <v>30071449</v>
      </c>
      <c r="I894" s="311" t="str">
        <f t="shared" ref="I894:I903" si="543">CONCATENATE(H894,"-",G894)</f>
        <v>30071449-EJECUCION</v>
      </c>
      <c r="J894" s="190"/>
      <c r="K894" s="309" t="str">
        <f t="shared" ref="K894:K903" si="544">CLEAN(H894)</f>
        <v>30071449</v>
      </c>
      <c r="L894" s="15" t="s">
        <v>679</v>
      </c>
      <c r="M894" s="23">
        <f>23413705000+2845472000</f>
        <v>26259177000</v>
      </c>
      <c r="N894" s="34">
        <v>17047207852</v>
      </c>
      <c r="O894" s="34">
        <v>4494092066</v>
      </c>
      <c r="P894" s="310">
        <v>0</v>
      </c>
      <c r="Q894" s="34">
        <v>668533488</v>
      </c>
      <c r="R894" s="308">
        <v>735673033</v>
      </c>
      <c r="S894" s="34">
        <f t="shared" ref="S894:S903" si="545">P894+Q894+R894</f>
        <v>1404206521</v>
      </c>
      <c r="T894" s="34">
        <v>1718881545</v>
      </c>
      <c r="U894" s="34">
        <v>859872612</v>
      </c>
      <c r="V894" s="34">
        <f>P894+Q894+R894+T894+U894</f>
        <v>3982960678</v>
      </c>
      <c r="W894" s="34">
        <f>O894-V894</f>
        <v>511131388</v>
      </c>
      <c r="X894" s="34">
        <f>M894-(N894+O894)</f>
        <v>4717877082</v>
      </c>
      <c r="Y894" s="48" t="s">
        <v>239</v>
      </c>
      <c r="Z894" s="48" t="s">
        <v>8</v>
      </c>
      <c r="AA894" s="2" t="s">
        <v>842</v>
      </c>
      <c r="AB894" s="2" t="e">
        <f>VLOOKUP(H894,#REF!,2,FALSE)</f>
        <v>#REF!</v>
      </c>
      <c r="AC894" s="2" t="e">
        <f>VLOOKUP(I894,#REF!,2,FALSE)</f>
        <v>#REF!</v>
      </c>
      <c r="AD894" s="2" t="e">
        <f>VLOOKUP(H894,#REF!,13,FALSE)</f>
        <v>#REF!</v>
      </c>
      <c r="AE894" s="2" t="e">
        <f>VLOOKUP(I894,#REF!,7,FALSE)</f>
        <v>#REF!</v>
      </c>
      <c r="AG894" s="2" t="e">
        <f>VLOOKUP(H894,#REF!,13,FALSE)</f>
        <v>#REF!</v>
      </c>
      <c r="AH894" s="2" t="e">
        <f>VLOOKUP(I894,#REF!,2,FALSE)</f>
        <v>#REF!</v>
      </c>
      <c r="AJ894" s="185" t="e">
        <f>VLOOKUP(H894,#REF!,3,FALSE)</f>
        <v>#REF!</v>
      </c>
      <c r="AK894" s="185"/>
      <c r="AL894" s="185" t="e">
        <f>VLOOKUP(H894,#REF!,13,FALSE)</f>
        <v>#REF!</v>
      </c>
      <c r="AM894" s="185" t="e">
        <f>VLOOKUP(CLEAN(H894),#REF!,7,FALSE)</f>
        <v>#REF!</v>
      </c>
      <c r="AN894" s="2" t="e">
        <f>VLOOKUP(H894,#REF!,8,FALSE)</f>
        <v>#REF!</v>
      </c>
      <c r="AO894" s="189" t="e">
        <f>VLOOKUP(H894,#REF!,2,FALSE)</f>
        <v>#REF!</v>
      </c>
      <c r="AP894" s="189" t="e">
        <f>VLOOKUP(H894,#REF!,2,FALSE)</f>
        <v>#REF!</v>
      </c>
      <c r="AQ894" s="189" t="e">
        <f>AO894-AP894</f>
        <v>#REF!</v>
      </c>
      <c r="AR894" s="189" t="e">
        <f>VLOOKUP(CLEAN(H894),#REF!,2,FALSE)</f>
        <v>#REF!</v>
      </c>
      <c r="AS894" s="189" t="e">
        <f>T894-AR894</f>
        <v>#REF!</v>
      </c>
      <c r="AT894" s="2" t="e">
        <f>VLOOKUP(H894,#REF!,13,FALSE)</f>
        <v>#REF!</v>
      </c>
      <c r="AU894" s="2" t="e">
        <f>VLOOKUP(H894,#REF!,13,FALSE)</f>
        <v>#REF!</v>
      </c>
      <c r="AV894" s="2" t="e">
        <f>VLOOKUP(H894,#REF!,13,FALSE)</f>
        <v>#REF!</v>
      </c>
      <c r="AW894" s="2" t="e">
        <f>VLOOKUP(H894,#REF!,13,FALSE)</f>
        <v>#REF!</v>
      </c>
      <c r="AX894" s="2" t="e">
        <f>VLOOKUP(H894,#REF!,9,FALSE)</f>
        <v>#REF!</v>
      </c>
      <c r="AZ894" s="189" t="e">
        <f>VLOOKUP(H894,#REF!,2,FALSE)</f>
        <v>#REF!</v>
      </c>
      <c r="BF894" s="189" t="e">
        <f>VLOOKUP(CLEAN(H894),#REF!,2,FALSE)</f>
        <v>#REF!</v>
      </c>
      <c r="BG894" s="189" t="e">
        <f>T894-BF894</f>
        <v>#REF!</v>
      </c>
      <c r="BO894" s="2" t="e">
        <f>VLOOKUP(H894,#REF!,13,FALSE)</f>
        <v>#REF!</v>
      </c>
      <c r="BP894" s="2" t="e">
        <f>VLOOKUP(H894,#REF!,2,FALSE)</f>
        <v>#REF!</v>
      </c>
      <c r="BQ894" s="2" t="e">
        <f>VLOOKUP(H894,#REF!,13,FALSE)</f>
        <v>#REF!</v>
      </c>
      <c r="BR894" s="2" t="e">
        <f>VLOOKUP(H894,#REF!,3,FALSE)</f>
        <v>#REF!</v>
      </c>
    </row>
    <row r="895" spans="1:70" s="2" customFormat="1" ht="15" customHeight="1" outlineLevel="2">
      <c r="A895" s="5">
        <v>31</v>
      </c>
      <c r="B895" s="5" t="s">
        <v>5</v>
      </c>
      <c r="C895" s="5" t="s">
        <v>241</v>
      </c>
      <c r="D895" s="5" t="s">
        <v>43</v>
      </c>
      <c r="E895" s="5" t="s">
        <v>47</v>
      </c>
      <c r="F895" s="5" t="s">
        <v>77</v>
      </c>
      <c r="G895" s="5" t="s">
        <v>144</v>
      </c>
      <c r="H895" s="12">
        <v>30342724</v>
      </c>
      <c r="I895" s="311" t="str">
        <f t="shared" si="543"/>
        <v>30342724-EJECUCION</v>
      </c>
      <c r="J895" s="190"/>
      <c r="K895" s="309" t="str">
        <f t="shared" si="544"/>
        <v>30342724</v>
      </c>
      <c r="L895" s="15" t="s">
        <v>807</v>
      </c>
      <c r="M895" s="23">
        <v>1404332505</v>
      </c>
      <c r="N895" s="34">
        <v>1396318184</v>
      </c>
      <c r="O895" s="34">
        <v>7014321</v>
      </c>
      <c r="P895" s="310">
        <v>0</v>
      </c>
      <c r="Q895" s="34">
        <v>0</v>
      </c>
      <c r="R895" s="308">
        <v>0</v>
      </c>
      <c r="S895" s="34">
        <f t="shared" si="545"/>
        <v>0</v>
      </c>
      <c r="T895" s="34">
        <v>0</v>
      </c>
      <c r="U895" s="34">
        <v>7014321</v>
      </c>
      <c r="V895" s="34">
        <f>P895+Q895+R895+T895+U895</f>
        <v>7014321</v>
      </c>
      <c r="W895" s="34">
        <f>O895-V895</f>
        <v>0</v>
      </c>
      <c r="X895" s="34">
        <f>M895-(N895+O895)</f>
        <v>1000000</v>
      </c>
      <c r="Y895" s="48" t="s">
        <v>239</v>
      </c>
      <c r="Z895" s="48" t="s">
        <v>10</v>
      </c>
      <c r="AA895" s="2" t="e">
        <v>#N/A</v>
      </c>
      <c r="AB895" s="2" t="e">
        <f>VLOOKUP(H895,#REF!,2,FALSE)</f>
        <v>#REF!</v>
      </c>
      <c r="AC895" s="2" t="e">
        <f>VLOOKUP(I895,#REF!,2,FALSE)</f>
        <v>#REF!</v>
      </c>
      <c r="AD895" s="2" t="e">
        <f>VLOOKUP(H895,#REF!,13,FALSE)</f>
        <v>#REF!</v>
      </c>
      <c r="AE895" s="2" t="e">
        <f>VLOOKUP(I895,#REF!,7,FALSE)</f>
        <v>#REF!</v>
      </c>
      <c r="AG895" s="2" t="e">
        <f>VLOOKUP(H895,#REF!,13,FALSE)</f>
        <v>#REF!</v>
      </c>
      <c r="AH895" s="2" t="e">
        <f>VLOOKUP(I895,#REF!,2,FALSE)</f>
        <v>#REF!</v>
      </c>
      <c r="AJ895" s="185" t="e">
        <f>VLOOKUP(H895,#REF!,3,FALSE)</f>
        <v>#REF!</v>
      </c>
      <c r="AK895" s="185"/>
      <c r="AL895" s="185" t="e">
        <f>VLOOKUP(H895,#REF!,13,FALSE)</f>
        <v>#REF!</v>
      </c>
      <c r="AM895" s="185" t="e">
        <f>VLOOKUP(CLEAN(H895),#REF!,7,FALSE)</f>
        <v>#REF!</v>
      </c>
      <c r="AN895" s="2" t="e">
        <f>VLOOKUP(H895,#REF!,8,FALSE)</f>
        <v>#REF!</v>
      </c>
      <c r="AO895" s="189" t="e">
        <f>VLOOKUP(H895,#REF!,2,FALSE)</f>
        <v>#REF!</v>
      </c>
      <c r="AP895" s="189" t="e">
        <f>VLOOKUP(H895,#REF!,2,FALSE)</f>
        <v>#REF!</v>
      </c>
      <c r="AQ895" s="189"/>
      <c r="AR895" s="2" t="e">
        <f>VLOOKUP(CLEAN(H895),#REF!,2,FALSE)</f>
        <v>#REF!</v>
      </c>
      <c r="AT895" s="2" t="e">
        <f>VLOOKUP(H895,#REF!,13,FALSE)</f>
        <v>#REF!</v>
      </c>
      <c r="AU895" s="2" t="e">
        <f>VLOOKUP(H895,#REF!,13,FALSE)</f>
        <v>#REF!</v>
      </c>
      <c r="AV895" s="2" t="e">
        <f>VLOOKUP(H895,#REF!,13,FALSE)</f>
        <v>#REF!</v>
      </c>
      <c r="AW895" s="2" t="e">
        <f>VLOOKUP(H895,#REF!,13,FALSE)</f>
        <v>#REF!</v>
      </c>
      <c r="AX895" s="2" t="e">
        <f>VLOOKUP(H895,#REF!,9,FALSE)</f>
        <v>#REF!</v>
      </c>
      <c r="AZ895" s="189" t="e">
        <f>VLOOKUP(H895,#REF!,2,FALSE)</f>
        <v>#REF!</v>
      </c>
      <c r="BF895" s="189" t="e">
        <f>VLOOKUP(CLEAN(H895),#REF!,2,FALSE)</f>
        <v>#REF!</v>
      </c>
      <c r="BG895" s="189" t="e">
        <f>T895-BF895</f>
        <v>#REF!</v>
      </c>
      <c r="BO895" s="2" t="e">
        <f>VLOOKUP(H895,#REF!,13,FALSE)</f>
        <v>#REF!</v>
      </c>
      <c r="BP895" s="2" t="e">
        <f>VLOOKUP(H895,#REF!,2,FALSE)</f>
        <v>#REF!</v>
      </c>
      <c r="BQ895" s="2" t="e">
        <f>VLOOKUP(H895,#REF!,13,FALSE)</f>
        <v>#REF!</v>
      </c>
      <c r="BR895" s="2" t="e">
        <f>VLOOKUP(H895,#REF!,3,FALSE)</f>
        <v>#REF!</v>
      </c>
    </row>
    <row r="896" spans="1:70" s="2" customFormat="1" ht="15" customHeight="1" outlineLevel="2">
      <c r="A896" s="5">
        <v>31</v>
      </c>
      <c r="B896" s="5" t="s">
        <v>5</v>
      </c>
      <c r="C896" s="5" t="s">
        <v>241</v>
      </c>
      <c r="D896" s="5" t="s">
        <v>43</v>
      </c>
      <c r="E896" s="5" t="s">
        <v>47</v>
      </c>
      <c r="F896" s="5" t="s">
        <v>77</v>
      </c>
      <c r="G896" s="5" t="s">
        <v>144</v>
      </c>
      <c r="H896" s="12">
        <v>30350774</v>
      </c>
      <c r="I896" s="42" t="str">
        <f t="shared" si="543"/>
        <v>30350774-EJECUCION</v>
      </c>
      <c r="J896" s="12"/>
      <c r="K896" s="307" t="str">
        <f t="shared" si="544"/>
        <v>30350774</v>
      </c>
      <c r="L896" s="15" t="s">
        <v>528</v>
      </c>
      <c r="M896" s="23">
        <v>2659379994</v>
      </c>
      <c r="N896" s="34">
        <v>2641078795</v>
      </c>
      <c r="O896" s="34">
        <v>14749933</v>
      </c>
      <c r="P896" s="310">
        <v>0</v>
      </c>
      <c r="Q896" s="34">
        <v>0</v>
      </c>
      <c r="R896" s="308">
        <v>0</v>
      </c>
      <c r="S896" s="34">
        <f t="shared" si="545"/>
        <v>0</v>
      </c>
      <c r="T896" s="34">
        <v>0</v>
      </c>
      <c r="U896" s="34">
        <v>14749933</v>
      </c>
      <c r="V896" s="34">
        <f>P896+Q896+R896+T896+U896</f>
        <v>14749933</v>
      </c>
      <c r="W896" s="34">
        <f>O896-V896</f>
        <v>0</v>
      </c>
      <c r="X896" s="34">
        <f>M896-(N896+O896)</f>
        <v>3551266</v>
      </c>
      <c r="Y896" s="48" t="s">
        <v>239</v>
      </c>
      <c r="Z896" s="48" t="s">
        <v>8</v>
      </c>
      <c r="AA896" s="2" t="s">
        <v>842</v>
      </c>
      <c r="AB896" s="2" t="e">
        <f>VLOOKUP(H896,#REF!,2,FALSE)</f>
        <v>#REF!</v>
      </c>
      <c r="AC896" s="2" t="e">
        <f>VLOOKUP(I896,#REF!,2,FALSE)</f>
        <v>#REF!</v>
      </c>
      <c r="AD896" s="2" t="e">
        <f>VLOOKUP(H896,#REF!,13,FALSE)</f>
        <v>#REF!</v>
      </c>
      <c r="AE896" s="177" t="e">
        <f>VLOOKUP(I896,#REF!,7,FALSE)</f>
        <v>#REF!</v>
      </c>
      <c r="AG896" s="2" t="e">
        <f>VLOOKUP(H896,#REF!,13,FALSE)</f>
        <v>#REF!</v>
      </c>
      <c r="AH896" s="2" t="e">
        <f>VLOOKUP(I896,#REF!,2,FALSE)</f>
        <v>#REF!</v>
      </c>
      <c r="AJ896" s="185" t="e">
        <f>VLOOKUP(H896,#REF!,3,FALSE)</f>
        <v>#REF!</v>
      </c>
      <c r="AK896" s="185"/>
      <c r="AL896" s="185" t="e">
        <f>VLOOKUP(H896,#REF!,13,FALSE)</f>
        <v>#REF!</v>
      </c>
      <c r="AM896" s="185" t="e">
        <f>VLOOKUP(CLEAN(H896),#REF!,7,FALSE)</f>
        <v>#REF!</v>
      </c>
      <c r="AN896" s="2" t="e">
        <f>VLOOKUP(H896,#REF!,8,FALSE)</f>
        <v>#REF!</v>
      </c>
      <c r="AO896" s="189" t="e">
        <f>VLOOKUP(H896,#REF!,2,FALSE)</f>
        <v>#REF!</v>
      </c>
      <c r="AP896" s="189" t="e">
        <f>VLOOKUP(H896,#REF!,2,FALSE)</f>
        <v>#REF!</v>
      </c>
      <c r="AQ896" s="189"/>
      <c r="AR896" s="2" t="e">
        <f>VLOOKUP(CLEAN(H896),#REF!,2,FALSE)</f>
        <v>#REF!</v>
      </c>
      <c r="AT896" s="2" t="e">
        <f>VLOOKUP(H896,#REF!,13,FALSE)</f>
        <v>#REF!</v>
      </c>
      <c r="AU896" s="2" t="e">
        <f>VLOOKUP(H896,#REF!,13,FALSE)</f>
        <v>#REF!</v>
      </c>
      <c r="AV896" s="2" t="e">
        <f>VLOOKUP(H896,#REF!,13,FALSE)</f>
        <v>#REF!</v>
      </c>
      <c r="AW896" s="2" t="e">
        <f>VLOOKUP(H896,#REF!,13,FALSE)</f>
        <v>#REF!</v>
      </c>
      <c r="AX896" s="2" t="e">
        <f>VLOOKUP(H896,#REF!,9,FALSE)</f>
        <v>#REF!</v>
      </c>
      <c r="AZ896" s="2" t="e">
        <f>VLOOKUP(H896,#REF!,2,FALSE)</f>
        <v>#REF!</v>
      </c>
      <c r="BF896" s="189" t="e">
        <f>VLOOKUP(CLEAN(H896),#REF!,2,FALSE)</f>
        <v>#REF!</v>
      </c>
      <c r="BG896" s="189" t="e">
        <f>T896-BF896</f>
        <v>#REF!</v>
      </c>
      <c r="BO896" s="2" t="e">
        <f>VLOOKUP(H896,#REF!,13,FALSE)</f>
        <v>#REF!</v>
      </c>
      <c r="BP896" s="2" t="e">
        <f>VLOOKUP(H896,#REF!,2,FALSE)</f>
        <v>#REF!</v>
      </c>
      <c r="BQ896" s="2" t="e">
        <f>VLOOKUP(H896,#REF!,13,FALSE)</f>
        <v>#REF!</v>
      </c>
      <c r="BR896" s="2" t="e">
        <f>VLOOKUP(H896,#REF!,3,FALSE)</f>
        <v>#REF!</v>
      </c>
    </row>
    <row r="897" spans="1:70" s="2" customFormat="1" ht="15" customHeight="1" outlineLevel="2">
      <c r="A897" s="5">
        <v>31</v>
      </c>
      <c r="B897" s="5" t="s">
        <v>54</v>
      </c>
      <c r="C897" s="5" t="s">
        <v>240</v>
      </c>
      <c r="D897" s="5" t="s">
        <v>43</v>
      </c>
      <c r="E897" s="5" t="s">
        <v>47</v>
      </c>
      <c r="F897" s="5" t="s">
        <v>77</v>
      </c>
      <c r="G897" s="5" t="s">
        <v>9</v>
      </c>
      <c r="H897" s="12">
        <v>30351932</v>
      </c>
      <c r="I897" s="311" t="str">
        <f t="shared" si="543"/>
        <v>30351932-DISEÑO</v>
      </c>
      <c r="J897" s="190"/>
      <c r="K897" s="309" t="str">
        <f t="shared" si="544"/>
        <v>30351932</v>
      </c>
      <c r="L897" s="15" t="s">
        <v>507</v>
      </c>
      <c r="M897" s="23">
        <v>65679000</v>
      </c>
      <c r="N897" s="34">
        <v>10409508</v>
      </c>
      <c r="O897" s="34">
        <v>24983410</v>
      </c>
      <c r="P897" s="310">
        <v>0</v>
      </c>
      <c r="Q897" s="34">
        <v>0</v>
      </c>
      <c r="R897" s="308">
        <v>0</v>
      </c>
      <c r="S897" s="34">
        <f t="shared" si="545"/>
        <v>0</v>
      </c>
      <c r="T897" s="34">
        <v>12491410</v>
      </c>
      <c r="U897" s="34">
        <v>0</v>
      </c>
      <c r="V897" s="34">
        <f>P897+Q897+R897+T897+U897</f>
        <v>12491410</v>
      </c>
      <c r="W897" s="34">
        <f>O897-V897</f>
        <v>12492000</v>
      </c>
      <c r="X897" s="34">
        <f>M897-(N897+O897)</f>
        <v>30286082</v>
      </c>
      <c r="Y897" s="48" t="s">
        <v>239</v>
      </c>
      <c r="Z897" s="48" t="s">
        <v>8</v>
      </c>
      <c r="AA897" s="2" t="s">
        <v>842</v>
      </c>
      <c r="AB897" s="2" t="e">
        <f>VLOOKUP(H897,#REF!,2,FALSE)</f>
        <v>#REF!</v>
      </c>
      <c r="AC897" s="2" t="e">
        <f>VLOOKUP(I897,#REF!,2,FALSE)</f>
        <v>#REF!</v>
      </c>
      <c r="AD897" s="2" t="e">
        <f>VLOOKUP(H897,#REF!,13,FALSE)</f>
        <v>#REF!</v>
      </c>
      <c r="AE897" s="2" t="e">
        <f>VLOOKUP(I897,#REF!,7,FALSE)</f>
        <v>#REF!</v>
      </c>
      <c r="AG897" s="2" t="e">
        <f>VLOOKUP(H897,#REF!,13,FALSE)</f>
        <v>#REF!</v>
      </c>
      <c r="AH897" s="2" t="e">
        <f>VLOOKUP(I897,#REF!,2,FALSE)</f>
        <v>#REF!</v>
      </c>
      <c r="AJ897" s="185" t="e">
        <f>VLOOKUP(H897,#REF!,3,FALSE)</f>
        <v>#REF!</v>
      </c>
      <c r="AK897" s="185"/>
      <c r="AL897" s="185" t="e">
        <f>VLOOKUP(H897,#REF!,13,FALSE)</f>
        <v>#REF!</v>
      </c>
      <c r="AM897" s="185" t="e">
        <f>VLOOKUP(CLEAN(H897),#REF!,7,FALSE)</f>
        <v>#REF!</v>
      </c>
      <c r="AN897" s="2" t="e">
        <f>VLOOKUP(H897,#REF!,8,FALSE)</f>
        <v>#REF!</v>
      </c>
      <c r="AO897" s="189" t="e">
        <f>VLOOKUP(H897,#REF!,2,FALSE)</f>
        <v>#REF!</v>
      </c>
      <c r="AP897" s="189" t="e">
        <f>VLOOKUP(H897,#REF!,2,FALSE)</f>
        <v>#REF!</v>
      </c>
      <c r="AQ897" s="189" t="e">
        <f t="shared" ref="AQ897:AQ898" si="546">AO897-AP897</f>
        <v>#REF!</v>
      </c>
      <c r="AR897" s="189" t="e">
        <f>VLOOKUP(CLEAN(H897),#REF!,2,FALSE)</f>
        <v>#REF!</v>
      </c>
      <c r="AS897" s="189" t="e">
        <f>T897-AR897</f>
        <v>#REF!</v>
      </c>
      <c r="AT897" s="2" t="e">
        <f>VLOOKUP(H897,#REF!,13,FALSE)</f>
        <v>#REF!</v>
      </c>
      <c r="AU897" s="2" t="e">
        <f>VLOOKUP(H897,#REF!,13,FALSE)</f>
        <v>#REF!</v>
      </c>
      <c r="AV897" s="2" t="e">
        <f>VLOOKUP(H897,#REF!,13,FALSE)</f>
        <v>#REF!</v>
      </c>
      <c r="AW897" s="2" t="e">
        <f>VLOOKUP(H897,#REF!,13,FALSE)</f>
        <v>#REF!</v>
      </c>
      <c r="AX897" s="2" t="e">
        <f>VLOOKUP(H897,#REF!,9,FALSE)</f>
        <v>#REF!</v>
      </c>
      <c r="AZ897" s="189" t="e">
        <f>VLOOKUP(H897,#REF!,2,FALSE)</f>
        <v>#REF!</v>
      </c>
      <c r="BF897" s="189" t="e">
        <f>VLOOKUP(CLEAN(H897),#REF!,2,FALSE)</f>
        <v>#REF!</v>
      </c>
      <c r="BG897" s="189" t="e">
        <f>T897-BF897</f>
        <v>#REF!</v>
      </c>
      <c r="BO897" s="2" t="e">
        <f>VLOOKUP(H897,#REF!,13,FALSE)</f>
        <v>#REF!</v>
      </c>
      <c r="BP897" s="2" t="e">
        <f>VLOOKUP(H897,#REF!,2,FALSE)</f>
        <v>#REF!</v>
      </c>
      <c r="BQ897" s="2" t="e">
        <f>VLOOKUP(H897,#REF!,13,FALSE)</f>
        <v>#REF!</v>
      </c>
      <c r="BR897" s="2" t="e">
        <f>VLOOKUP(H897,#REF!,3,FALSE)</f>
        <v>#REF!</v>
      </c>
    </row>
    <row r="898" spans="1:70" s="2" customFormat="1" ht="15" customHeight="1" outlineLevel="2">
      <c r="A898" s="5">
        <v>31</v>
      </c>
      <c r="B898" s="5" t="s">
        <v>5</v>
      </c>
      <c r="C898" s="5" t="s">
        <v>241</v>
      </c>
      <c r="D898" s="5" t="s">
        <v>43</v>
      </c>
      <c r="E898" s="5" t="s">
        <v>47</v>
      </c>
      <c r="F898" s="5" t="s">
        <v>77</v>
      </c>
      <c r="G898" s="5" t="s">
        <v>144</v>
      </c>
      <c r="H898" s="12">
        <v>30342673</v>
      </c>
      <c r="I898" s="42" t="str">
        <f t="shared" si="543"/>
        <v>30342673-EJECUCION</v>
      </c>
      <c r="J898" s="12"/>
      <c r="K898" s="307" t="str">
        <f t="shared" si="544"/>
        <v>30342673</v>
      </c>
      <c r="L898" s="15" t="s">
        <v>93</v>
      </c>
      <c r="M898" s="23">
        <v>8584233019</v>
      </c>
      <c r="N898" s="34">
        <v>94762309</v>
      </c>
      <c r="O898" s="34">
        <f>2900000000-12909872-13290124-1643440066-635502000</f>
        <v>594857938</v>
      </c>
      <c r="P898" s="310">
        <v>0</v>
      </c>
      <c r="Q898" s="34">
        <v>1172563</v>
      </c>
      <c r="R898" s="308">
        <v>1328397</v>
      </c>
      <c r="S898" s="34">
        <f t="shared" si="545"/>
        <v>2500960</v>
      </c>
      <c r="T898" s="34">
        <v>252294</v>
      </c>
      <c r="U898" s="34">
        <v>0</v>
      </c>
      <c r="V898" s="34">
        <f>P898+Q898+R898+T898+U898</f>
        <v>2753254</v>
      </c>
      <c r="W898" s="34">
        <f>O898-V898</f>
        <v>592104684</v>
      </c>
      <c r="X898" s="34">
        <f>M898-(N898+O898)</f>
        <v>7894612772</v>
      </c>
      <c r="Y898" s="48" t="s">
        <v>239</v>
      </c>
      <c r="Z898" s="48" t="s">
        <v>8</v>
      </c>
      <c r="AA898" s="2" t="s">
        <v>842</v>
      </c>
      <c r="AB898" s="2" t="e">
        <f>VLOOKUP(H898,#REF!,2,FALSE)</f>
        <v>#REF!</v>
      </c>
      <c r="AC898" s="2" t="e">
        <f>VLOOKUP(I898,#REF!,2,FALSE)</f>
        <v>#REF!</v>
      </c>
      <c r="AD898" s="2" t="e">
        <f>VLOOKUP(H898,#REF!,13,FALSE)</f>
        <v>#REF!</v>
      </c>
      <c r="AE898" s="2" t="e">
        <f>VLOOKUP(I898,#REF!,7,FALSE)</f>
        <v>#REF!</v>
      </c>
      <c r="AG898" s="2" t="e">
        <f>VLOOKUP(H898,#REF!,13,FALSE)</f>
        <v>#REF!</v>
      </c>
      <c r="AH898" s="2" t="e">
        <f>VLOOKUP(I898,#REF!,2,FALSE)</f>
        <v>#REF!</v>
      </c>
      <c r="AJ898" s="185" t="e">
        <f>VLOOKUP(H898,#REF!,3,FALSE)</f>
        <v>#REF!</v>
      </c>
      <c r="AK898" s="185"/>
      <c r="AL898" s="185" t="e">
        <f>VLOOKUP(H898,#REF!,13,FALSE)</f>
        <v>#REF!</v>
      </c>
      <c r="AM898" s="185" t="e">
        <f>VLOOKUP(CLEAN(H898),#REF!,7,FALSE)</f>
        <v>#REF!</v>
      </c>
      <c r="AN898" s="2" t="e">
        <f>VLOOKUP(H898,#REF!,8,FALSE)</f>
        <v>#REF!</v>
      </c>
      <c r="AO898" s="189" t="e">
        <f>VLOOKUP(H898,#REF!,2,FALSE)</f>
        <v>#REF!</v>
      </c>
      <c r="AP898" s="189" t="e">
        <f>VLOOKUP(H898,#REF!,2,FALSE)</f>
        <v>#REF!</v>
      </c>
      <c r="AQ898" s="189" t="e">
        <f t="shared" si="546"/>
        <v>#REF!</v>
      </c>
      <c r="AR898" s="189" t="e">
        <f>VLOOKUP(CLEAN(H898),#REF!,2,FALSE)</f>
        <v>#REF!</v>
      </c>
      <c r="AS898" s="189" t="e">
        <f>T898-AR898</f>
        <v>#REF!</v>
      </c>
      <c r="AT898" s="2" t="e">
        <f>VLOOKUP(H898,#REF!,13,FALSE)</f>
        <v>#REF!</v>
      </c>
      <c r="AU898" s="2" t="e">
        <f>VLOOKUP(H898,#REF!,13,FALSE)</f>
        <v>#REF!</v>
      </c>
      <c r="AV898" s="2" t="e">
        <f>VLOOKUP(H898,#REF!,13,FALSE)</f>
        <v>#REF!</v>
      </c>
      <c r="AW898" s="2" t="e">
        <f>VLOOKUP(H898,#REF!,13,FALSE)</f>
        <v>#REF!</v>
      </c>
      <c r="AX898" s="2" t="e">
        <f>VLOOKUP(H898,#REF!,9,FALSE)</f>
        <v>#REF!</v>
      </c>
      <c r="AZ898" s="189" t="e">
        <f>VLOOKUP(H898,#REF!,2,FALSE)</f>
        <v>#REF!</v>
      </c>
      <c r="BF898" s="189" t="e">
        <f>VLOOKUP(CLEAN(H898),#REF!,2,FALSE)</f>
        <v>#REF!</v>
      </c>
      <c r="BG898" s="189" t="e">
        <f>T898-BF898</f>
        <v>#REF!</v>
      </c>
      <c r="BO898" s="2" t="e">
        <f>VLOOKUP(H898,#REF!,13,FALSE)</f>
        <v>#REF!</v>
      </c>
      <c r="BP898" s="2" t="e">
        <f>VLOOKUP(H898,#REF!,2,FALSE)</f>
        <v>#REF!</v>
      </c>
      <c r="BQ898" s="2" t="e">
        <f>VLOOKUP(H898,#REF!,13,FALSE)</f>
        <v>#REF!</v>
      </c>
      <c r="BR898" s="2" t="e">
        <f>VLOOKUP(H898,#REF!,3,FALSE)</f>
        <v>#REF!</v>
      </c>
    </row>
    <row r="899" spans="1:70" s="2" customFormat="1" ht="15" customHeight="1" outlineLevel="2">
      <c r="A899" s="5">
        <v>29</v>
      </c>
      <c r="B899" s="5" t="s">
        <v>5</v>
      </c>
      <c r="C899" s="5" t="s">
        <v>240</v>
      </c>
      <c r="D899" s="5" t="s">
        <v>43</v>
      </c>
      <c r="E899" s="5" t="s">
        <v>47</v>
      </c>
      <c r="F899" s="5" t="s">
        <v>457</v>
      </c>
      <c r="G899" s="5" t="s">
        <v>144</v>
      </c>
      <c r="H899" s="12">
        <v>30428989</v>
      </c>
      <c r="I899" s="42" t="str">
        <f t="shared" si="543"/>
        <v>30428989-EJECUCION</v>
      </c>
      <c r="J899" s="12" t="s">
        <v>740</v>
      </c>
      <c r="K899" s="307" t="str">
        <f t="shared" si="544"/>
        <v>30428989</v>
      </c>
      <c r="L899" s="15" t="s">
        <v>366</v>
      </c>
      <c r="M899" s="23">
        <v>554963000</v>
      </c>
      <c r="N899" s="34">
        <v>127658084</v>
      </c>
      <c r="O899" s="34">
        <v>424963000</v>
      </c>
      <c r="P899" s="310">
        <v>0</v>
      </c>
      <c r="Q899" s="34">
        <v>0</v>
      </c>
      <c r="R899" s="308">
        <v>0</v>
      </c>
      <c r="S899" s="34">
        <f t="shared" si="545"/>
        <v>0</v>
      </c>
      <c r="T899" s="34">
        <v>0</v>
      </c>
      <c r="U899" s="34">
        <v>0</v>
      </c>
      <c r="V899" s="34">
        <f>P899+Q899+R899+T899+U899</f>
        <v>0</v>
      </c>
      <c r="W899" s="34">
        <f>O899-V899</f>
        <v>424963000</v>
      </c>
      <c r="X899" s="34">
        <f>M899-(N899+O899)</f>
        <v>2341916</v>
      </c>
      <c r="Y899" s="48" t="s">
        <v>239</v>
      </c>
      <c r="Z899" s="48" t="s">
        <v>10</v>
      </c>
      <c r="AA899" s="2" t="e">
        <v>#N/A</v>
      </c>
      <c r="AB899" s="2" t="e">
        <f>VLOOKUP(H899,#REF!,2,FALSE)</f>
        <v>#REF!</v>
      </c>
      <c r="AC899" s="2" t="e">
        <f>VLOOKUP(I899,#REF!,2,FALSE)</f>
        <v>#REF!</v>
      </c>
      <c r="AD899" s="2" t="e">
        <f>VLOOKUP(H899,#REF!,13,FALSE)</f>
        <v>#REF!</v>
      </c>
      <c r="AE899" s="2" t="e">
        <f>VLOOKUP(I899,#REF!,7,FALSE)</f>
        <v>#REF!</v>
      </c>
      <c r="AG899" s="2" t="e">
        <f>VLOOKUP(H899,#REF!,13,FALSE)</f>
        <v>#REF!</v>
      </c>
      <c r="AH899" s="2" t="e">
        <f>VLOOKUP(I899,#REF!,2,FALSE)</f>
        <v>#REF!</v>
      </c>
      <c r="AJ899" s="185" t="e">
        <f>VLOOKUP(H899,#REF!,3,FALSE)</f>
        <v>#REF!</v>
      </c>
      <c r="AK899" s="185"/>
      <c r="AL899" s="185" t="e">
        <f>VLOOKUP(H899,#REF!,13,FALSE)</f>
        <v>#REF!</v>
      </c>
      <c r="AM899" s="185" t="e">
        <f>VLOOKUP(CLEAN(H899),#REF!,7,FALSE)</f>
        <v>#REF!</v>
      </c>
      <c r="AN899" s="2" t="e">
        <f>VLOOKUP(H899,#REF!,8,FALSE)</f>
        <v>#REF!</v>
      </c>
      <c r="AO899" s="189" t="e">
        <f>VLOOKUP(H899,#REF!,2,FALSE)</f>
        <v>#REF!</v>
      </c>
      <c r="AP899" s="189" t="e">
        <f>VLOOKUP(H899,#REF!,2,FALSE)</f>
        <v>#REF!</v>
      </c>
      <c r="AQ899" s="189"/>
      <c r="AR899" s="2" t="e">
        <f>VLOOKUP(CLEAN(H899),#REF!,2,FALSE)</f>
        <v>#REF!</v>
      </c>
      <c r="AT899" s="2" t="e">
        <f>VLOOKUP(H899,#REF!,13,FALSE)</f>
        <v>#REF!</v>
      </c>
      <c r="AU899" s="2" t="e">
        <f>VLOOKUP(H899,#REF!,13,FALSE)</f>
        <v>#REF!</v>
      </c>
      <c r="AV899" s="2" t="e">
        <f>VLOOKUP(H899,#REF!,13,FALSE)</f>
        <v>#REF!</v>
      </c>
      <c r="AW899" s="2" t="e">
        <f>VLOOKUP(H899,#REF!,13,FALSE)</f>
        <v>#REF!</v>
      </c>
      <c r="AX899" s="2" t="e">
        <f>VLOOKUP(H899,#REF!,9,FALSE)</f>
        <v>#REF!</v>
      </c>
      <c r="AZ899" s="189" t="e">
        <f>VLOOKUP(H899,#REF!,2,FALSE)</f>
        <v>#REF!</v>
      </c>
      <c r="BF899" s="189" t="e">
        <f>VLOOKUP(CLEAN(H899),#REF!,2,FALSE)</f>
        <v>#REF!</v>
      </c>
      <c r="BG899" s="189" t="e">
        <f>T899-BF899</f>
        <v>#REF!</v>
      </c>
      <c r="BO899" s="2" t="e">
        <f>VLOOKUP(H899,#REF!,13,FALSE)</f>
        <v>#REF!</v>
      </c>
      <c r="BP899" s="2" t="e">
        <f>VLOOKUP(H899,#REF!,2,FALSE)</f>
        <v>#REF!</v>
      </c>
      <c r="BQ899" s="2" t="e">
        <f>VLOOKUP(H899,#REF!,13,FALSE)</f>
        <v>#REF!</v>
      </c>
      <c r="BR899" s="2" t="e">
        <f>VLOOKUP(H899,#REF!,3,FALSE)</f>
        <v>#REF!</v>
      </c>
    </row>
    <row r="900" spans="1:70" s="2" customFormat="1" ht="15" customHeight="1" outlineLevel="2">
      <c r="A900" s="5">
        <v>33</v>
      </c>
      <c r="B900" s="5" t="s">
        <v>54</v>
      </c>
      <c r="C900" s="5" t="s">
        <v>251</v>
      </c>
      <c r="D900" s="5" t="s">
        <v>43</v>
      </c>
      <c r="E900" s="5" t="s">
        <v>47</v>
      </c>
      <c r="F900" s="5" t="s">
        <v>73</v>
      </c>
      <c r="G900" s="5" t="s">
        <v>144</v>
      </c>
      <c r="H900" s="12" t="s">
        <v>223</v>
      </c>
      <c r="I900" s="42" t="str">
        <f t="shared" si="543"/>
        <v>S/C-EJECUCION</v>
      </c>
      <c r="J900" s="12"/>
      <c r="K900" s="307" t="str">
        <f t="shared" si="544"/>
        <v>S/C</v>
      </c>
      <c r="L900" s="15" t="s">
        <v>373</v>
      </c>
      <c r="M900" s="23">
        <v>850348800</v>
      </c>
      <c r="N900" s="34">
        <v>0</v>
      </c>
      <c r="O900" s="23">
        <v>850348800</v>
      </c>
      <c r="P900" s="310">
        <v>0</v>
      </c>
      <c r="Q900" s="34">
        <v>135539820</v>
      </c>
      <c r="R900" s="308">
        <v>53914879</v>
      </c>
      <c r="S900" s="34">
        <f t="shared" si="545"/>
        <v>189454699</v>
      </c>
      <c r="T900" s="34">
        <v>174877775</v>
      </c>
      <c r="U900" s="34">
        <v>162257304</v>
      </c>
      <c r="V900" s="34">
        <f>P900+Q900+R900+T900+U900</f>
        <v>526589778</v>
      </c>
      <c r="W900" s="34">
        <f>O900-V900</f>
        <v>323759022</v>
      </c>
      <c r="X900" s="34">
        <f>M900-(N900+O900)</f>
        <v>0</v>
      </c>
      <c r="Y900" s="48" t="s">
        <v>239</v>
      </c>
      <c r="Z900" s="48" t="s">
        <v>12</v>
      </c>
      <c r="AA900" s="2" t="e">
        <v>#N/A</v>
      </c>
      <c r="AB900" s="2" t="e">
        <f>VLOOKUP(H900,#REF!,2,FALSE)</f>
        <v>#REF!</v>
      </c>
      <c r="AC900" s="2" t="e">
        <f>VLOOKUP(I900,#REF!,2,FALSE)</f>
        <v>#REF!</v>
      </c>
      <c r="AD900" s="2" t="e">
        <f>VLOOKUP(H900,#REF!,13,FALSE)</f>
        <v>#REF!</v>
      </c>
      <c r="AE900" s="177" t="e">
        <f>VLOOKUP(I900,#REF!,7,FALSE)</f>
        <v>#REF!</v>
      </c>
      <c r="AG900" s="2" t="e">
        <f>VLOOKUP(H900,#REF!,13,FALSE)</f>
        <v>#REF!</v>
      </c>
      <c r="AH900" s="2" t="e">
        <f>VLOOKUP(I900,#REF!,2,FALSE)</f>
        <v>#REF!</v>
      </c>
      <c r="AJ900" s="185" t="e">
        <f>VLOOKUP(H900,#REF!,3,FALSE)</f>
        <v>#REF!</v>
      </c>
      <c r="AK900" s="185"/>
      <c r="AL900" s="185"/>
      <c r="AM900" s="185" t="e">
        <f>VLOOKUP(CLEAN(H900),#REF!,7,FALSE)</f>
        <v>#REF!</v>
      </c>
      <c r="AN900" s="2" t="e">
        <f>VLOOKUP(H900,#REF!,8,FALSE)</f>
        <v>#REF!</v>
      </c>
      <c r="AO900" s="189" t="e">
        <f>VLOOKUP(H900,#REF!,2,FALSE)</f>
        <v>#REF!</v>
      </c>
      <c r="AP900" s="189" t="e">
        <f>VLOOKUP(H900,#REF!,2,FALSE)</f>
        <v>#REF!</v>
      </c>
      <c r="AQ900" s="189"/>
      <c r="AR900" s="2" t="e">
        <f>VLOOKUP(CLEAN(H900),#REF!,2,FALSE)</f>
        <v>#REF!</v>
      </c>
      <c r="AT900" s="2" t="e">
        <f>VLOOKUP(H900,#REF!,13,FALSE)</f>
        <v>#REF!</v>
      </c>
      <c r="AU900" s="2" t="e">
        <f>VLOOKUP(H900,#REF!,13,FALSE)</f>
        <v>#REF!</v>
      </c>
      <c r="AV900" s="2" t="e">
        <f>VLOOKUP(H900,#REF!,13,FALSE)</f>
        <v>#REF!</v>
      </c>
      <c r="AW900" s="2" t="e">
        <f>VLOOKUP(H900,#REF!,13,FALSE)</f>
        <v>#REF!</v>
      </c>
      <c r="AX900" s="2" t="e">
        <f>VLOOKUP(H900,#REF!,9,FALSE)</f>
        <v>#REF!</v>
      </c>
      <c r="AZ900" s="2" t="e">
        <f>VLOOKUP(H900,#REF!,2,FALSE)</f>
        <v>#REF!</v>
      </c>
      <c r="BF900" s="189" t="e">
        <f>VLOOKUP(CLEAN(H900),#REF!,2,FALSE)</f>
        <v>#REF!</v>
      </c>
      <c r="BG900" s="189" t="e">
        <f>T900-BF900</f>
        <v>#REF!</v>
      </c>
      <c r="BO900" s="2" t="e">
        <f>VLOOKUP(H900,#REF!,13,FALSE)</f>
        <v>#REF!</v>
      </c>
      <c r="BP900" s="2" t="e">
        <f>VLOOKUP(H900,#REF!,2,FALSE)</f>
        <v>#REF!</v>
      </c>
      <c r="BQ900" s="2" t="e">
        <f>VLOOKUP(H900,#REF!,13,FALSE)</f>
        <v>#REF!</v>
      </c>
      <c r="BR900" s="2" t="e">
        <f>VLOOKUP(H900,#REF!,3,FALSE)</f>
        <v>#REF!</v>
      </c>
    </row>
    <row r="901" spans="1:70" s="2" customFormat="1" ht="15" customHeight="1" outlineLevel="2">
      <c r="A901" s="5">
        <v>24</v>
      </c>
      <c r="B901" s="5" t="s">
        <v>54</v>
      </c>
      <c r="C901" s="5" t="s">
        <v>238</v>
      </c>
      <c r="D901" s="5" t="s">
        <v>43</v>
      </c>
      <c r="E901" s="5" t="s">
        <v>47</v>
      </c>
      <c r="F901" s="5" t="s">
        <v>457</v>
      </c>
      <c r="G901" s="5" t="s">
        <v>144</v>
      </c>
      <c r="H901" s="12" t="s">
        <v>374</v>
      </c>
      <c r="I901" s="42" t="str">
        <f t="shared" si="543"/>
        <v>SUBT 24-EJECUCION</v>
      </c>
      <c r="J901" s="12"/>
      <c r="K901" s="307" t="str">
        <f t="shared" si="544"/>
        <v>SUBT 24</v>
      </c>
      <c r="L901" s="15" t="s">
        <v>375</v>
      </c>
      <c r="M901" s="23">
        <v>359099988.79963976</v>
      </c>
      <c r="N901" s="34">
        <v>0</v>
      </c>
      <c r="O901" s="23">
        <v>359099988.79963976</v>
      </c>
      <c r="P901" s="310">
        <v>0</v>
      </c>
      <c r="Q901" s="34">
        <v>16243000</v>
      </c>
      <c r="R901" s="308">
        <v>0</v>
      </c>
      <c r="S901" s="34">
        <f t="shared" si="545"/>
        <v>16243000</v>
      </c>
      <c r="T901" s="34">
        <v>4587434</v>
      </c>
      <c r="U901" s="34">
        <v>0</v>
      </c>
      <c r="V901" s="34">
        <f>P901+Q901+R901+T901+U901</f>
        <v>20830434</v>
      </c>
      <c r="W901" s="34">
        <f>O901-V901</f>
        <v>338269554.79963976</v>
      </c>
      <c r="X901" s="34">
        <f>M901-(N901+O901)</f>
        <v>0</v>
      </c>
      <c r="Y901" s="48" t="s">
        <v>419</v>
      </c>
      <c r="Z901" s="48" t="s">
        <v>256</v>
      </c>
      <c r="AA901" s="2" t="e">
        <v>#N/A</v>
      </c>
      <c r="AB901" s="2" t="e">
        <f>VLOOKUP(H901,#REF!,2,FALSE)</f>
        <v>#REF!</v>
      </c>
      <c r="AC901" s="2" t="e">
        <f>VLOOKUP(I901,#REF!,2,FALSE)</f>
        <v>#REF!</v>
      </c>
      <c r="AD901" s="2" t="e">
        <f>VLOOKUP(H901,#REF!,13,FALSE)</f>
        <v>#REF!</v>
      </c>
      <c r="AE901" s="177" t="e">
        <f>VLOOKUP(I901,#REF!,7,FALSE)</f>
        <v>#REF!</v>
      </c>
      <c r="AG901" s="2" t="e">
        <f>VLOOKUP(H901,#REF!,13,FALSE)</f>
        <v>#REF!</v>
      </c>
      <c r="AH901" s="2" t="e">
        <f>VLOOKUP(I901,#REF!,2,FALSE)</f>
        <v>#REF!</v>
      </c>
      <c r="AJ901" s="185" t="e">
        <f>VLOOKUP(H901,#REF!,3,FALSE)</f>
        <v>#REF!</v>
      </c>
      <c r="AK901" s="185"/>
      <c r="AL901" s="185"/>
      <c r="AM901" s="185" t="e">
        <f>VLOOKUP(CLEAN(H901),#REF!,7,FALSE)</f>
        <v>#REF!</v>
      </c>
      <c r="AN901" s="2" t="e">
        <f>VLOOKUP(H901,#REF!,8,FALSE)</f>
        <v>#REF!</v>
      </c>
      <c r="AO901" s="189" t="e">
        <f>VLOOKUP(H901,#REF!,2,FALSE)</f>
        <v>#REF!</v>
      </c>
      <c r="AP901" s="189" t="e">
        <f>VLOOKUP(H901,#REF!,2,FALSE)</f>
        <v>#REF!</v>
      </c>
      <c r="AQ901" s="189"/>
      <c r="AR901" s="2" t="e">
        <f>VLOOKUP(CLEAN(H901),#REF!,2,FALSE)</f>
        <v>#REF!</v>
      </c>
      <c r="AT901" s="2" t="e">
        <f>VLOOKUP(H901,#REF!,13,FALSE)</f>
        <v>#REF!</v>
      </c>
      <c r="AU901" s="2" t="e">
        <f>VLOOKUP(H901,#REF!,13,FALSE)</f>
        <v>#REF!</v>
      </c>
      <c r="AV901" s="2" t="e">
        <f>VLOOKUP(H901,#REF!,13,FALSE)</f>
        <v>#REF!</v>
      </c>
      <c r="AW901" s="2" t="e">
        <f>VLOOKUP(H901,#REF!,13,FALSE)</f>
        <v>#REF!</v>
      </c>
      <c r="AX901" s="2" t="e">
        <f>VLOOKUP(H901,#REF!,9,FALSE)</f>
        <v>#REF!</v>
      </c>
      <c r="AZ901" s="2" t="e">
        <f>VLOOKUP(H901,#REF!,2,FALSE)</f>
        <v>#REF!</v>
      </c>
      <c r="BF901" s="189" t="e">
        <f>VLOOKUP(CLEAN(H901),#REF!,2,FALSE)</f>
        <v>#REF!</v>
      </c>
      <c r="BG901" s="189" t="e">
        <f>T901-BF901</f>
        <v>#REF!</v>
      </c>
      <c r="BO901" s="2" t="e">
        <f>VLOOKUP(H901,#REF!,13,FALSE)</f>
        <v>#REF!</v>
      </c>
      <c r="BP901" s="2" t="e">
        <f>VLOOKUP(H901,#REF!,2,FALSE)</f>
        <v>#REF!</v>
      </c>
      <c r="BQ901" s="2" t="e">
        <f>VLOOKUP(H901,#REF!,13,FALSE)</f>
        <v>#REF!</v>
      </c>
      <c r="BR901" s="2" t="e">
        <f>VLOOKUP(H901,#REF!,3,FALSE)</f>
        <v>#REF!</v>
      </c>
    </row>
    <row r="902" spans="1:70" s="2" customFormat="1" ht="15" customHeight="1" outlineLevel="2">
      <c r="A902" s="5">
        <v>24</v>
      </c>
      <c r="B902" s="5" t="s">
        <v>54</v>
      </c>
      <c r="C902" s="5" t="s">
        <v>253</v>
      </c>
      <c r="D902" s="5" t="s">
        <v>43</v>
      </c>
      <c r="E902" s="5" t="s">
        <v>47</v>
      </c>
      <c r="F902" s="5" t="s">
        <v>457</v>
      </c>
      <c r="G902" s="5" t="s">
        <v>144</v>
      </c>
      <c r="H902" s="12" t="s">
        <v>374</v>
      </c>
      <c r="I902" s="42" t="str">
        <f t="shared" si="543"/>
        <v>SUBT 24-EJECUCION</v>
      </c>
      <c r="J902" s="12"/>
      <c r="K902" s="307" t="str">
        <f t="shared" si="544"/>
        <v>SUBT 24</v>
      </c>
      <c r="L902" s="15" t="s">
        <v>376</v>
      </c>
      <c r="M902" s="23">
        <v>359099988.79963976</v>
      </c>
      <c r="N902" s="34">
        <v>0</v>
      </c>
      <c r="O902" s="23">
        <v>359099988.79963976</v>
      </c>
      <c r="P902" s="310">
        <v>0</v>
      </c>
      <c r="Q902" s="34">
        <v>0</v>
      </c>
      <c r="R902" s="308">
        <v>0</v>
      </c>
      <c r="S902" s="34">
        <f t="shared" si="545"/>
        <v>0</v>
      </c>
      <c r="T902" s="34">
        <v>0</v>
      </c>
      <c r="U902" s="34">
        <v>0</v>
      </c>
      <c r="V902" s="34">
        <f>P902+Q902+R902+T902+U902</f>
        <v>0</v>
      </c>
      <c r="W902" s="34">
        <f>O902-V902</f>
        <v>359099988.79963976</v>
      </c>
      <c r="X902" s="34">
        <f>M902-(N902+O902)</f>
        <v>0</v>
      </c>
      <c r="Y902" s="48" t="s">
        <v>419</v>
      </c>
      <c r="Z902" s="48" t="s">
        <v>256</v>
      </c>
      <c r="AA902" s="2" t="e">
        <v>#N/A</v>
      </c>
      <c r="AB902" s="2" t="e">
        <f>VLOOKUP(H902,#REF!,2,FALSE)</f>
        <v>#REF!</v>
      </c>
      <c r="AC902" s="2" t="e">
        <f>VLOOKUP(I902,#REF!,2,FALSE)</f>
        <v>#REF!</v>
      </c>
      <c r="AD902" s="2" t="e">
        <f>VLOOKUP(H902,#REF!,13,FALSE)</f>
        <v>#REF!</v>
      </c>
      <c r="AE902" s="2" t="e">
        <f>VLOOKUP(I902,#REF!,7,FALSE)</f>
        <v>#REF!</v>
      </c>
      <c r="AG902" s="2" t="e">
        <f>VLOOKUP(H902,#REF!,13,FALSE)</f>
        <v>#REF!</v>
      </c>
      <c r="AH902" s="2" t="e">
        <f>VLOOKUP(I902,#REF!,2,FALSE)</f>
        <v>#REF!</v>
      </c>
      <c r="AJ902" s="185" t="e">
        <f>VLOOKUP(H902,#REF!,3,FALSE)</f>
        <v>#REF!</v>
      </c>
      <c r="AK902" s="185"/>
      <c r="AL902" s="185"/>
      <c r="AM902" s="185" t="e">
        <f>VLOOKUP(CLEAN(H902),#REF!,7,FALSE)</f>
        <v>#REF!</v>
      </c>
      <c r="AN902" s="2" t="e">
        <f>VLOOKUP(H902,#REF!,8,FALSE)</f>
        <v>#REF!</v>
      </c>
      <c r="AO902" s="189" t="e">
        <f>VLOOKUP(H902,#REF!,2,FALSE)</f>
        <v>#REF!</v>
      </c>
      <c r="AP902" s="189" t="e">
        <f>VLOOKUP(H902,#REF!,2,FALSE)</f>
        <v>#REF!</v>
      </c>
      <c r="AQ902" s="189"/>
      <c r="AR902" s="2" t="e">
        <f>VLOOKUP(CLEAN(H902),#REF!,2,FALSE)</f>
        <v>#REF!</v>
      </c>
      <c r="AT902" s="2" t="e">
        <f>VLOOKUP(H902,#REF!,13,FALSE)</f>
        <v>#REF!</v>
      </c>
      <c r="AU902" s="2" t="e">
        <f>VLOOKUP(H902,#REF!,13,FALSE)</f>
        <v>#REF!</v>
      </c>
      <c r="AV902" s="2" t="e">
        <f>VLOOKUP(H902,#REF!,13,FALSE)</f>
        <v>#REF!</v>
      </c>
      <c r="AW902" s="2" t="e">
        <f>VLOOKUP(H902,#REF!,13,FALSE)</f>
        <v>#REF!</v>
      </c>
      <c r="AX902" s="2" t="e">
        <f>VLOOKUP(H902,#REF!,9,FALSE)</f>
        <v>#REF!</v>
      </c>
      <c r="AZ902" s="2" t="e">
        <f>VLOOKUP(H902,#REF!,2,FALSE)</f>
        <v>#REF!</v>
      </c>
      <c r="BF902" s="189" t="e">
        <f>VLOOKUP(CLEAN(H902),#REF!,2,FALSE)</f>
        <v>#REF!</v>
      </c>
      <c r="BG902" s="189" t="e">
        <f>T902-BF902</f>
        <v>#REF!</v>
      </c>
      <c r="BO902" s="2" t="e">
        <f>VLOOKUP(H902,#REF!,13,FALSE)</f>
        <v>#REF!</v>
      </c>
      <c r="BP902" s="2" t="e">
        <f>VLOOKUP(H902,#REF!,2,FALSE)</f>
        <v>#REF!</v>
      </c>
      <c r="BQ902" s="2" t="e">
        <f>VLOOKUP(H902,#REF!,13,FALSE)</f>
        <v>#REF!</v>
      </c>
      <c r="BR902" s="2" t="e">
        <f>VLOOKUP(H902,#REF!,3,FALSE)</f>
        <v>#REF!</v>
      </c>
    </row>
    <row r="903" spans="1:70" s="2" customFormat="1" ht="15" customHeight="1" outlineLevel="2">
      <c r="A903" s="5">
        <v>24</v>
      </c>
      <c r="B903" s="5" t="s">
        <v>54</v>
      </c>
      <c r="C903" s="5" t="s">
        <v>242</v>
      </c>
      <c r="D903" s="5" t="s">
        <v>43</v>
      </c>
      <c r="E903" s="5" t="s">
        <v>47</v>
      </c>
      <c r="F903" s="5" t="s">
        <v>457</v>
      </c>
      <c r="G903" s="5" t="s">
        <v>144</v>
      </c>
      <c r="H903" s="12" t="s">
        <v>374</v>
      </c>
      <c r="I903" s="42" t="str">
        <f t="shared" si="543"/>
        <v>SUBT 24-EJECUCION</v>
      </c>
      <c r="J903" s="12"/>
      <c r="K903" s="307" t="str">
        <f t="shared" si="544"/>
        <v>SUBT 24</v>
      </c>
      <c r="L903" s="15" t="s">
        <v>377</v>
      </c>
      <c r="M903" s="23">
        <v>359099988.79963976</v>
      </c>
      <c r="N903" s="34">
        <v>0</v>
      </c>
      <c r="O903" s="23">
        <v>359099988.79963976</v>
      </c>
      <c r="P903" s="310">
        <v>0</v>
      </c>
      <c r="Q903" s="34">
        <v>5745950</v>
      </c>
      <c r="R903" s="308">
        <v>3500000</v>
      </c>
      <c r="S903" s="34">
        <f t="shared" si="545"/>
        <v>9245950</v>
      </c>
      <c r="T903" s="34">
        <v>0</v>
      </c>
      <c r="U903" s="34">
        <v>0</v>
      </c>
      <c r="V903" s="34">
        <f>P903+Q903+R903+T903+U903</f>
        <v>9245950</v>
      </c>
      <c r="W903" s="34">
        <f>O903-V903</f>
        <v>349854038.79963976</v>
      </c>
      <c r="X903" s="34">
        <f>M903-(N903+O903)</f>
        <v>0</v>
      </c>
      <c r="Y903" s="48" t="s">
        <v>419</v>
      </c>
      <c r="Z903" s="48" t="s">
        <v>256</v>
      </c>
      <c r="AA903" s="2" t="e">
        <v>#N/A</v>
      </c>
      <c r="AB903" s="2" t="e">
        <f>VLOOKUP(H903,#REF!,2,FALSE)</f>
        <v>#REF!</v>
      </c>
      <c r="AC903" s="2" t="e">
        <f>VLOOKUP(I903,#REF!,2,FALSE)</f>
        <v>#REF!</v>
      </c>
      <c r="AD903" s="2" t="e">
        <f>VLOOKUP(H903,#REF!,13,FALSE)</f>
        <v>#REF!</v>
      </c>
      <c r="AE903" s="177" t="e">
        <f>VLOOKUP(I903,#REF!,7,FALSE)</f>
        <v>#REF!</v>
      </c>
      <c r="AG903" s="2" t="e">
        <f>VLOOKUP(H903,#REF!,13,FALSE)</f>
        <v>#REF!</v>
      </c>
      <c r="AH903" s="2" t="e">
        <f>VLOOKUP(I903,#REF!,2,FALSE)</f>
        <v>#REF!</v>
      </c>
      <c r="AJ903" s="185" t="e">
        <f>VLOOKUP(H903,#REF!,3,FALSE)</f>
        <v>#REF!</v>
      </c>
      <c r="AK903" s="185"/>
      <c r="AL903" s="185"/>
      <c r="AM903" s="185" t="e">
        <f>VLOOKUP(CLEAN(H903),#REF!,7,FALSE)</f>
        <v>#REF!</v>
      </c>
      <c r="AN903" s="2" t="e">
        <f>VLOOKUP(H903,#REF!,8,FALSE)</f>
        <v>#REF!</v>
      </c>
      <c r="AO903" s="189" t="e">
        <f>VLOOKUP(H903,#REF!,2,FALSE)</f>
        <v>#REF!</v>
      </c>
      <c r="AP903" s="189" t="e">
        <f>VLOOKUP(H903,#REF!,2,FALSE)</f>
        <v>#REF!</v>
      </c>
      <c r="AQ903" s="189"/>
      <c r="AR903" s="2" t="e">
        <f>VLOOKUP(CLEAN(H903),#REF!,2,FALSE)</f>
        <v>#REF!</v>
      </c>
      <c r="AT903" s="2" t="e">
        <f>VLOOKUP(H903,#REF!,13,FALSE)</f>
        <v>#REF!</v>
      </c>
      <c r="AU903" s="2" t="e">
        <f>VLOOKUP(H903,#REF!,13,FALSE)</f>
        <v>#REF!</v>
      </c>
      <c r="AV903" s="2" t="e">
        <f>VLOOKUP(H903,#REF!,13,FALSE)</f>
        <v>#REF!</v>
      </c>
      <c r="AW903" s="2" t="e">
        <f>VLOOKUP(H903,#REF!,13,FALSE)</f>
        <v>#REF!</v>
      </c>
      <c r="AX903" s="2" t="e">
        <f>VLOOKUP(H903,#REF!,9,FALSE)</f>
        <v>#REF!</v>
      </c>
      <c r="AZ903" s="2" t="e">
        <f>VLOOKUP(H903,#REF!,2,FALSE)</f>
        <v>#REF!</v>
      </c>
      <c r="BF903" s="189" t="e">
        <f>VLOOKUP(CLEAN(H903),#REF!,2,FALSE)</f>
        <v>#REF!</v>
      </c>
      <c r="BG903" s="189" t="e">
        <f>T903-BF903</f>
        <v>#REF!</v>
      </c>
      <c r="BO903" s="2" t="e">
        <f>VLOOKUP(H903,#REF!,13,FALSE)</f>
        <v>#REF!</v>
      </c>
      <c r="BP903" s="2" t="e">
        <f>VLOOKUP(H903,#REF!,2,FALSE)</f>
        <v>#REF!</v>
      </c>
      <c r="BQ903" s="2" t="e">
        <f>VLOOKUP(H903,#REF!,13,FALSE)</f>
        <v>#REF!</v>
      </c>
      <c r="BR903" s="2" t="e">
        <f>VLOOKUP(H903,#REF!,3,FALSE)</f>
        <v>#REF!</v>
      </c>
    </row>
    <row r="904" spans="1:70" ht="15" customHeight="1" outlineLevel="2">
      <c r="A904" s="7"/>
      <c r="B904" s="7"/>
      <c r="C904" s="7"/>
      <c r="D904" s="7"/>
      <c r="E904" s="7"/>
      <c r="F904" s="7"/>
      <c r="G904" s="7"/>
      <c r="H904" s="11"/>
      <c r="I904" s="11"/>
      <c r="J904" s="11"/>
      <c r="K904" s="11"/>
      <c r="L904" s="17" t="s">
        <v>691</v>
      </c>
      <c r="M904" s="27">
        <f t="shared" ref="M904:X904" si="547">SUBTOTAL(9,M894:M903)</f>
        <v>41455413284.398911</v>
      </c>
      <c r="N904" s="27">
        <f t="shared" si="547"/>
        <v>21317434732</v>
      </c>
      <c r="O904" s="27">
        <f t="shared" si="547"/>
        <v>7488309434.3989191</v>
      </c>
      <c r="P904" s="24">
        <f t="shared" si="547"/>
        <v>0</v>
      </c>
      <c r="Q904" s="24">
        <f t="shared" si="547"/>
        <v>827234821</v>
      </c>
      <c r="R904" s="24">
        <f t="shared" si="547"/>
        <v>794416309</v>
      </c>
      <c r="S904" s="27">
        <f t="shared" si="547"/>
        <v>1621651130</v>
      </c>
      <c r="T904" s="27">
        <f t="shared" si="547"/>
        <v>1911090458</v>
      </c>
      <c r="U904" s="27">
        <f t="shared" si="547"/>
        <v>1043894170</v>
      </c>
      <c r="V904" s="27">
        <f t="shared" si="547"/>
        <v>4576635758</v>
      </c>
      <c r="W904" s="27">
        <f t="shared" si="547"/>
        <v>2911673676.3989191</v>
      </c>
      <c r="X904" s="27">
        <f t="shared" si="547"/>
        <v>12649669118</v>
      </c>
      <c r="Y904" s="47"/>
      <c r="Z904" s="47"/>
      <c r="AM904" s="185" t="e">
        <f>VLOOKUP(CLEAN(H904),#REF!,7,FALSE)</f>
        <v>#REF!</v>
      </c>
      <c r="AO904"/>
      <c r="AP904"/>
      <c r="AQ904"/>
      <c r="AR904" s="2" t="e">
        <f>VLOOKUP(CLEAN(H904),#REF!,2,FALSE)</f>
        <v>#REF!</v>
      </c>
      <c r="AZ904" s="2" t="e">
        <f>VLOOKUP(H904,#REF!,2,FALSE)</f>
        <v>#REF!</v>
      </c>
      <c r="BO904" s="2" t="e">
        <f>VLOOKUP(H904,#REF!,13,FALSE)</f>
        <v>#REF!</v>
      </c>
      <c r="BQ904" s="2" t="e">
        <f>VLOOKUP(H904,#REF!,13,FALSE)</f>
        <v>#REF!</v>
      </c>
    </row>
    <row r="905" spans="1:70" ht="15" customHeight="1" outlineLevel="2">
      <c r="A905" s="7"/>
      <c r="B905" s="7"/>
      <c r="C905" s="7"/>
      <c r="D905" s="7"/>
      <c r="E905" s="7"/>
      <c r="F905" s="7"/>
      <c r="G905" s="7"/>
      <c r="H905" s="11"/>
      <c r="I905" s="11"/>
      <c r="J905" s="11"/>
      <c r="K905" s="11"/>
      <c r="L905" s="292"/>
      <c r="M905" s="22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47"/>
      <c r="Z905" s="47"/>
      <c r="AM905" s="185" t="e">
        <f>VLOOKUP(CLEAN(H905),#REF!,7,FALSE)</f>
        <v>#REF!</v>
      </c>
      <c r="AO905"/>
      <c r="AP905"/>
      <c r="AQ905"/>
      <c r="AR905" s="2" t="e">
        <f>VLOOKUP(CLEAN(H905),#REF!,2,FALSE)</f>
        <v>#REF!</v>
      </c>
      <c r="AZ905" s="2" t="e">
        <f>VLOOKUP(H905,#REF!,2,FALSE)</f>
        <v>#REF!</v>
      </c>
      <c r="BO905" s="2" t="e">
        <f>VLOOKUP(H905,#REF!,13,FALSE)</f>
        <v>#REF!</v>
      </c>
      <c r="BP905" s="293"/>
      <c r="BQ905" s="2" t="e">
        <f>VLOOKUP(H905,#REF!,13,FALSE)</f>
        <v>#REF!</v>
      </c>
    </row>
    <row r="906" spans="1:70" ht="15" customHeight="1" outlineLevel="2">
      <c r="A906" s="7"/>
      <c r="B906" s="7"/>
      <c r="C906" s="7"/>
      <c r="D906" s="7"/>
      <c r="E906" s="7"/>
      <c r="F906" s="7"/>
      <c r="G906" s="7"/>
      <c r="H906" s="11"/>
      <c r="I906" s="11"/>
      <c r="J906" s="11"/>
      <c r="K906" s="11"/>
      <c r="L906" s="18" t="s">
        <v>697</v>
      </c>
      <c r="M906" s="22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47"/>
      <c r="Z906" s="47"/>
      <c r="AO906"/>
      <c r="AP906"/>
      <c r="AQ906"/>
      <c r="AR906" s="2" t="e">
        <f>VLOOKUP(CLEAN(H906),#REF!,2,FALSE)</f>
        <v>#REF!</v>
      </c>
      <c r="AZ906" s="2" t="e">
        <f>VLOOKUP(H906,#REF!,2,FALSE)</f>
        <v>#REF!</v>
      </c>
      <c r="BO906" s="2" t="e">
        <f>VLOOKUP(H906,#REF!,13,FALSE)</f>
        <v>#REF!</v>
      </c>
      <c r="BQ906" s="2" t="e">
        <f>VLOOKUP(H906,#REF!,13,FALSE)</f>
        <v>#REF!</v>
      </c>
    </row>
    <row r="907" spans="1:70" s="2" customFormat="1" ht="15" customHeight="1" outlineLevel="2">
      <c r="A907" s="5">
        <v>24</v>
      </c>
      <c r="B907" s="5" t="s">
        <v>54</v>
      </c>
      <c r="C907" s="5" t="s">
        <v>576</v>
      </c>
      <c r="D907" s="5" t="s">
        <v>43</v>
      </c>
      <c r="E907" s="5" t="s">
        <v>47</v>
      </c>
      <c r="F907" s="5" t="s">
        <v>75</v>
      </c>
      <c r="G907" s="5" t="s">
        <v>144</v>
      </c>
      <c r="H907" s="12">
        <v>30322174</v>
      </c>
      <c r="I907" s="42" t="str">
        <f t="shared" ref="I907" si="548">CONCATENATE(H907,"-",G907)</f>
        <v>30322174-EJECUCION</v>
      </c>
      <c r="J907" s="12"/>
      <c r="K907" s="307" t="str">
        <f>CLEAN(H907)</f>
        <v>30322174</v>
      </c>
      <c r="L907" s="15" t="s">
        <v>383</v>
      </c>
      <c r="M907" s="23">
        <v>580480953</v>
      </c>
      <c r="N907" s="34">
        <v>515137912</v>
      </c>
      <c r="O907" s="34">
        <f>83944+12909872+13290124+12356634+26702467</f>
        <v>65343041</v>
      </c>
      <c r="P907" s="310">
        <v>83944</v>
      </c>
      <c r="Q907" s="34">
        <v>12909872</v>
      </c>
      <c r="R907" s="308">
        <v>13290124</v>
      </c>
      <c r="S907" s="34">
        <f>P907+Q907+R907</f>
        <v>26283940</v>
      </c>
      <c r="T907" s="34">
        <v>12356634</v>
      </c>
      <c r="U907" s="34">
        <v>26702467</v>
      </c>
      <c r="V907" s="34">
        <f>P907+Q907+R907+T907+U907</f>
        <v>65343041</v>
      </c>
      <c r="W907" s="34">
        <f>O907-V907</f>
        <v>0</v>
      </c>
      <c r="X907" s="34">
        <f>M907-(N907+O907)</f>
        <v>0</v>
      </c>
      <c r="Y907" s="48" t="s">
        <v>239</v>
      </c>
      <c r="Z907" s="48" t="s">
        <v>256</v>
      </c>
      <c r="AA907" s="2" t="s">
        <v>840</v>
      </c>
      <c r="AB907" s="2" t="e">
        <f>VLOOKUP(H907,#REF!,2,FALSE)</f>
        <v>#REF!</v>
      </c>
      <c r="AC907" s="2" t="e">
        <f>VLOOKUP(I907,#REF!,2,FALSE)</f>
        <v>#REF!</v>
      </c>
      <c r="AD907" s="2" t="e">
        <f>VLOOKUP(H907,#REF!,13,FALSE)</f>
        <v>#REF!</v>
      </c>
      <c r="AE907" s="2" t="e">
        <f>VLOOKUP(I907,#REF!,7,FALSE)</f>
        <v>#REF!</v>
      </c>
      <c r="AG907" s="2" t="e">
        <f>VLOOKUP(H907,#REF!,13,FALSE)</f>
        <v>#REF!</v>
      </c>
      <c r="AH907" s="2" t="e">
        <f>VLOOKUP(I907,#REF!,2,FALSE)</f>
        <v>#REF!</v>
      </c>
      <c r="AJ907" s="185" t="e">
        <f>VLOOKUP(H907,#REF!,3,FALSE)</f>
        <v>#REF!</v>
      </c>
      <c r="AK907" s="185"/>
      <c r="AL907" s="185"/>
      <c r="AM907" s="185" t="e">
        <f>VLOOKUP(CLEAN(H907),#REF!,7,FALSE)</f>
        <v>#REF!</v>
      </c>
      <c r="AN907" s="2" t="e">
        <f>VLOOKUP(H907,#REF!,8,FALSE)</f>
        <v>#REF!</v>
      </c>
      <c r="AO907" s="189" t="e">
        <f>VLOOKUP(H907,#REF!,2,FALSE)</f>
        <v>#REF!</v>
      </c>
      <c r="AP907" s="189" t="e">
        <f>VLOOKUP(H907,#REF!,2,FALSE)</f>
        <v>#REF!</v>
      </c>
      <c r="AQ907" s="189" t="e">
        <f>AO907-AP907</f>
        <v>#REF!</v>
      </c>
      <c r="AR907" s="189" t="e">
        <f>VLOOKUP(CLEAN(H907),#REF!,2,FALSE)</f>
        <v>#REF!</v>
      </c>
      <c r="AS907" s="189" t="e">
        <f>T907-AR907</f>
        <v>#REF!</v>
      </c>
      <c r="AT907" s="2" t="e">
        <f>VLOOKUP(H907,#REF!,13,FALSE)</f>
        <v>#REF!</v>
      </c>
      <c r="AU907" s="2" t="e">
        <f>VLOOKUP(H907,#REF!,13,FALSE)</f>
        <v>#REF!</v>
      </c>
      <c r="AV907" s="2" t="e">
        <f>VLOOKUP(H907,#REF!,13,FALSE)</f>
        <v>#REF!</v>
      </c>
      <c r="AW907" s="2" t="e">
        <f>VLOOKUP(H907,#REF!,13,FALSE)</f>
        <v>#REF!</v>
      </c>
      <c r="AX907" s="2" t="e">
        <f>VLOOKUP(H907,#REF!,9,FALSE)</f>
        <v>#REF!</v>
      </c>
      <c r="AZ907" s="189" t="e">
        <f>VLOOKUP(H907,#REF!,2,FALSE)</f>
        <v>#REF!</v>
      </c>
      <c r="BF907" s="189" t="e">
        <f>VLOOKUP(CLEAN(H907),#REF!,2,FALSE)</f>
        <v>#REF!</v>
      </c>
      <c r="BG907" s="189" t="e">
        <f>T907-BF907</f>
        <v>#REF!</v>
      </c>
      <c r="BO907" s="2" t="e">
        <f>VLOOKUP(H907,#REF!,13,FALSE)</f>
        <v>#REF!</v>
      </c>
      <c r="BP907" s="2" t="e">
        <f>VLOOKUP(H907,#REF!,2,FALSE)</f>
        <v>#REF!</v>
      </c>
      <c r="BQ907" s="2" t="e">
        <f>VLOOKUP(H907,#REF!,13,FALSE)</f>
        <v>#REF!</v>
      </c>
      <c r="BR907" s="2" t="e">
        <f>VLOOKUP(H907,#REF!,3,FALSE)</f>
        <v>#REF!</v>
      </c>
    </row>
    <row r="908" spans="1:70" ht="15" customHeight="1" outlineLevel="2">
      <c r="A908" s="7"/>
      <c r="B908" s="7"/>
      <c r="C908" s="7"/>
      <c r="D908" s="7"/>
      <c r="E908" s="7"/>
      <c r="F908" s="7"/>
      <c r="G908" s="7"/>
      <c r="H908" s="11"/>
      <c r="I908" s="11"/>
      <c r="J908" s="11"/>
      <c r="K908" s="11"/>
      <c r="L908" s="17" t="s">
        <v>694</v>
      </c>
      <c r="M908" s="27">
        <f>SUBTOTAL(9,M907)</f>
        <v>580480953</v>
      </c>
      <c r="N908" s="27">
        <f t="shared" ref="N908:X908" si="549">SUBTOTAL(9,N907)</f>
        <v>515137912</v>
      </c>
      <c r="O908" s="27">
        <f t="shared" si="549"/>
        <v>65343041</v>
      </c>
      <c r="P908" s="24">
        <f t="shared" si="549"/>
        <v>83944</v>
      </c>
      <c r="Q908" s="24">
        <f t="shared" si="549"/>
        <v>12909872</v>
      </c>
      <c r="R908" s="24">
        <f t="shared" si="549"/>
        <v>13290124</v>
      </c>
      <c r="S908" s="27">
        <f t="shared" si="549"/>
        <v>26283940</v>
      </c>
      <c r="T908" s="27">
        <f t="shared" si="549"/>
        <v>12356634</v>
      </c>
      <c r="U908" s="27">
        <f t="shared" si="549"/>
        <v>26702467</v>
      </c>
      <c r="V908" s="27">
        <f t="shared" si="549"/>
        <v>65343041</v>
      </c>
      <c r="W908" s="27">
        <f t="shared" si="549"/>
        <v>0</v>
      </c>
      <c r="X908" s="27">
        <f t="shared" si="549"/>
        <v>0</v>
      </c>
      <c r="Y908" s="47"/>
      <c r="Z908" s="47"/>
      <c r="AO908"/>
      <c r="AP908"/>
      <c r="AQ908"/>
      <c r="AR908" s="2" t="e">
        <f>VLOOKUP(CLEAN(H908),#REF!,2,FALSE)</f>
        <v>#REF!</v>
      </c>
      <c r="AZ908" s="2" t="e">
        <f>VLOOKUP(H908,#REF!,2,FALSE)</f>
        <v>#REF!</v>
      </c>
      <c r="BO908" s="2" t="e">
        <f>VLOOKUP(H908,#REF!,13,FALSE)</f>
        <v>#REF!</v>
      </c>
      <c r="BQ908" s="2" t="e">
        <f>VLOOKUP(H908,#REF!,13,FALSE)</f>
        <v>#REF!</v>
      </c>
    </row>
    <row r="909" spans="1:70" ht="15" customHeight="1" outlineLevel="2">
      <c r="A909" s="7"/>
      <c r="B909" s="7"/>
      <c r="C909" s="7"/>
      <c r="D909" s="7"/>
      <c r="E909" s="7"/>
      <c r="F909" s="7"/>
      <c r="G909" s="7"/>
      <c r="H909" s="11"/>
      <c r="I909" s="11"/>
      <c r="J909" s="11"/>
      <c r="K909" s="11"/>
      <c r="L909" s="292"/>
      <c r="M909" s="22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47"/>
      <c r="Z909" s="47"/>
      <c r="AO909"/>
      <c r="AP909"/>
      <c r="AQ909"/>
      <c r="AR909" s="2" t="e">
        <f>VLOOKUP(CLEAN(H909),#REF!,2,FALSE)</f>
        <v>#REF!</v>
      </c>
      <c r="AZ909" s="2" t="e">
        <f>VLOOKUP(H909,#REF!,2,FALSE)</f>
        <v>#REF!</v>
      </c>
      <c r="BO909" s="2" t="e">
        <f>VLOOKUP(H909,#REF!,13,FALSE)</f>
        <v>#REF!</v>
      </c>
      <c r="BP909" s="293"/>
      <c r="BQ909" s="2" t="e">
        <f>VLOOKUP(H909,#REF!,13,FALSE)</f>
        <v>#REF!</v>
      </c>
    </row>
    <row r="910" spans="1:70" ht="15" customHeight="1" outlineLevel="2">
      <c r="A910" s="7"/>
      <c r="B910" s="7"/>
      <c r="C910" s="7"/>
      <c r="D910" s="7"/>
      <c r="E910" s="7"/>
      <c r="F910" s="7"/>
      <c r="G910" s="7"/>
      <c r="H910" s="11"/>
      <c r="I910" s="11"/>
      <c r="J910" s="11"/>
      <c r="K910" s="11"/>
      <c r="L910" s="18" t="s">
        <v>698</v>
      </c>
      <c r="M910" s="22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47"/>
      <c r="Z910" s="47"/>
      <c r="AO910"/>
      <c r="AP910"/>
      <c r="AQ910"/>
      <c r="AR910" s="2" t="e">
        <f>VLOOKUP(CLEAN(H910),#REF!,2,FALSE)</f>
        <v>#REF!</v>
      </c>
      <c r="AZ910" s="2" t="e">
        <f>VLOOKUP(H910,#REF!,2,FALSE)</f>
        <v>#REF!</v>
      </c>
      <c r="BO910" s="2" t="e">
        <f>VLOOKUP(H910,#REF!,13,FALSE)</f>
        <v>#REF!</v>
      </c>
      <c r="BQ910" s="2" t="e">
        <f>VLOOKUP(H910,#REF!,13,FALSE)</f>
        <v>#REF!</v>
      </c>
    </row>
    <row r="911" spans="1:70" s="2" customFormat="1" ht="15" customHeight="1" outlineLevel="2">
      <c r="A911" s="5">
        <v>31</v>
      </c>
      <c r="B911" s="5" t="s">
        <v>54</v>
      </c>
      <c r="C911" s="5" t="s">
        <v>241</v>
      </c>
      <c r="D911" s="5" t="s">
        <v>43</v>
      </c>
      <c r="E911" s="5" t="s">
        <v>47</v>
      </c>
      <c r="F911" s="5" t="s">
        <v>15</v>
      </c>
      <c r="G911" s="5" t="s">
        <v>144</v>
      </c>
      <c r="H911" s="12">
        <v>30447539</v>
      </c>
      <c r="I911" s="42" t="str">
        <f>CONCATENATE(H911,"-",G911)</f>
        <v>30447539-EJECUCION</v>
      </c>
      <c r="J911" s="12"/>
      <c r="K911" s="307" t="str">
        <f>CLEAN(H911)</f>
        <v>30447539</v>
      </c>
      <c r="L911" s="15" t="s">
        <v>305</v>
      </c>
      <c r="M911" s="23">
        <v>188129000</v>
      </c>
      <c r="N911" s="34">
        <v>220000</v>
      </c>
      <c r="O911" s="34">
        <f>187909000-10971869</f>
        <v>176937131</v>
      </c>
      <c r="P911" s="310">
        <v>0</v>
      </c>
      <c r="Q911" s="34">
        <v>0</v>
      </c>
      <c r="R911" s="308">
        <v>0</v>
      </c>
      <c r="S911" s="34">
        <f>P911+Q911+R911</f>
        <v>0</v>
      </c>
      <c r="T911" s="34">
        <v>0</v>
      </c>
      <c r="U911" s="34">
        <v>0</v>
      </c>
      <c r="V911" s="34">
        <f>P911+Q911+R911+T911+U911</f>
        <v>0</v>
      </c>
      <c r="W911" s="34">
        <f>O911-V911</f>
        <v>176937131</v>
      </c>
      <c r="X911" s="34">
        <f>M911-(N911+O911)</f>
        <v>10971869</v>
      </c>
      <c r="Y911" s="48" t="s">
        <v>85</v>
      </c>
      <c r="Z911" s="48" t="s">
        <v>8</v>
      </c>
      <c r="AA911" s="2" t="s">
        <v>843</v>
      </c>
      <c r="AB911" s="2" t="e">
        <f>VLOOKUP(H911,#REF!,2,FALSE)</f>
        <v>#REF!</v>
      </c>
      <c r="AC911" s="2" t="e">
        <f>VLOOKUP(I911,#REF!,2,FALSE)</f>
        <v>#REF!</v>
      </c>
      <c r="AD911" s="2" t="e">
        <f>VLOOKUP(H911,#REF!,13,FALSE)</f>
        <v>#REF!</v>
      </c>
      <c r="AE911" s="2" t="e">
        <f>VLOOKUP(I911,#REF!,7,FALSE)</f>
        <v>#REF!</v>
      </c>
      <c r="AG911" s="2" t="e">
        <f>VLOOKUP(H911,#REF!,13,FALSE)</f>
        <v>#REF!</v>
      </c>
      <c r="AH911" s="2" t="e">
        <f>VLOOKUP(I911,#REF!,2,FALSE)</f>
        <v>#REF!</v>
      </c>
      <c r="AJ911" s="185" t="e">
        <f>VLOOKUP(H911,#REF!,3,FALSE)</f>
        <v>#REF!</v>
      </c>
      <c r="AK911" s="185"/>
      <c r="AL911" s="185" t="e">
        <f>VLOOKUP(H911,#REF!,13,FALSE)</f>
        <v>#REF!</v>
      </c>
      <c r="AM911" s="185" t="e">
        <f>VLOOKUP(CLEAN(H911),#REF!,7,FALSE)</f>
        <v>#REF!</v>
      </c>
      <c r="AN911" s="2" t="e">
        <f>VLOOKUP(H911,#REF!,8,FALSE)</f>
        <v>#REF!</v>
      </c>
      <c r="AO911" s="189" t="e">
        <f>VLOOKUP(H911,#REF!,2,FALSE)</f>
        <v>#REF!</v>
      </c>
      <c r="AP911" s="189" t="e">
        <f>VLOOKUP(H911,#REF!,2,FALSE)</f>
        <v>#REF!</v>
      </c>
      <c r="AQ911" s="189"/>
      <c r="AR911" s="2" t="e">
        <f>VLOOKUP(CLEAN(H911),#REF!,2,FALSE)</f>
        <v>#REF!</v>
      </c>
      <c r="AT911" s="2" t="e">
        <f>VLOOKUP(H911,#REF!,13,FALSE)</f>
        <v>#REF!</v>
      </c>
      <c r="AU911" s="2" t="e">
        <f>VLOOKUP(H911,#REF!,13,FALSE)</f>
        <v>#REF!</v>
      </c>
      <c r="AV911" s="2" t="e">
        <f>VLOOKUP(H911,#REF!,13,FALSE)</f>
        <v>#REF!</v>
      </c>
      <c r="AW911" s="2" t="e">
        <f>VLOOKUP(H911,#REF!,13,FALSE)</f>
        <v>#REF!</v>
      </c>
      <c r="AX911" s="2" t="e">
        <f>VLOOKUP(H911,#REF!,9,FALSE)</f>
        <v>#REF!</v>
      </c>
      <c r="AZ911" s="189" t="e">
        <f>VLOOKUP(H911,#REF!,2,FALSE)</f>
        <v>#REF!</v>
      </c>
      <c r="BF911" s="189" t="e">
        <f>VLOOKUP(CLEAN(H911),#REF!,2,FALSE)</f>
        <v>#REF!</v>
      </c>
      <c r="BG911" s="189" t="e">
        <f>T911-BF911</f>
        <v>#REF!</v>
      </c>
      <c r="BO911" s="2" t="e">
        <f>VLOOKUP(H911,#REF!,13,FALSE)</f>
        <v>#REF!</v>
      </c>
      <c r="BP911" s="2" t="e">
        <f>VLOOKUP(H911,#REF!,2,FALSE)</f>
        <v>#REF!</v>
      </c>
      <c r="BQ911" s="2" t="e">
        <f>VLOOKUP(H911,#REF!,13,FALSE)</f>
        <v>#REF!</v>
      </c>
      <c r="BR911" s="2" t="e">
        <f>VLOOKUP(H911,#REF!,3,FALSE)</f>
        <v>#REF!</v>
      </c>
    </row>
    <row r="912" spans="1:70" ht="15" customHeight="1" outlineLevel="2">
      <c r="A912" s="7"/>
      <c r="B912" s="7"/>
      <c r="C912" s="7"/>
      <c r="D912" s="7"/>
      <c r="E912" s="7"/>
      <c r="F912" s="7"/>
      <c r="G912" s="7"/>
      <c r="H912" s="11"/>
      <c r="I912" s="11"/>
      <c r="J912" s="11"/>
      <c r="K912" s="11"/>
      <c r="L912" s="17" t="s">
        <v>692</v>
      </c>
      <c r="M912" s="27">
        <f>SUBTOTAL(9,M911)</f>
        <v>188129000</v>
      </c>
      <c r="N912" s="27">
        <f t="shared" ref="N912:O912" si="550">SUBTOTAL(9,N911)</f>
        <v>220000</v>
      </c>
      <c r="O912" s="27">
        <f t="shared" si="550"/>
        <v>176937131</v>
      </c>
      <c r="P912" s="24">
        <f t="shared" ref="P912:X912" si="551">SUBTOTAL(9,P911)</f>
        <v>0</v>
      </c>
      <c r="Q912" s="24">
        <f t="shared" si="551"/>
        <v>0</v>
      </c>
      <c r="R912" s="24">
        <f t="shared" si="551"/>
        <v>0</v>
      </c>
      <c r="S912" s="27">
        <f t="shared" si="551"/>
        <v>0</v>
      </c>
      <c r="T912" s="27">
        <f t="shared" si="551"/>
        <v>0</v>
      </c>
      <c r="U912" s="27">
        <f t="shared" si="551"/>
        <v>0</v>
      </c>
      <c r="V912" s="27">
        <f t="shared" si="551"/>
        <v>0</v>
      </c>
      <c r="W912" s="27">
        <f t="shared" si="551"/>
        <v>176937131</v>
      </c>
      <c r="X912" s="27">
        <f t="shared" si="551"/>
        <v>10971869</v>
      </c>
      <c r="Y912" s="47"/>
      <c r="Z912" s="47"/>
      <c r="AO912"/>
      <c r="AP912"/>
      <c r="AQ912"/>
      <c r="AR912" s="2" t="e">
        <f>VLOOKUP(CLEAN(H912),#REF!,2,FALSE)</f>
        <v>#REF!</v>
      </c>
      <c r="AZ912" s="2" t="e">
        <f>VLOOKUP(H912,#REF!,2,FALSE)</f>
        <v>#REF!</v>
      </c>
      <c r="BO912" s="2" t="e">
        <f>VLOOKUP(H912,#REF!,13,FALSE)</f>
        <v>#REF!</v>
      </c>
      <c r="BQ912" s="2" t="e">
        <f>VLOOKUP(H912,#REF!,13,FALSE)</f>
        <v>#REF!</v>
      </c>
    </row>
    <row r="913" spans="1:70" ht="15" customHeight="1" outlineLevel="2">
      <c r="A913" s="7"/>
      <c r="B913" s="7"/>
      <c r="C913" s="7"/>
      <c r="D913" s="7"/>
      <c r="E913" s="7"/>
      <c r="F913" s="7"/>
      <c r="G913" s="7"/>
      <c r="H913" s="11"/>
      <c r="I913" s="11"/>
      <c r="J913" s="11"/>
      <c r="K913" s="11"/>
      <c r="L913" s="292"/>
      <c r="M913" s="22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47"/>
      <c r="Z913" s="47"/>
      <c r="AO913"/>
      <c r="AP913"/>
      <c r="AQ913"/>
      <c r="AR913" s="2" t="e">
        <f>VLOOKUP(CLEAN(H913),#REF!,2,FALSE)</f>
        <v>#REF!</v>
      </c>
      <c r="AZ913" s="2" t="e">
        <f>VLOOKUP(H913,#REF!,2,FALSE)</f>
        <v>#REF!</v>
      </c>
      <c r="BO913" s="2" t="e">
        <f>VLOOKUP(H913,#REF!,13,FALSE)</f>
        <v>#REF!</v>
      </c>
      <c r="BP913" s="293"/>
      <c r="BQ913" s="2" t="e">
        <f>VLOOKUP(H913,#REF!,13,FALSE)</f>
        <v>#REF!</v>
      </c>
    </row>
    <row r="914" spans="1:70" ht="15" customHeight="1" outlineLevel="2">
      <c r="A914" s="7"/>
      <c r="B914" s="7"/>
      <c r="C914" s="7"/>
      <c r="D914" s="7"/>
      <c r="E914" s="7"/>
      <c r="F914" s="7"/>
      <c r="G914" s="7"/>
      <c r="H914" s="11"/>
      <c r="I914" s="11"/>
      <c r="J914" s="11"/>
      <c r="K914" s="11"/>
      <c r="L914" s="18" t="s">
        <v>701</v>
      </c>
      <c r="M914" s="22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47"/>
      <c r="Z914" s="47"/>
      <c r="AM914" s="185" t="e">
        <f>VLOOKUP(CLEAN(H914),#REF!,7,FALSE)</f>
        <v>#REF!</v>
      </c>
      <c r="AO914"/>
      <c r="AP914"/>
      <c r="AQ914"/>
      <c r="AR914" s="2" t="e">
        <f>VLOOKUP(CLEAN(H914),#REF!,2,FALSE)</f>
        <v>#REF!</v>
      </c>
      <c r="AZ914" s="2" t="e">
        <f>VLOOKUP(H914,#REF!,2,FALSE)</f>
        <v>#REF!</v>
      </c>
      <c r="BO914" s="2" t="e">
        <f>VLOOKUP(H914,#REF!,13,FALSE)</f>
        <v>#REF!</v>
      </c>
      <c r="BQ914" s="2" t="e">
        <f>VLOOKUP(H914,#REF!,13,FALSE)</f>
        <v>#REF!</v>
      </c>
    </row>
    <row r="915" spans="1:70" s="2" customFormat="1" ht="15" customHeight="1" outlineLevel="2">
      <c r="A915" s="5">
        <v>29</v>
      </c>
      <c r="B915" s="5" t="s">
        <v>54</v>
      </c>
      <c r="C915" s="5" t="s">
        <v>251</v>
      </c>
      <c r="D915" s="5" t="s">
        <v>43</v>
      </c>
      <c r="E915" s="5" t="s">
        <v>47</v>
      </c>
      <c r="F915" s="5" t="s">
        <v>457</v>
      </c>
      <c r="G915" s="5" t="s">
        <v>144</v>
      </c>
      <c r="H915" s="12">
        <v>30398377</v>
      </c>
      <c r="I915" s="42" t="str">
        <f t="shared" ref="I915:I916" si="552">CONCATENATE(H915,"-",G915)</f>
        <v>30398377-EJECUCION</v>
      </c>
      <c r="J915" s="12"/>
      <c r="K915" s="307" t="str">
        <f t="shared" ref="K915:K916" si="553">CLEAN(H915)</f>
        <v>30398377</v>
      </c>
      <c r="L915" s="15" t="s">
        <v>304</v>
      </c>
      <c r="M915" s="23">
        <v>33689000</v>
      </c>
      <c r="N915" s="34">
        <v>0</v>
      </c>
      <c r="O915" s="34">
        <v>33689000</v>
      </c>
      <c r="P915" s="310">
        <v>0</v>
      </c>
      <c r="Q915" s="34">
        <v>0</v>
      </c>
      <c r="R915" s="308">
        <v>0</v>
      </c>
      <c r="S915" s="34">
        <f t="shared" ref="S915:S916" si="554">P915+Q915+R915</f>
        <v>0</v>
      </c>
      <c r="T915" s="34">
        <v>0</v>
      </c>
      <c r="U915" s="34">
        <v>0</v>
      </c>
      <c r="V915" s="34">
        <f>P915+Q915+R915+T915+U915</f>
        <v>0</v>
      </c>
      <c r="W915" s="34">
        <f>O915-V915</f>
        <v>33689000</v>
      </c>
      <c r="X915" s="34">
        <f>M915-(N915+O915)</f>
        <v>0</v>
      </c>
      <c r="Y915" s="48" t="s">
        <v>243</v>
      </c>
      <c r="Z915" s="48" t="s">
        <v>10</v>
      </c>
      <c r="AA915" s="2" t="e">
        <v>#N/A</v>
      </c>
      <c r="AB915" s="2" t="e">
        <f>VLOOKUP(H915,#REF!,2,FALSE)</f>
        <v>#REF!</v>
      </c>
      <c r="AC915" s="2" t="e">
        <f>VLOOKUP(I915,#REF!,2,FALSE)</f>
        <v>#REF!</v>
      </c>
      <c r="AD915" s="2" t="e">
        <f>VLOOKUP(H915,#REF!,13,FALSE)</f>
        <v>#REF!</v>
      </c>
      <c r="AE915" s="177" t="e">
        <f>VLOOKUP(I915,#REF!,7,FALSE)</f>
        <v>#REF!</v>
      </c>
      <c r="AG915" s="2" t="e">
        <f>VLOOKUP(H915,#REF!,13,FALSE)</f>
        <v>#REF!</v>
      </c>
      <c r="AH915" s="2" t="e">
        <f>VLOOKUP(I915,#REF!,2,FALSE)</f>
        <v>#REF!</v>
      </c>
      <c r="AJ915" s="185" t="e">
        <f>VLOOKUP(H915,#REF!,3,FALSE)</f>
        <v>#REF!</v>
      </c>
      <c r="AK915" s="185" t="s">
        <v>684</v>
      </c>
      <c r="AL915" s="185" t="e">
        <f>VLOOKUP(H915,#REF!,13,FALSE)</f>
        <v>#REF!</v>
      </c>
      <c r="AM915" s="185" t="e">
        <f>VLOOKUP(CLEAN(H915),#REF!,7,FALSE)</f>
        <v>#REF!</v>
      </c>
      <c r="AN915" s="2" t="e">
        <f>VLOOKUP(H915,#REF!,8,FALSE)</f>
        <v>#REF!</v>
      </c>
      <c r="AO915" s="189" t="e">
        <f>VLOOKUP(H915,#REF!,2,FALSE)</f>
        <v>#REF!</v>
      </c>
      <c r="AP915" s="189" t="e">
        <f>VLOOKUP(H915,#REF!,2,FALSE)</f>
        <v>#REF!</v>
      </c>
      <c r="AQ915" s="189"/>
      <c r="AR915" s="2" t="e">
        <f>VLOOKUP(CLEAN(H915),#REF!,2,FALSE)</f>
        <v>#REF!</v>
      </c>
      <c r="AT915" s="2" t="e">
        <f>VLOOKUP(H915,#REF!,13,FALSE)</f>
        <v>#REF!</v>
      </c>
      <c r="AU915" s="2" t="e">
        <f>VLOOKUP(H915,#REF!,13,FALSE)</f>
        <v>#REF!</v>
      </c>
      <c r="AV915" s="2" t="e">
        <f>VLOOKUP(H915,#REF!,13,FALSE)</f>
        <v>#REF!</v>
      </c>
      <c r="AW915" s="2" t="e">
        <f>VLOOKUP(H915,#REF!,13,FALSE)</f>
        <v>#REF!</v>
      </c>
      <c r="AX915" s="2" t="e">
        <f>VLOOKUP(H915,#REF!,9,FALSE)</f>
        <v>#REF!</v>
      </c>
      <c r="AY915" s="2" t="e">
        <f>VLOOKUP(H915,#REF!,2,FALSE)</f>
        <v>#REF!</v>
      </c>
      <c r="AZ915" s="2" t="e">
        <f>VLOOKUP(H915,#REF!,2,FALSE)</f>
        <v>#REF!</v>
      </c>
      <c r="BF915" s="189" t="e">
        <f>VLOOKUP(CLEAN(H915),#REF!,2,FALSE)</f>
        <v>#REF!</v>
      </c>
      <c r="BG915" s="189" t="e">
        <f>T915-BF915</f>
        <v>#REF!</v>
      </c>
      <c r="BO915" s="2" t="e">
        <f>VLOOKUP(H915,#REF!,13,FALSE)</f>
        <v>#REF!</v>
      </c>
      <c r="BP915" s="2" t="e">
        <f>VLOOKUP(H915,#REF!,2,FALSE)</f>
        <v>#REF!</v>
      </c>
      <c r="BQ915" s="2" t="e">
        <f>VLOOKUP(H915,#REF!,13,FALSE)</f>
        <v>#REF!</v>
      </c>
      <c r="BR915" s="2" t="e">
        <f>VLOOKUP(H915,#REF!,3,FALSE)</f>
        <v>#REF!</v>
      </c>
    </row>
    <row r="916" spans="1:70" s="2" customFormat="1" ht="15" customHeight="1" outlineLevel="2">
      <c r="A916" s="5">
        <v>29</v>
      </c>
      <c r="B916" s="5" t="s">
        <v>54</v>
      </c>
      <c r="C916" s="5" t="s">
        <v>240</v>
      </c>
      <c r="D916" s="5" t="s">
        <v>43</v>
      </c>
      <c r="E916" s="5" t="s">
        <v>47</v>
      </c>
      <c r="F916" s="5" t="s">
        <v>77</v>
      </c>
      <c r="G916" s="5" t="s">
        <v>144</v>
      </c>
      <c r="H916" s="12">
        <v>30458546</v>
      </c>
      <c r="I916" s="42" t="str">
        <f t="shared" si="552"/>
        <v>30458546-EJECUCION</v>
      </c>
      <c r="J916" s="12" t="s">
        <v>741</v>
      </c>
      <c r="K916" s="307" t="str">
        <f t="shared" si="553"/>
        <v>30458546</v>
      </c>
      <c r="L916" s="15" t="s">
        <v>367</v>
      </c>
      <c r="M916" s="23">
        <v>404955000</v>
      </c>
      <c r="N916" s="34">
        <v>0</v>
      </c>
      <c r="O916" s="34">
        <v>404955000</v>
      </c>
      <c r="P916" s="310">
        <v>0</v>
      </c>
      <c r="Q916" s="176">
        <v>0</v>
      </c>
      <c r="R916" s="308">
        <v>0</v>
      </c>
      <c r="S916" s="34">
        <f t="shared" si="554"/>
        <v>0</v>
      </c>
      <c r="T916" s="34">
        <v>0</v>
      </c>
      <c r="U916" s="34">
        <v>0</v>
      </c>
      <c r="V916" s="34">
        <f>P916+Q916+R916+T916+U916</f>
        <v>0</v>
      </c>
      <c r="W916" s="34">
        <f>O916-V916</f>
        <v>404955000</v>
      </c>
      <c r="X916" s="34">
        <f>M916-(N916+O916)</f>
        <v>0</v>
      </c>
      <c r="Y916" s="48" t="s">
        <v>243</v>
      </c>
      <c r="Z916" s="48" t="s">
        <v>10</v>
      </c>
      <c r="AA916" s="2" t="e">
        <v>#N/A</v>
      </c>
      <c r="AB916" s="2" t="e">
        <f>VLOOKUP(H916,#REF!,2,FALSE)</f>
        <v>#REF!</v>
      </c>
      <c r="AC916" s="2" t="e">
        <f>VLOOKUP(I916,#REF!,2,FALSE)</f>
        <v>#REF!</v>
      </c>
      <c r="AD916" s="2" t="e">
        <f>VLOOKUP(H916,#REF!,13,FALSE)</f>
        <v>#REF!</v>
      </c>
      <c r="AE916" s="2" t="e">
        <f>VLOOKUP(I916,#REF!,7,FALSE)</f>
        <v>#REF!</v>
      </c>
      <c r="AG916" s="2" t="e">
        <f>VLOOKUP(H916,#REF!,13,FALSE)</f>
        <v>#REF!</v>
      </c>
      <c r="AH916" s="2" t="e">
        <f>VLOOKUP(I916,#REF!,2,FALSE)</f>
        <v>#REF!</v>
      </c>
      <c r="AJ916" s="185" t="e">
        <f>VLOOKUP(H916,#REF!,3,FALSE)</f>
        <v>#REF!</v>
      </c>
      <c r="AK916" s="185"/>
      <c r="AL916" s="185" t="e">
        <f>VLOOKUP(H916,#REF!,13,FALSE)</f>
        <v>#REF!</v>
      </c>
      <c r="AM916" s="185" t="e">
        <f>VLOOKUP(CLEAN(H916),#REF!,7,FALSE)</f>
        <v>#REF!</v>
      </c>
      <c r="AN916" s="2" t="e">
        <f>VLOOKUP(H916,#REF!,8,FALSE)</f>
        <v>#REF!</v>
      </c>
      <c r="AO916" s="189" t="e">
        <f>VLOOKUP(H916,#REF!,2,FALSE)</f>
        <v>#REF!</v>
      </c>
      <c r="AP916" s="189" t="e">
        <f>VLOOKUP(H916,#REF!,2,FALSE)</f>
        <v>#REF!</v>
      </c>
      <c r="AQ916" s="189"/>
      <c r="AR916" s="2" t="e">
        <f>VLOOKUP(CLEAN(H916),#REF!,2,FALSE)</f>
        <v>#REF!</v>
      </c>
      <c r="AT916" s="2" t="e">
        <f>VLOOKUP(H916,#REF!,13,FALSE)</f>
        <v>#REF!</v>
      </c>
      <c r="AU916" s="2" t="e">
        <f>VLOOKUP(H916,#REF!,13,FALSE)</f>
        <v>#REF!</v>
      </c>
      <c r="AV916" s="2" t="e">
        <f>VLOOKUP(H916,#REF!,13,FALSE)</f>
        <v>#REF!</v>
      </c>
      <c r="AW916" s="2" t="e">
        <f>VLOOKUP(H916,#REF!,13,FALSE)</f>
        <v>#REF!</v>
      </c>
      <c r="AX916" s="2" t="e">
        <f>VLOOKUP(H916,#REF!,9,FALSE)</f>
        <v>#REF!</v>
      </c>
      <c r="AY916" s="2" t="e">
        <f>VLOOKUP(H916,#REF!,2,FALSE)</f>
        <v>#REF!</v>
      </c>
      <c r="AZ916" s="189" t="e">
        <f>VLOOKUP(H916,#REF!,2,FALSE)</f>
        <v>#REF!</v>
      </c>
      <c r="BF916" s="189" t="e">
        <f>VLOOKUP(CLEAN(H916),#REF!,2,FALSE)</f>
        <v>#REF!</v>
      </c>
      <c r="BG916" s="189" t="e">
        <f>T916-BF916</f>
        <v>#REF!</v>
      </c>
      <c r="BO916" s="2" t="e">
        <f>VLOOKUP(H916,#REF!,13,FALSE)</f>
        <v>#REF!</v>
      </c>
      <c r="BP916" s="2" t="e">
        <f>VLOOKUP(H916,#REF!,2,FALSE)</f>
        <v>#REF!</v>
      </c>
      <c r="BQ916" s="2" t="e">
        <f>VLOOKUP(H916,#REF!,13,FALSE)</f>
        <v>#REF!</v>
      </c>
      <c r="BR916" s="2" t="e">
        <f>VLOOKUP(H916,#REF!,3,FALSE)</f>
        <v>#REF!</v>
      </c>
    </row>
    <row r="917" spans="1:70" ht="15" customHeight="1" outlineLevel="2">
      <c r="A917" s="7"/>
      <c r="B917" s="7"/>
      <c r="C917" s="7"/>
      <c r="D917" s="7"/>
      <c r="E917" s="7"/>
      <c r="F917" s="7"/>
      <c r="G917" s="7"/>
      <c r="H917" s="11"/>
      <c r="I917" s="11"/>
      <c r="J917" s="11"/>
      <c r="K917" s="11"/>
      <c r="L917" s="17" t="s">
        <v>702</v>
      </c>
      <c r="M917" s="27">
        <f t="shared" ref="M917:X917" si="555">SUBTOTAL(9,M915:M916)</f>
        <v>438644000</v>
      </c>
      <c r="N917" s="27">
        <f t="shared" si="555"/>
        <v>0</v>
      </c>
      <c r="O917" s="27">
        <f t="shared" si="555"/>
        <v>438644000</v>
      </c>
      <c r="P917" s="24">
        <f t="shared" si="555"/>
        <v>0</v>
      </c>
      <c r="Q917" s="24">
        <f t="shared" si="555"/>
        <v>0</v>
      </c>
      <c r="R917" s="24">
        <f t="shared" si="555"/>
        <v>0</v>
      </c>
      <c r="S917" s="27">
        <f t="shared" si="555"/>
        <v>0</v>
      </c>
      <c r="T917" s="27">
        <f t="shared" si="555"/>
        <v>0</v>
      </c>
      <c r="U917" s="27">
        <f t="shared" si="555"/>
        <v>0</v>
      </c>
      <c r="V917" s="27">
        <f t="shared" si="555"/>
        <v>0</v>
      </c>
      <c r="W917" s="27">
        <f t="shared" si="555"/>
        <v>438644000</v>
      </c>
      <c r="X917" s="27">
        <f t="shared" si="555"/>
        <v>0</v>
      </c>
      <c r="Y917" s="47"/>
      <c r="Z917" s="47"/>
      <c r="AM917" s="185" t="e">
        <f>VLOOKUP(CLEAN(H917),#REF!,7,FALSE)</f>
        <v>#REF!</v>
      </c>
      <c r="AO917"/>
      <c r="AP917"/>
      <c r="AQ917"/>
      <c r="AR917" s="2" t="e">
        <f>VLOOKUP(CLEAN(H917),#REF!,2,FALSE)</f>
        <v>#REF!</v>
      </c>
      <c r="AZ917" s="2" t="e">
        <f>VLOOKUP(H917,#REF!,2,FALSE)</f>
        <v>#REF!</v>
      </c>
      <c r="BO917" s="2" t="e">
        <f>VLOOKUP(H917,#REF!,13,FALSE)</f>
        <v>#REF!</v>
      </c>
      <c r="BQ917" s="2" t="e">
        <f>VLOOKUP(H917,#REF!,13,FALSE)</f>
        <v>#REF!</v>
      </c>
    </row>
    <row r="918" spans="1:70" ht="15" customHeight="1" outlineLevel="2">
      <c r="A918" s="7"/>
      <c r="B918" s="7"/>
      <c r="C918" s="7"/>
      <c r="D918" s="7"/>
      <c r="E918" s="7"/>
      <c r="F918" s="7"/>
      <c r="G918" s="7"/>
      <c r="H918" s="11"/>
      <c r="I918" s="11"/>
      <c r="J918" s="11"/>
      <c r="K918" s="11"/>
      <c r="L918" s="292"/>
      <c r="M918" s="22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47"/>
      <c r="Z918" s="47"/>
      <c r="AM918" s="185" t="e">
        <f>VLOOKUP(CLEAN(H918),#REF!,7,FALSE)</f>
        <v>#REF!</v>
      </c>
      <c r="AO918"/>
      <c r="AP918"/>
      <c r="AQ918"/>
      <c r="AR918" s="2" t="e">
        <f>VLOOKUP(CLEAN(H918),#REF!,2,FALSE)</f>
        <v>#REF!</v>
      </c>
      <c r="AZ918" s="2" t="e">
        <f>VLOOKUP(H918,#REF!,2,FALSE)</f>
        <v>#REF!</v>
      </c>
      <c r="BO918" s="2" t="e">
        <f>VLOOKUP(H918,#REF!,13,FALSE)</f>
        <v>#REF!</v>
      </c>
      <c r="BP918" s="293"/>
      <c r="BQ918" s="2" t="e">
        <f>VLOOKUP(H918,#REF!,13,FALSE)</f>
        <v>#REF!</v>
      </c>
    </row>
    <row r="919" spans="1:70" ht="15" customHeight="1" outlineLevel="2">
      <c r="A919" s="7"/>
      <c r="B919" s="7"/>
      <c r="C919" s="7"/>
      <c r="D919" s="7"/>
      <c r="E919" s="7"/>
      <c r="F919" s="7"/>
      <c r="G919" s="7"/>
      <c r="H919" s="11"/>
      <c r="I919" s="11"/>
      <c r="J919" s="11"/>
      <c r="K919" s="11"/>
      <c r="L919" s="18" t="s">
        <v>696</v>
      </c>
      <c r="M919" s="22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47"/>
      <c r="Z919" s="47"/>
      <c r="AM919" s="185" t="e">
        <f>VLOOKUP(CLEAN(H919),#REF!,7,FALSE)</f>
        <v>#REF!</v>
      </c>
      <c r="AO919"/>
      <c r="AP919"/>
      <c r="AQ919"/>
      <c r="AR919" s="2" t="e">
        <f>VLOOKUP(CLEAN(H919),#REF!,2,FALSE)</f>
        <v>#REF!</v>
      </c>
      <c r="AZ919" s="2" t="e">
        <f>VLOOKUP(H919,#REF!,2,FALSE)</f>
        <v>#REF!</v>
      </c>
      <c r="BO919" s="2" t="e">
        <f>VLOOKUP(H919,#REF!,13,FALSE)</f>
        <v>#REF!</v>
      </c>
      <c r="BQ919" s="2" t="e">
        <f>VLOOKUP(H919,#REF!,13,FALSE)</f>
        <v>#REF!</v>
      </c>
    </row>
    <row r="920" spans="1:70" s="2" customFormat="1" ht="15" customHeight="1" outlineLevel="2">
      <c r="A920" s="5">
        <v>24</v>
      </c>
      <c r="B920" s="5" t="s">
        <v>54</v>
      </c>
      <c r="C920" s="5" t="s">
        <v>576</v>
      </c>
      <c r="D920" s="5" t="s">
        <v>43</v>
      </c>
      <c r="E920" s="5" t="s">
        <v>47</v>
      </c>
      <c r="F920" s="5" t="s">
        <v>75</v>
      </c>
      <c r="G920" s="5" t="s">
        <v>144</v>
      </c>
      <c r="H920" s="12">
        <v>30483010</v>
      </c>
      <c r="I920" s="42" t="str">
        <f t="shared" ref="I920" si="556">CONCATENATE(H920,"-",G920)</f>
        <v>30483010-EJECUCION</v>
      </c>
      <c r="J920" s="12"/>
      <c r="K920" s="307" t="str">
        <f t="shared" ref="K920:K922" si="557">CLEAN(H920)</f>
        <v>30483010</v>
      </c>
      <c r="L920" s="15" t="s">
        <v>303</v>
      </c>
      <c r="M920" s="23">
        <v>242000000</v>
      </c>
      <c r="N920" s="34">
        <v>0</v>
      </c>
      <c r="O920" s="34">
        <v>242000000</v>
      </c>
      <c r="P920" s="310">
        <v>0</v>
      </c>
      <c r="Q920" s="34">
        <v>0</v>
      </c>
      <c r="R920" s="308">
        <v>0</v>
      </c>
      <c r="S920" s="34">
        <f t="shared" ref="S920:S922" si="558">P920+Q920+R920</f>
        <v>0</v>
      </c>
      <c r="T920" s="34">
        <v>0</v>
      </c>
      <c r="U920" s="34">
        <v>0</v>
      </c>
      <c r="V920" s="34">
        <f>P920+Q920+R920+T920+U920</f>
        <v>0</v>
      </c>
      <c r="W920" s="34">
        <f>O920-V920</f>
        <v>242000000</v>
      </c>
      <c r="X920" s="34">
        <f>M920-(N920+O920)</f>
        <v>0</v>
      </c>
      <c r="Y920" s="48" t="s">
        <v>258</v>
      </c>
      <c r="Z920" s="48" t="s">
        <v>256</v>
      </c>
      <c r="AA920" s="2" t="e">
        <v>#N/A</v>
      </c>
      <c r="AB920" s="2" t="e">
        <f>VLOOKUP(H920,#REF!,2,FALSE)</f>
        <v>#REF!</v>
      </c>
      <c r="AC920" s="2" t="e">
        <f>VLOOKUP(I920,#REF!,2,FALSE)</f>
        <v>#REF!</v>
      </c>
      <c r="AD920" s="2" t="e">
        <f>VLOOKUP(H920,#REF!,13,FALSE)</f>
        <v>#REF!</v>
      </c>
      <c r="AE920" s="2" t="e">
        <f>VLOOKUP(I920,#REF!,7,FALSE)</f>
        <v>#REF!</v>
      </c>
      <c r="AG920" s="2" t="e">
        <f>VLOOKUP(H920,#REF!,13,FALSE)</f>
        <v>#REF!</v>
      </c>
      <c r="AH920" s="2" t="e">
        <f>VLOOKUP(I920,#REF!,2,FALSE)</f>
        <v>#REF!</v>
      </c>
      <c r="AJ920" s="185" t="e">
        <f>VLOOKUP(H920,#REF!,3,FALSE)</f>
        <v>#REF!</v>
      </c>
      <c r="AK920" s="185"/>
      <c r="AL920" s="185"/>
      <c r="AM920" s="185" t="e">
        <f>VLOOKUP(CLEAN(H920),#REF!,7,FALSE)</f>
        <v>#REF!</v>
      </c>
      <c r="AN920" s="2" t="e">
        <f>VLOOKUP(H920,#REF!,8,FALSE)</f>
        <v>#REF!</v>
      </c>
      <c r="AO920" s="189" t="e">
        <f>VLOOKUP(H920,#REF!,2,FALSE)</f>
        <v>#REF!</v>
      </c>
      <c r="AP920" s="189" t="e">
        <f>VLOOKUP(H920,#REF!,2,FALSE)</f>
        <v>#REF!</v>
      </c>
      <c r="AQ920" s="189"/>
      <c r="AR920" s="2" t="e">
        <f>VLOOKUP(CLEAN(H920),#REF!,2,FALSE)</f>
        <v>#REF!</v>
      </c>
      <c r="AT920" s="2" t="e">
        <f>VLOOKUP(H920,#REF!,13,FALSE)</f>
        <v>#REF!</v>
      </c>
      <c r="AU920" s="2" t="e">
        <f>VLOOKUP(H920,#REF!,13,FALSE)</f>
        <v>#REF!</v>
      </c>
      <c r="AV920" s="2" t="e">
        <f>VLOOKUP(H920,#REF!,13,FALSE)</f>
        <v>#REF!</v>
      </c>
      <c r="AW920" s="2" t="e">
        <f>VLOOKUP(H920,#REF!,13,FALSE)</f>
        <v>#REF!</v>
      </c>
      <c r="AX920" s="2" t="e">
        <f>VLOOKUP(H920,#REF!,9,FALSE)</f>
        <v>#REF!</v>
      </c>
      <c r="AZ920" s="2" t="e">
        <f>VLOOKUP(H920,#REF!,2,FALSE)</f>
        <v>#REF!</v>
      </c>
      <c r="BF920" s="189" t="e">
        <f>VLOOKUP(CLEAN(H920),#REF!,2,FALSE)</f>
        <v>#REF!</v>
      </c>
      <c r="BG920" s="189" t="e">
        <f>T920-BF920</f>
        <v>#REF!</v>
      </c>
      <c r="BO920" s="2" t="e">
        <f>VLOOKUP(H920,#REF!,13,FALSE)</f>
        <v>#REF!</v>
      </c>
      <c r="BP920" s="2" t="e">
        <f>VLOOKUP(H920,#REF!,2,FALSE)</f>
        <v>#REF!</v>
      </c>
      <c r="BQ920" s="2" t="e">
        <f>VLOOKUP(H920,#REF!,13,FALSE)</f>
        <v>#REF!</v>
      </c>
      <c r="BR920" s="2" t="e">
        <f>VLOOKUP(H920,#REF!,3,FALSE)</f>
        <v>#REF!</v>
      </c>
    </row>
    <row r="921" spans="1:70" s="2" customFormat="1" ht="15" customHeight="1" outlineLevel="2">
      <c r="A921" s="5">
        <v>31</v>
      </c>
      <c r="B921" s="5" t="s">
        <v>11</v>
      </c>
      <c r="C921" s="5" t="s">
        <v>241</v>
      </c>
      <c r="D921" s="5" t="s">
        <v>43</v>
      </c>
      <c r="E921" s="5" t="s">
        <v>47</v>
      </c>
      <c r="F921" s="5" t="s">
        <v>77</v>
      </c>
      <c r="G921" s="5" t="s">
        <v>144</v>
      </c>
      <c r="H921" s="12">
        <v>30384677</v>
      </c>
      <c r="I921" s="42" t="str">
        <f t="shared" ref="I921:I922" si="559">CONCATENATE(H921,"-",G921)</f>
        <v>30384677-EJECUCION</v>
      </c>
      <c r="J921" s="12"/>
      <c r="K921" s="307" t="str">
        <f t="shared" si="557"/>
        <v>30384677</v>
      </c>
      <c r="L921" s="15" t="s">
        <v>229</v>
      </c>
      <c r="M921" s="23">
        <v>25266986000</v>
      </c>
      <c r="N921" s="34">
        <v>0</v>
      </c>
      <c r="O921" s="34">
        <f>(879206491/3)-26702467</f>
        <v>266366363.33333331</v>
      </c>
      <c r="P921" s="310">
        <v>0</v>
      </c>
      <c r="Q921" s="34">
        <v>0</v>
      </c>
      <c r="R921" s="308">
        <v>0</v>
      </c>
      <c r="S921" s="34">
        <f t="shared" si="558"/>
        <v>0</v>
      </c>
      <c r="T921" s="34">
        <v>0</v>
      </c>
      <c r="U921" s="34">
        <v>0</v>
      </c>
      <c r="V921" s="34">
        <f>P921+Q921+R921+T921+U921</f>
        <v>0</v>
      </c>
      <c r="W921" s="34">
        <f>O921-V921</f>
        <v>266366363.33333331</v>
      </c>
      <c r="X921" s="34">
        <f>M921-(N921+O921)</f>
        <v>25000619636.666668</v>
      </c>
      <c r="Y921" s="48" t="s">
        <v>246</v>
      </c>
      <c r="Z921" s="48" t="s">
        <v>8</v>
      </c>
      <c r="AA921" s="2" t="e">
        <v>#N/A</v>
      </c>
      <c r="AB921" s="2" t="e">
        <f>VLOOKUP(H921,#REF!,2,FALSE)</f>
        <v>#REF!</v>
      </c>
      <c r="AC921" s="2" t="e">
        <f>VLOOKUP(I921,#REF!,2,FALSE)</f>
        <v>#REF!</v>
      </c>
      <c r="AD921" s="2" t="e">
        <f>VLOOKUP(H921,#REF!,13,FALSE)</f>
        <v>#REF!</v>
      </c>
      <c r="AE921" s="2" t="e">
        <f>VLOOKUP(I921,#REF!,7,FALSE)</f>
        <v>#REF!</v>
      </c>
      <c r="AG921" s="2" t="e">
        <f>VLOOKUP(H921,#REF!,13,FALSE)</f>
        <v>#REF!</v>
      </c>
      <c r="AH921" s="2" t="e">
        <f>VLOOKUP(I921,#REF!,2,FALSE)</f>
        <v>#REF!</v>
      </c>
      <c r="AJ921" s="185" t="e">
        <f>VLOOKUP(H921,#REF!,3,FALSE)</f>
        <v>#REF!</v>
      </c>
      <c r="AK921" s="185"/>
      <c r="AL921" s="185" t="e">
        <f>VLOOKUP(H921,#REF!,13,FALSE)</f>
        <v>#REF!</v>
      </c>
      <c r="AM921" s="185" t="e">
        <f>VLOOKUP(CLEAN(H921),#REF!,7,FALSE)</f>
        <v>#REF!</v>
      </c>
      <c r="AN921" s="2" t="e">
        <f>VLOOKUP(H921,#REF!,8,FALSE)</f>
        <v>#REF!</v>
      </c>
      <c r="AO921" s="189" t="e">
        <f>VLOOKUP(H921,#REF!,2,FALSE)</f>
        <v>#REF!</v>
      </c>
      <c r="AP921" s="189" t="e">
        <f>VLOOKUP(H921,#REF!,2,FALSE)</f>
        <v>#REF!</v>
      </c>
      <c r="AQ921" s="189"/>
      <c r="AR921" s="2" t="e">
        <f>VLOOKUP(CLEAN(H921),#REF!,2,FALSE)</f>
        <v>#REF!</v>
      </c>
      <c r="AT921" s="2" t="e">
        <f>VLOOKUP(H921,#REF!,13,FALSE)</f>
        <v>#REF!</v>
      </c>
      <c r="AU921" s="2" t="e">
        <f>VLOOKUP(H921,#REF!,13,FALSE)</f>
        <v>#REF!</v>
      </c>
      <c r="AV921" s="2" t="e">
        <f>VLOOKUP(H921,#REF!,13,FALSE)</f>
        <v>#REF!</v>
      </c>
      <c r="AW921" s="2" t="e">
        <f>VLOOKUP(H921,#REF!,13,FALSE)</f>
        <v>#REF!</v>
      </c>
      <c r="AX921" s="2" t="e">
        <f>VLOOKUP(H921,#REF!,9,FALSE)</f>
        <v>#REF!</v>
      </c>
      <c r="AZ921" s="2" t="e">
        <f>VLOOKUP(H921,#REF!,2,FALSE)</f>
        <v>#REF!</v>
      </c>
      <c r="BF921" s="189" t="e">
        <f>VLOOKUP(CLEAN(H921),#REF!,2,FALSE)</f>
        <v>#REF!</v>
      </c>
      <c r="BG921" s="189" t="e">
        <f>T921-BF921</f>
        <v>#REF!</v>
      </c>
      <c r="BO921" s="2" t="e">
        <f>VLOOKUP(H921,#REF!,13,FALSE)</f>
        <v>#REF!</v>
      </c>
      <c r="BP921" s="2" t="e">
        <f>VLOOKUP(H921,#REF!,2,FALSE)</f>
        <v>#REF!</v>
      </c>
      <c r="BQ921" s="2" t="e">
        <f>VLOOKUP(H921,#REF!,13,FALSE)</f>
        <v>#REF!</v>
      </c>
      <c r="BR921" s="2" t="e">
        <f>VLOOKUP(H921,#REF!,3,FALSE)</f>
        <v>#REF!</v>
      </c>
    </row>
    <row r="922" spans="1:70" s="2" customFormat="1" ht="15" customHeight="1" outlineLevel="2">
      <c r="A922" s="5">
        <v>31</v>
      </c>
      <c r="B922" s="5" t="s">
        <v>11</v>
      </c>
      <c r="C922" s="5" t="s">
        <v>240</v>
      </c>
      <c r="D922" s="5" t="s">
        <v>43</v>
      </c>
      <c r="E922" s="5" t="s">
        <v>47</v>
      </c>
      <c r="F922" s="5" t="s">
        <v>457</v>
      </c>
      <c r="G922" s="5" t="s">
        <v>9</v>
      </c>
      <c r="H922" s="12">
        <v>30135200</v>
      </c>
      <c r="I922" s="42" t="str">
        <f t="shared" si="559"/>
        <v>30135200-DISEÑO</v>
      </c>
      <c r="J922" s="12"/>
      <c r="K922" s="307" t="str">
        <f t="shared" si="557"/>
        <v>30135200</v>
      </c>
      <c r="L922" s="15" t="s">
        <v>236</v>
      </c>
      <c r="M922" s="23">
        <v>50167000</v>
      </c>
      <c r="N922" s="34">
        <v>0</v>
      </c>
      <c r="O922" s="34">
        <v>10000000</v>
      </c>
      <c r="P922" s="310">
        <v>0</v>
      </c>
      <c r="Q922" s="34">
        <v>0</v>
      </c>
      <c r="R922" s="308">
        <v>0</v>
      </c>
      <c r="S922" s="34">
        <f t="shared" si="558"/>
        <v>0</v>
      </c>
      <c r="T922" s="34">
        <v>0</v>
      </c>
      <c r="U922" s="34">
        <v>0</v>
      </c>
      <c r="V922" s="34">
        <f>P922+Q922+R922+T922+U922</f>
        <v>0</v>
      </c>
      <c r="W922" s="34">
        <f>O922-V922</f>
        <v>10000000</v>
      </c>
      <c r="X922" s="34">
        <f>M922-(N922+O922)</f>
        <v>40167000</v>
      </c>
      <c r="Y922" s="48" t="s">
        <v>246</v>
      </c>
      <c r="Z922" s="48" t="s">
        <v>357</v>
      </c>
      <c r="AA922" s="2" t="e">
        <v>#N/A</v>
      </c>
      <c r="AB922" s="2" t="e">
        <f>VLOOKUP(H922,#REF!,2,FALSE)</f>
        <v>#REF!</v>
      </c>
      <c r="AC922" s="2" t="e">
        <f>VLOOKUP(I922,#REF!,2,FALSE)</f>
        <v>#REF!</v>
      </c>
      <c r="AD922" s="2" t="e">
        <f>VLOOKUP(H922,#REF!,13,FALSE)</f>
        <v>#REF!</v>
      </c>
      <c r="AE922" s="2" t="e">
        <f>VLOOKUP(I922,#REF!,7,FALSE)</f>
        <v>#REF!</v>
      </c>
      <c r="AG922" s="2" t="e">
        <f>VLOOKUP(H922,#REF!,13,FALSE)</f>
        <v>#REF!</v>
      </c>
      <c r="AH922" s="2" t="e">
        <f>VLOOKUP(I922,#REF!,2,FALSE)</f>
        <v>#REF!</v>
      </c>
      <c r="AJ922" s="185" t="e">
        <f>VLOOKUP(H922,#REF!,3,FALSE)</f>
        <v>#REF!</v>
      </c>
      <c r="AK922" s="185"/>
      <c r="AL922" s="185" t="e">
        <f>VLOOKUP(H922,#REF!,13,FALSE)</f>
        <v>#REF!</v>
      </c>
      <c r="AM922" s="185" t="e">
        <f>VLOOKUP(CLEAN(H922),#REF!,7,FALSE)</f>
        <v>#REF!</v>
      </c>
      <c r="AN922" s="2" t="e">
        <f>VLOOKUP(H922,#REF!,8,FALSE)</f>
        <v>#REF!</v>
      </c>
      <c r="AO922" s="189" t="e">
        <f>VLOOKUP(H922,#REF!,2,FALSE)</f>
        <v>#REF!</v>
      </c>
      <c r="AP922" s="189" t="e">
        <f>VLOOKUP(H922,#REF!,2,FALSE)</f>
        <v>#REF!</v>
      </c>
      <c r="AQ922" s="189"/>
      <c r="AR922" s="2" t="e">
        <f>VLOOKUP(CLEAN(H922),#REF!,2,FALSE)</f>
        <v>#REF!</v>
      </c>
      <c r="AT922" s="2" t="e">
        <f>VLOOKUP(H922,#REF!,13,FALSE)</f>
        <v>#REF!</v>
      </c>
      <c r="AU922" s="2" t="e">
        <f>VLOOKUP(H922,#REF!,13,FALSE)</f>
        <v>#REF!</v>
      </c>
      <c r="AV922" s="2" t="e">
        <f>VLOOKUP(H922,#REF!,13,FALSE)</f>
        <v>#REF!</v>
      </c>
      <c r="AW922" s="2" t="e">
        <f>VLOOKUP(H922,#REF!,13,FALSE)</f>
        <v>#REF!</v>
      </c>
      <c r="AX922" s="2" t="e">
        <f>VLOOKUP(H922,#REF!,9,FALSE)</f>
        <v>#REF!</v>
      </c>
      <c r="AZ922" s="2" t="e">
        <f>VLOOKUP(H922,#REF!,2,FALSE)</f>
        <v>#REF!</v>
      </c>
      <c r="BF922" s="189" t="e">
        <f>VLOOKUP(CLEAN(H922),#REF!,2,FALSE)</f>
        <v>#REF!</v>
      </c>
      <c r="BG922" s="189" t="e">
        <f>T922-BF922</f>
        <v>#REF!</v>
      </c>
      <c r="BO922" s="2" t="e">
        <f>VLOOKUP(H922,#REF!,13,FALSE)</f>
        <v>#REF!</v>
      </c>
      <c r="BP922" s="2" t="e">
        <f>VLOOKUP(H922,#REF!,2,FALSE)</f>
        <v>#REF!</v>
      </c>
      <c r="BQ922" s="2" t="e">
        <f>VLOOKUP(H922,#REF!,13,FALSE)</f>
        <v>#REF!</v>
      </c>
      <c r="BR922" s="2" t="e">
        <f>VLOOKUP(H922,#REF!,3,FALSE)</f>
        <v>#REF!</v>
      </c>
    </row>
    <row r="923" spans="1:70" ht="15" customHeight="1" outlineLevel="2">
      <c r="A923" s="7"/>
      <c r="B923" s="7"/>
      <c r="C923" s="7"/>
      <c r="D923" s="7"/>
      <c r="E923" s="7"/>
      <c r="F923" s="7"/>
      <c r="G923" s="7"/>
      <c r="H923" s="11"/>
      <c r="I923" s="11"/>
      <c r="J923" s="11"/>
      <c r="K923" s="11"/>
      <c r="L923" s="17" t="s">
        <v>693</v>
      </c>
      <c r="M923" s="27">
        <f>SUBTOTAL(9,M920:M922)</f>
        <v>25559153000</v>
      </c>
      <c r="N923" s="27">
        <f t="shared" ref="N923:O923" si="560">SUBTOTAL(9,N920:N922)</f>
        <v>0</v>
      </c>
      <c r="O923" s="27">
        <f t="shared" si="560"/>
        <v>518366363.33333331</v>
      </c>
      <c r="P923" s="24">
        <f t="shared" ref="P923:X923" si="561">SUBTOTAL(9,P920:P922)</f>
        <v>0</v>
      </c>
      <c r="Q923" s="24">
        <f t="shared" si="561"/>
        <v>0</v>
      </c>
      <c r="R923" s="24">
        <f t="shared" si="561"/>
        <v>0</v>
      </c>
      <c r="S923" s="27">
        <f t="shared" si="561"/>
        <v>0</v>
      </c>
      <c r="T923" s="27">
        <f t="shared" si="561"/>
        <v>0</v>
      </c>
      <c r="U923" s="27">
        <f t="shared" si="561"/>
        <v>0</v>
      </c>
      <c r="V923" s="27">
        <f t="shared" si="561"/>
        <v>0</v>
      </c>
      <c r="W923" s="27">
        <f t="shared" si="561"/>
        <v>518366363.33333331</v>
      </c>
      <c r="X923" s="27">
        <f t="shared" si="561"/>
        <v>25040786636.666668</v>
      </c>
      <c r="Y923" s="47"/>
      <c r="Z923" s="47"/>
      <c r="AM923" s="185" t="e">
        <f>VLOOKUP(CLEAN(H923),#REF!,7,FALSE)</f>
        <v>#REF!</v>
      </c>
      <c r="AO923"/>
      <c r="AP923"/>
      <c r="AQ923"/>
      <c r="AR923" s="2" t="e">
        <f>VLOOKUP(CLEAN(H923),#REF!,2,FALSE)</f>
        <v>#REF!</v>
      </c>
      <c r="AZ923" s="2" t="e">
        <f>VLOOKUP(H923,#REF!,2,FALSE)</f>
        <v>#REF!</v>
      </c>
      <c r="BO923" s="2" t="e">
        <f>VLOOKUP(H923,#REF!,13,FALSE)</f>
        <v>#REF!</v>
      </c>
      <c r="BQ923" s="2" t="e">
        <f>VLOOKUP(H923,#REF!,13,FALSE)</f>
        <v>#REF!</v>
      </c>
    </row>
    <row r="924" spans="1:70" ht="15" customHeight="1" outlineLevel="2">
      <c r="A924" s="7"/>
      <c r="B924" s="7"/>
      <c r="C924" s="7"/>
      <c r="D924" s="7"/>
      <c r="E924" s="7"/>
      <c r="F924" s="7"/>
      <c r="G924" s="7"/>
      <c r="H924" s="11"/>
      <c r="I924" s="11"/>
      <c r="J924" s="11"/>
      <c r="K924" s="11"/>
      <c r="L924" s="292"/>
      <c r="M924" s="22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47"/>
      <c r="Z924" s="47"/>
      <c r="AM924" s="185" t="e">
        <f>VLOOKUP(CLEAN(H924),#REF!,7,FALSE)</f>
        <v>#REF!</v>
      </c>
      <c r="AO924"/>
      <c r="AP924"/>
      <c r="AQ924"/>
      <c r="AR924" s="2" t="e">
        <f>VLOOKUP(CLEAN(H924),#REF!,2,FALSE)</f>
        <v>#REF!</v>
      </c>
      <c r="AZ924" s="2" t="e">
        <f>VLOOKUP(H924,#REF!,2,FALSE)</f>
        <v>#REF!</v>
      </c>
      <c r="BO924" s="2" t="e">
        <f>VLOOKUP(H924,#REF!,13,FALSE)</f>
        <v>#REF!</v>
      </c>
      <c r="BP924" s="293"/>
      <c r="BQ924" s="2" t="e">
        <f>VLOOKUP(H924,#REF!,13,FALSE)</f>
        <v>#REF!</v>
      </c>
    </row>
    <row r="925" spans="1:70" ht="15" customHeight="1" outlineLevel="1">
      <c r="A925" s="7"/>
      <c r="B925" s="7"/>
      <c r="C925" s="7"/>
      <c r="D925" s="7"/>
      <c r="E925" s="8"/>
      <c r="F925" s="7"/>
      <c r="G925" s="7"/>
      <c r="H925" s="11"/>
      <c r="I925" s="11"/>
      <c r="J925" s="11"/>
      <c r="K925" s="11"/>
      <c r="L925" s="16" t="s">
        <v>185</v>
      </c>
      <c r="M925" s="24">
        <f t="shared" ref="M925:X925" si="562">M923+M917+M912+M908+M904</f>
        <v>68221820237.398911</v>
      </c>
      <c r="N925" s="24">
        <f t="shared" si="562"/>
        <v>21832792644</v>
      </c>
      <c r="O925" s="24">
        <f t="shared" si="562"/>
        <v>8687599969.7322521</v>
      </c>
      <c r="P925" s="24">
        <f t="shared" si="562"/>
        <v>83944</v>
      </c>
      <c r="Q925" s="24">
        <f t="shared" si="562"/>
        <v>840144693</v>
      </c>
      <c r="R925" s="24">
        <f t="shared" si="562"/>
        <v>807706433</v>
      </c>
      <c r="S925" s="24">
        <f t="shared" si="562"/>
        <v>1647935070</v>
      </c>
      <c r="T925" s="24">
        <f t="shared" si="562"/>
        <v>1923447092</v>
      </c>
      <c r="U925" s="24">
        <f t="shared" si="562"/>
        <v>1070596637</v>
      </c>
      <c r="V925" s="24">
        <f t="shared" si="562"/>
        <v>4641978799</v>
      </c>
      <c r="W925" s="24">
        <f t="shared" si="562"/>
        <v>4045621170.7322521</v>
      </c>
      <c r="X925" s="24">
        <f t="shared" si="562"/>
        <v>37701427623.666672</v>
      </c>
      <c r="Y925" s="47"/>
      <c r="Z925" s="47"/>
      <c r="AM925" s="185" t="e">
        <f>VLOOKUP(CLEAN(H925),#REF!,7,FALSE)</f>
        <v>#REF!</v>
      </c>
      <c r="AO925"/>
      <c r="AP925"/>
      <c r="AQ925"/>
      <c r="AR925" s="2" t="e">
        <f>VLOOKUP(CLEAN(H925),#REF!,2,FALSE)</f>
        <v>#REF!</v>
      </c>
      <c r="AZ925" s="2" t="e">
        <f>VLOOKUP(H925,#REF!,2,FALSE)</f>
        <v>#REF!</v>
      </c>
      <c r="BO925" s="2" t="e">
        <f>VLOOKUP(H925,#REF!,13,FALSE)</f>
        <v>#REF!</v>
      </c>
      <c r="BQ925" s="2" t="e">
        <f>VLOOKUP(H925,#REF!,13,FALSE)</f>
        <v>#REF!</v>
      </c>
    </row>
    <row r="926" spans="1:70" s="3" customFormat="1" ht="15" customHeight="1" outlineLevel="1">
      <c r="A926" s="7"/>
      <c r="B926" s="7"/>
      <c r="C926" s="7"/>
      <c r="D926" s="7"/>
      <c r="E926" s="8"/>
      <c r="F926" s="7"/>
      <c r="G926" s="7"/>
      <c r="H926" s="11"/>
      <c r="I926" s="11"/>
      <c r="J926" s="11"/>
      <c r="K926" s="11"/>
      <c r="L926" s="294"/>
      <c r="M926" s="26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47"/>
      <c r="Z926" s="47"/>
      <c r="AJ926" s="186"/>
      <c r="AK926" s="186"/>
      <c r="AL926" s="186"/>
      <c r="AM926" s="185" t="e">
        <f>VLOOKUP(CLEAN(H926),#REF!,7,FALSE)</f>
        <v>#REF!</v>
      </c>
      <c r="AR926" s="2" t="e">
        <f>VLOOKUP(CLEAN(H926),#REF!,2,FALSE)</f>
        <v>#REF!</v>
      </c>
      <c r="AZ926" s="2" t="e">
        <f>VLOOKUP(H926,#REF!,2,FALSE)</f>
        <v>#REF!</v>
      </c>
      <c r="BF926" s="193"/>
      <c r="BO926" s="2" t="e">
        <f>VLOOKUP(H926,#REF!,13,FALSE)</f>
        <v>#REF!</v>
      </c>
      <c r="BP926" s="7"/>
      <c r="BQ926" s="2" t="e">
        <f>VLOOKUP(H926,#REF!,13,FALSE)</f>
        <v>#REF!</v>
      </c>
    </row>
    <row r="927" spans="1:70" ht="18.75" customHeight="1" outlineLevel="1">
      <c r="A927" s="7"/>
      <c r="B927" s="7"/>
      <c r="C927" s="7"/>
      <c r="D927" s="7"/>
      <c r="E927" s="8"/>
      <c r="F927" s="7"/>
      <c r="G927" s="7"/>
      <c r="H927" s="11"/>
      <c r="I927" s="11"/>
      <c r="J927" s="11"/>
      <c r="K927" s="11"/>
      <c r="L927" s="45" t="s">
        <v>212</v>
      </c>
      <c r="M927" s="46">
        <f t="shared" ref="M927:X927" si="563">M925+M890+M870+M838+M814</f>
        <v>102540001965.39891</v>
      </c>
      <c r="N927" s="46">
        <f t="shared" si="563"/>
        <v>29541980043</v>
      </c>
      <c r="O927" s="46">
        <f t="shared" si="563"/>
        <v>14924852488.732252</v>
      </c>
      <c r="P927" s="46">
        <f t="shared" si="563"/>
        <v>71837988</v>
      </c>
      <c r="Q927" s="46">
        <f t="shared" si="563"/>
        <v>1598848975</v>
      </c>
      <c r="R927" s="46">
        <f t="shared" si="563"/>
        <v>1318273222</v>
      </c>
      <c r="S927" s="46">
        <f t="shared" si="563"/>
        <v>2988960185</v>
      </c>
      <c r="T927" s="46">
        <f t="shared" si="563"/>
        <v>2713335505</v>
      </c>
      <c r="U927" s="46">
        <f t="shared" si="563"/>
        <v>1856230946</v>
      </c>
      <c r="V927" s="46">
        <f t="shared" si="563"/>
        <v>7558526636</v>
      </c>
      <c r="W927" s="46">
        <f t="shared" si="563"/>
        <v>7366325852.7322521</v>
      </c>
      <c r="X927" s="46">
        <f t="shared" si="563"/>
        <v>58073169433.666672</v>
      </c>
      <c r="Y927" s="47"/>
      <c r="Z927" s="47"/>
      <c r="AM927" s="185" t="e">
        <f>VLOOKUP(CLEAN(H927),#REF!,7,FALSE)</f>
        <v>#REF!</v>
      </c>
      <c r="AO927"/>
      <c r="AP927"/>
      <c r="AQ927"/>
      <c r="AR927" s="2" t="e">
        <f>VLOOKUP(CLEAN(H927),#REF!,2,FALSE)</f>
        <v>#REF!</v>
      </c>
      <c r="AZ927" s="2" t="e">
        <f>VLOOKUP(H927,#REF!,2,FALSE)</f>
        <v>#REF!</v>
      </c>
      <c r="BO927" s="2" t="e">
        <f>VLOOKUP(H927,#REF!,13,FALSE)</f>
        <v>#REF!</v>
      </c>
      <c r="BQ927" s="2" t="e">
        <f>VLOOKUP(H927,#REF!,13,FALSE)</f>
        <v>#REF!</v>
      </c>
      <c r="BR927" s="1"/>
    </row>
    <row r="928" spans="1:70" s="3" customFormat="1" ht="15" customHeight="1" outlineLevel="1">
      <c r="A928" s="7"/>
      <c r="B928" s="7"/>
      <c r="C928" s="7"/>
      <c r="D928" s="7"/>
      <c r="E928" s="8"/>
      <c r="F928" s="7"/>
      <c r="G928" s="7"/>
      <c r="H928" s="11"/>
      <c r="I928" s="11"/>
      <c r="J928" s="11"/>
      <c r="K928" s="11"/>
      <c r="L928" s="294"/>
      <c r="M928" s="26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47"/>
      <c r="Z928" s="47"/>
      <c r="AJ928" s="186"/>
      <c r="AK928" s="186"/>
      <c r="AL928" s="186"/>
      <c r="AM928" s="185" t="e">
        <f>VLOOKUP(CLEAN(H928),#REF!,7,FALSE)</f>
        <v>#REF!</v>
      </c>
      <c r="AR928" s="2" t="e">
        <f>VLOOKUP(CLEAN(H928),#REF!,2,FALSE)</f>
        <v>#REF!</v>
      </c>
      <c r="AZ928" s="2" t="e">
        <f>VLOOKUP(H928,#REF!,2,FALSE)</f>
        <v>#REF!</v>
      </c>
      <c r="BF928" s="193"/>
      <c r="BO928" s="2" t="e">
        <f>VLOOKUP(H928,#REF!,13,FALSE)</f>
        <v>#REF!</v>
      </c>
      <c r="BP928" s="7"/>
      <c r="BQ928" s="2" t="e">
        <f>VLOOKUP(H928,#REF!,13,FALSE)</f>
        <v>#REF!</v>
      </c>
    </row>
    <row r="929" spans="1:70" s="3" customFormat="1" ht="21" customHeight="1" outlineLevel="1">
      <c r="A929" s="7"/>
      <c r="B929" s="7"/>
      <c r="C929" s="7"/>
      <c r="D929" s="7"/>
      <c r="E929" s="8"/>
      <c r="F929" s="7"/>
      <c r="G929" s="7"/>
      <c r="H929" s="11"/>
      <c r="I929" s="11"/>
      <c r="J929" s="11"/>
      <c r="K929" s="11"/>
      <c r="L929" s="53" t="s">
        <v>213</v>
      </c>
      <c r="M929" s="26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47"/>
      <c r="Z929" s="47"/>
      <c r="AJ929" s="186"/>
      <c r="AK929" s="186"/>
      <c r="AL929" s="186"/>
      <c r="AM929" s="185" t="e">
        <f>VLOOKUP(CLEAN(H929),#REF!,7,FALSE)</f>
        <v>#REF!</v>
      </c>
      <c r="AR929" s="2" t="e">
        <f>VLOOKUP(CLEAN(H929),#REF!,2,FALSE)</f>
        <v>#REF!</v>
      </c>
      <c r="AZ929" s="2" t="e">
        <f>VLOOKUP(H929,#REF!,2,FALSE)</f>
        <v>#REF!</v>
      </c>
      <c r="BF929" s="193"/>
      <c r="BO929" s="2" t="e">
        <f>VLOOKUP(H929,#REF!,13,FALSE)</f>
        <v>#REF!</v>
      </c>
      <c r="BQ929" s="2" t="e">
        <f>VLOOKUP(H929,#REF!,13,FALSE)</f>
        <v>#REF!</v>
      </c>
    </row>
    <row r="930" spans="1:70" s="3" customFormat="1" ht="15" customHeight="1" outlineLevel="1">
      <c r="A930" s="7"/>
      <c r="B930" s="7"/>
      <c r="C930" s="7"/>
      <c r="D930" s="7"/>
      <c r="E930" s="8"/>
      <c r="F930" s="7"/>
      <c r="G930" s="7"/>
      <c r="H930" s="11"/>
      <c r="I930" s="11"/>
      <c r="J930" s="11"/>
      <c r="K930" s="11"/>
      <c r="L930" s="18" t="s">
        <v>695</v>
      </c>
      <c r="M930" s="26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47"/>
      <c r="Z930" s="47"/>
      <c r="AJ930" s="186"/>
      <c r="AK930" s="186"/>
      <c r="AL930" s="186"/>
      <c r="AM930" s="185" t="e">
        <f>VLOOKUP(CLEAN(H930),#REF!,7,FALSE)</f>
        <v>#REF!</v>
      </c>
      <c r="AR930" s="2" t="e">
        <f>VLOOKUP(CLEAN(H930),#REF!,2,FALSE)</f>
        <v>#REF!</v>
      </c>
      <c r="AZ930" s="2" t="e">
        <f>VLOOKUP(H930,#REF!,2,FALSE)</f>
        <v>#REF!</v>
      </c>
      <c r="BF930" s="193"/>
      <c r="BO930" s="2" t="e">
        <f>VLOOKUP(H930,#REF!,13,FALSE)</f>
        <v>#REF!</v>
      </c>
      <c r="BQ930" s="2" t="e">
        <f>VLOOKUP(H930,#REF!,13,FALSE)</f>
        <v>#REF!</v>
      </c>
    </row>
    <row r="931" spans="1:70" s="2" customFormat="1" ht="15" customHeight="1" outlineLevel="2">
      <c r="A931" s="5">
        <v>33</v>
      </c>
      <c r="B931" s="5" t="s">
        <v>5</v>
      </c>
      <c r="C931" s="5" t="s">
        <v>241</v>
      </c>
      <c r="D931" s="5" t="s">
        <v>48</v>
      </c>
      <c r="E931" s="5" t="s">
        <v>48</v>
      </c>
      <c r="F931" s="5" t="s">
        <v>457</v>
      </c>
      <c r="G931" s="5" t="s">
        <v>144</v>
      </c>
      <c r="H931" s="12">
        <v>30429222</v>
      </c>
      <c r="I931" s="42" t="str">
        <f>CONCATENATE(H931,"-",G931)</f>
        <v>30429222-EJECUCION</v>
      </c>
      <c r="J931" s="12"/>
      <c r="K931" s="307" t="str">
        <f>CLEAN(H931)</f>
        <v>30429222</v>
      </c>
      <c r="L931" s="15" t="s">
        <v>665</v>
      </c>
      <c r="M931" s="23">
        <v>4529449000</v>
      </c>
      <c r="N931" s="34">
        <v>995670000</v>
      </c>
      <c r="O931" s="34">
        <f>2000000000</f>
        <v>2000000000</v>
      </c>
      <c r="P931" s="310">
        <v>0</v>
      </c>
      <c r="Q931" s="34">
        <v>0</v>
      </c>
      <c r="R931" s="308">
        <v>0</v>
      </c>
      <c r="S931" s="34">
        <f>P931+Q931+R931</f>
        <v>0</v>
      </c>
      <c r="T931" s="34">
        <v>0</v>
      </c>
      <c r="U931" s="34">
        <v>492980000</v>
      </c>
      <c r="V931" s="34">
        <f>P931+Q931+R931+T931+U931</f>
        <v>492980000</v>
      </c>
      <c r="W931" s="34">
        <f>O931-V931</f>
        <v>1507020000</v>
      </c>
      <c r="X931" s="34">
        <f>M931-(N931+O931)</f>
        <v>1533779000</v>
      </c>
      <c r="Y931" s="48" t="s">
        <v>239</v>
      </c>
      <c r="Z931" s="48" t="s">
        <v>12</v>
      </c>
      <c r="AA931" s="2" t="e">
        <v>#N/A</v>
      </c>
      <c r="AB931" s="2" t="e">
        <f>VLOOKUP(H931,#REF!,2,FALSE)</f>
        <v>#REF!</v>
      </c>
      <c r="AC931" s="2" t="e">
        <f>VLOOKUP(I931,#REF!,2,FALSE)</f>
        <v>#REF!</v>
      </c>
      <c r="AD931" s="2" t="e">
        <f>VLOOKUP(H931,#REF!,13,FALSE)</f>
        <v>#REF!</v>
      </c>
      <c r="AE931" s="177" t="e">
        <f>VLOOKUP(I931,#REF!,7,FALSE)</f>
        <v>#REF!</v>
      </c>
      <c r="AG931" s="2" t="e">
        <f>VLOOKUP(H931,#REF!,13,FALSE)</f>
        <v>#REF!</v>
      </c>
      <c r="AH931" s="2" t="e">
        <f>VLOOKUP(I931,#REF!,2,FALSE)</f>
        <v>#REF!</v>
      </c>
      <c r="AJ931" s="185" t="e">
        <f>VLOOKUP(H931,#REF!,3,FALSE)</f>
        <v>#REF!</v>
      </c>
      <c r="AK931" s="185"/>
      <c r="AL931" s="185"/>
      <c r="AM931" s="185" t="e">
        <f>VLOOKUP(CLEAN(H931),#REF!,7,FALSE)</f>
        <v>#REF!</v>
      </c>
      <c r="AN931" s="2" t="e">
        <f>VLOOKUP(H931,#REF!,8,FALSE)</f>
        <v>#REF!</v>
      </c>
      <c r="AO931" s="189" t="e">
        <f>VLOOKUP(H931,#REF!,2,FALSE)</f>
        <v>#REF!</v>
      </c>
      <c r="AP931" s="189" t="e">
        <f>VLOOKUP(H931,#REF!,2,FALSE)</f>
        <v>#REF!</v>
      </c>
      <c r="AQ931" s="189"/>
      <c r="AR931" s="2" t="e">
        <f>VLOOKUP(CLEAN(H931),#REF!,2,FALSE)</f>
        <v>#REF!</v>
      </c>
      <c r="AT931" s="2" t="e">
        <f>VLOOKUP(H931,#REF!,13,FALSE)</f>
        <v>#REF!</v>
      </c>
      <c r="AU931" s="2" t="e">
        <f>VLOOKUP(H931,#REF!,13,FALSE)</f>
        <v>#REF!</v>
      </c>
      <c r="AV931" s="2" t="e">
        <f>VLOOKUP(H931,#REF!,13,FALSE)</f>
        <v>#REF!</v>
      </c>
      <c r="AW931" s="2" t="e">
        <f>VLOOKUP(H931,#REF!,13,FALSE)</f>
        <v>#REF!</v>
      </c>
      <c r="AX931" s="2" t="e">
        <f>VLOOKUP(H931,#REF!,9,FALSE)</f>
        <v>#REF!</v>
      </c>
      <c r="AZ931" s="189" t="e">
        <f>VLOOKUP(H931,#REF!,2,FALSE)</f>
        <v>#REF!</v>
      </c>
      <c r="BF931" s="189" t="e">
        <f>VLOOKUP(CLEAN(H931),#REF!,2,FALSE)</f>
        <v>#REF!</v>
      </c>
      <c r="BG931" s="189" t="e">
        <f>T931-BF931</f>
        <v>#REF!</v>
      </c>
      <c r="BO931" s="2" t="e">
        <f>VLOOKUP(H931,#REF!,13,FALSE)</f>
        <v>#REF!</v>
      </c>
      <c r="BP931" s="2" t="e">
        <f>VLOOKUP(H931,#REF!,2,FALSE)</f>
        <v>#REF!</v>
      </c>
      <c r="BQ931" s="2" t="e">
        <f>VLOOKUP(H931,#REF!,13,FALSE)</f>
        <v>#REF!</v>
      </c>
      <c r="BR931" s="2" t="e">
        <f>VLOOKUP(H931,#REF!,3,FALSE)</f>
        <v>#REF!</v>
      </c>
    </row>
    <row r="932" spans="1:70" ht="15" customHeight="1" outlineLevel="2">
      <c r="A932" s="7"/>
      <c r="B932" s="7"/>
      <c r="C932" s="7"/>
      <c r="D932" s="7"/>
      <c r="E932" s="7"/>
      <c r="F932" s="7"/>
      <c r="G932" s="7"/>
      <c r="H932" s="11"/>
      <c r="I932" s="11"/>
      <c r="J932" s="11"/>
      <c r="K932" s="11"/>
      <c r="L932" s="17" t="s">
        <v>691</v>
      </c>
      <c r="M932" s="27">
        <f t="shared" ref="M932:X932" si="564">SUBTOTAL(9,M931:M931)</f>
        <v>4529449000</v>
      </c>
      <c r="N932" s="27">
        <f t="shared" si="564"/>
        <v>995670000</v>
      </c>
      <c r="O932" s="27">
        <f t="shared" si="564"/>
        <v>2000000000</v>
      </c>
      <c r="P932" s="27">
        <f t="shared" si="564"/>
        <v>0</v>
      </c>
      <c r="Q932" s="27">
        <f t="shared" si="564"/>
        <v>0</v>
      </c>
      <c r="R932" s="27">
        <f t="shared" si="564"/>
        <v>0</v>
      </c>
      <c r="S932" s="27">
        <f t="shared" si="564"/>
        <v>0</v>
      </c>
      <c r="T932" s="27">
        <f t="shared" si="564"/>
        <v>0</v>
      </c>
      <c r="U932" s="27">
        <f t="shared" si="564"/>
        <v>492980000</v>
      </c>
      <c r="V932" s="27">
        <f t="shared" si="564"/>
        <v>492980000</v>
      </c>
      <c r="W932" s="27">
        <f t="shared" si="564"/>
        <v>1507020000</v>
      </c>
      <c r="X932" s="27">
        <f t="shared" si="564"/>
        <v>1533779000</v>
      </c>
      <c r="Y932" s="47"/>
      <c r="Z932" s="47"/>
      <c r="AM932" s="185" t="e">
        <f>VLOOKUP(CLEAN(H932),#REF!,7,FALSE)</f>
        <v>#REF!</v>
      </c>
      <c r="AO932"/>
      <c r="AP932"/>
      <c r="AQ932"/>
      <c r="AR932" s="2" t="e">
        <f>VLOOKUP(CLEAN(H932),#REF!,2,FALSE)</f>
        <v>#REF!</v>
      </c>
      <c r="AZ932" s="2" t="e">
        <f>VLOOKUP(H932,#REF!,2,FALSE)</f>
        <v>#REF!</v>
      </c>
      <c r="BO932" s="2" t="e">
        <f>VLOOKUP(H932,#REF!,13,FALSE)</f>
        <v>#REF!</v>
      </c>
      <c r="BQ932" s="2" t="e">
        <f>VLOOKUP(H932,#REF!,13,FALSE)</f>
        <v>#REF!</v>
      </c>
    </row>
    <row r="933" spans="1:70" ht="15" customHeight="1" outlineLevel="2">
      <c r="A933" s="7"/>
      <c r="B933" s="7"/>
      <c r="C933" s="7"/>
      <c r="D933" s="7"/>
      <c r="E933" s="7"/>
      <c r="F933" s="7"/>
      <c r="G933" s="7"/>
      <c r="H933" s="11"/>
      <c r="I933" s="11"/>
      <c r="J933" s="11"/>
      <c r="K933" s="11"/>
      <c r="L933" s="292"/>
      <c r="M933" s="22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47"/>
      <c r="Z933" s="47"/>
      <c r="AM933" s="185" t="e">
        <f>VLOOKUP(CLEAN(H933),#REF!,7,FALSE)</f>
        <v>#REF!</v>
      </c>
      <c r="AO933"/>
      <c r="AP933"/>
      <c r="AQ933"/>
      <c r="AR933" s="2" t="e">
        <f>VLOOKUP(CLEAN(H933),#REF!,2,FALSE)</f>
        <v>#REF!</v>
      </c>
      <c r="AZ933" s="2" t="e">
        <f>VLOOKUP(H933,#REF!,2,FALSE)</f>
        <v>#REF!</v>
      </c>
      <c r="BO933" s="2" t="e">
        <f>VLOOKUP(H933,#REF!,13,FALSE)</f>
        <v>#REF!</v>
      </c>
      <c r="BP933" s="293"/>
      <c r="BQ933" s="2" t="e">
        <f>VLOOKUP(H933,#REF!,13,FALSE)</f>
        <v>#REF!</v>
      </c>
    </row>
    <row r="934" spans="1:70" ht="15" customHeight="1" outlineLevel="2">
      <c r="A934" s="7"/>
      <c r="B934" s="7"/>
      <c r="C934" s="7"/>
      <c r="D934" s="7"/>
      <c r="E934" s="7"/>
      <c r="F934" s="7"/>
      <c r="G934" s="7"/>
      <c r="H934" s="11"/>
      <c r="I934" s="11"/>
      <c r="J934" s="11"/>
      <c r="K934" s="11"/>
      <c r="L934" s="18" t="s">
        <v>698</v>
      </c>
      <c r="M934" s="22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47"/>
      <c r="Z934" s="47"/>
      <c r="AO934"/>
      <c r="AP934"/>
      <c r="AQ934"/>
      <c r="AR934" s="2" t="e">
        <f>VLOOKUP(CLEAN(H934),#REF!,2,FALSE)</f>
        <v>#REF!</v>
      </c>
      <c r="AZ934" s="2" t="e">
        <f>VLOOKUP(H934,#REF!,2,FALSE)</f>
        <v>#REF!</v>
      </c>
      <c r="BO934" s="2" t="e">
        <f>VLOOKUP(H934,#REF!,13,FALSE)</f>
        <v>#REF!</v>
      </c>
      <c r="BQ934" s="2" t="e">
        <f>VLOOKUP(H934,#REF!,13,FALSE)</f>
        <v>#REF!</v>
      </c>
    </row>
    <row r="935" spans="1:70" s="2" customFormat="1" ht="15" customHeight="1" outlineLevel="2">
      <c r="A935" s="5">
        <v>31</v>
      </c>
      <c r="B935" s="5" t="s">
        <v>54</v>
      </c>
      <c r="C935" s="5" t="s">
        <v>251</v>
      </c>
      <c r="D935" s="5" t="s">
        <v>48</v>
      </c>
      <c r="E935" s="5" t="s">
        <v>48</v>
      </c>
      <c r="F935" s="5" t="s">
        <v>89</v>
      </c>
      <c r="G935" s="5" t="s">
        <v>596</v>
      </c>
      <c r="H935" s="12">
        <v>30409780</v>
      </c>
      <c r="I935" s="42" t="str">
        <f>CONCATENATE(H935,"-",G935)</f>
        <v>30409780-FACTIBILIDAD</v>
      </c>
      <c r="J935" s="12"/>
      <c r="K935" s="307" t="str">
        <f>CLEAN(H935)</f>
        <v>30409780</v>
      </c>
      <c r="L935" s="15" t="s">
        <v>308</v>
      </c>
      <c r="M935" s="23">
        <v>435192000</v>
      </c>
      <c r="N935" s="34">
        <v>0</v>
      </c>
      <c r="O935" s="34">
        <v>335192000</v>
      </c>
      <c r="P935" s="310">
        <v>0</v>
      </c>
      <c r="Q935" s="34">
        <v>0</v>
      </c>
      <c r="R935" s="308">
        <v>0</v>
      </c>
      <c r="S935" s="34">
        <f>P935+Q935+R935</f>
        <v>0</v>
      </c>
      <c r="T935" s="34">
        <v>0</v>
      </c>
      <c r="U935" s="34">
        <v>0</v>
      </c>
      <c r="V935" s="34">
        <f>P935+Q935+R935+T935+U935</f>
        <v>0</v>
      </c>
      <c r="W935" s="34">
        <f>O935-V935</f>
        <v>335192000</v>
      </c>
      <c r="X935" s="34">
        <f>M935-(N935+O935)</f>
        <v>100000000</v>
      </c>
      <c r="Y935" s="48" t="s">
        <v>649</v>
      </c>
      <c r="Z935" s="48" t="s">
        <v>8</v>
      </c>
      <c r="AA935" s="2" t="s">
        <v>848</v>
      </c>
      <c r="AB935" s="2" t="e">
        <f>VLOOKUP(H935,#REF!,2,FALSE)</f>
        <v>#REF!</v>
      </c>
      <c r="AC935" s="2" t="e">
        <f>VLOOKUP(I935,#REF!,2,FALSE)</f>
        <v>#REF!</v>
      </c>
      <c r="AD935" s="2" t="e">
        <f>VLOOKUP(H935,#REF!,13,FALSE)</f>
        <v>#REF!</v>
      </c>
      <c r="AE935" s="2" t="e">
        <f>VLOOKUP(I935,#REF!,7,FALSE)</f>
        <v>#REF!</v>
      </c>
      <c r="AG935" s="2" t="e">
        <f>VLOOKUP(H935,#REF!,13,FALSE)</f>
        <v>#REF!</v>
      </c>
      <c r="AH935" s="2" t="e">
        <f>VLOOKUP(I935,#REF!,2,FALSE)</f>
        <v>#REF!</v>
      </c>
      <c r="AJ935" s="185" t="e">
        <f>VLOOKUP(H935,#REF!,3,FALSE)</f>
        <v>#REF!</v>
      </c>
      <c r="AK935" s="185"/>
      <c r="AL935" s="185" t="e">
        <f>VLOOKUP(H935,#REF!,13,FALSE)</f>
        <v>#REF!</v>
      </c>
      <c r="AM935" s="185" t="e">
        <f>VLOOKUP(CLEAN(H935),#REF!,7,FALSE)</f>
        <v>#REF!</v>
      </c>
      <c r="AN935" s="2" t="e">
        <f>VLOOKUP(H935,#REF!,8,FALSE)</f>
        <v>#REF!</v>
      </c>
      <c r="AO935" s="189" t="e">
        <f>VLOOKUP(H935,#REF!,2,FALSE)</f>
        <v>#REF!</v>
      </c>
      <c r="AP935" s="189" t="e">
        <f>VLOOKUP(H935,#REF!,2,FALSE)</f>
        <v>#REF!</v>
      </c>
      <c r="AQ935" s="189"/>
      <c r="AR935" s="2" t="e">
        <f>VLOOKUP(CLEAN(H935),#REF!,2,FALSE)</f>
        <v>#REF!</v>
      </c>
      <c r="AT935" s="2" t="e">
        <f>VLOOKUP(H935,#REF!,13,FALSE)</f>
        <v>#REF!</v>
      </c>
      <c r="AU935" s="2" t="e">
        <f>VLOOKUP(H935,#REF!,13,FALSE)</f>
        <v>#REF!</v>
      </c>
      <c r="AV935" s="2" t="e">
        <f>VLOOKUP(H935,#REF!,13,FALSE)</f>
        <v>#REF!</v>
      </c>
      <c r="AW935" s="2" t="e">
        <f>VLOOKUP(H935,#REF!,13,FALSE)</f>
        <v>#REF!</v>
      </c>
      <c r="AX935" s="2" t="e">
        <f>VLOOKUP(H935,#REF!,9,FALSE)</f>
        <v>#REF!</v>
      </c>
      <c r="AZ935" s="189" t="e">
        <f>VLOOKUP(H935,#REF!,2,FALSE)</f>
        <v>#REF!</v>
      </c>
      <c r="BF935" s="189" t="e">
        <f>VLOOKUP(CLEAN(H935),#REF!,2,FALSE)</f>
        <v>#REF!</v>
      </c>
      <c r="BG935" s="189" t="e">
        <f>T935-BF935</f>
        <v>#REF!</v>
      </c>
      <c r="BO935" s="2" t="e">
        <f>VLOOKUP(H935,#REF!,13,FALSE)</f>
        <v>#REF!</v>
      </c>
      <c r="BP935" s="2" t="e">
        <f>VLOOKUP(H935,#REF!,2,FALSE)</f>
        <v>#REF!</v>
      </c>
      <c r="BQ935" s="2" t="e">
        <f>VLOOKUP(H935,#REF!,13,FALSE)</f>
        <v>#REF!</v>
      </c>
      <c r="BR935" s="2" t="e">
        <f>VLOOKUP(H935,#REF!,3,FALSE)</f>
        <v>#REF!</v>
      </c>
    </row>
    <row r="936" spans="1:70" ht="15" customHeight="1" outlineLevel="2">
      <c r="A936" s="7"/>
      <c r="B936" s="7"/>
      <c r="C936" s="7"/>
      <c r="D936" s="7"/>
      <c r="E936" s="7"/>
      <c r="F936" s="7"/>
      <c r="G936" s="7"/>
      <c r="H936" s="11"/>
      <c r="I936" s="11"/>
      <c r="J936" s="11"/>
      <c r="K936" s="11"/>
      <c r="L936" s="17" t="s">
        <v>692</v>
      </c>
      <c r="M936" s="313">
        <f>SUBTOTAL(9,M935)</f>
        <v>435192000</v>
      </c>
      <c r="N936" s="313">
        <f t="shared" ref="N936:O936" si="565">SUBTOTAL(9,N935)</f>
        <v>0</v>
      </c>
      <c r="O936" s="313">
        <f t="shared" si="565"/>
        <v>335192000</v>
      </c>
      <c r="P936" s="25">
        <f t="shared" ref="P936:X936" si="566">SUBTOTAL(9,P935)</f>
        <v>0</v>
      </c>
      <c r="Q936" s="25">
        <f t="shared" si="566"/>
        <v>0</v>
      </c>
      <c r="R936" s="25">
        <f t="shared" si="566"/>
        <v>0</v>
      </c>
      <c r="S936" s="313">
        <f t="shared" si="566"/>
        <v>0</v>
      </c>
      <c r="T936" s="313">
        <f t="shared" si="566"/>
        <v>0</v>
      </c>
      <c r="U936" s="313">
        <f t="shared" si="566"/>
        <v>0</v>
      </c>
      <c r="V936" s="313">
        <f t="shared" si="566"/>
        <v>0</v>
      </c>
      <c r="W936" s="313">
        <f t="shared" si="566"/>
        <v>335192000</v>
      </c>
      <c r="X936" s="313">
        <f t="shared" si="566"/>
        <v>100000000</v>
      </c>
      <c r="Y936" s="47"/>
      <c r="Z936" s="47"/>
      <c r="AO936"/>
      <c r="AP936"/>
      <c r="AQ936"/>
      <c r="AR936" s="2" t="e">
        <f>VLOOKUP(CLEAN(H936),#REF!,2,FALSE)</f>
        <v>#REF!</v>
      </c>
      <c r="AZ936" s="2" t="e">
        <f>VLOOKUP(H936,#REF!,2,FALSE)</f>
        <v>#REF!</v>
      </c>
      <c r="BO936" s="2" t="e">
        <f>VLOOKUP(H936,#REF!,13,FALSE)</f>
        <v>#REF!</v>
      </c>
      <c r="BQ936" s="2" t="e">
        <f>VLOOKUP(H936,#REF!,13,FALSE)</f>
        <v>#REF!</v>
      </c>
    </row>
    <row r="937" spans="1:70" ht="15" customHeight="1" outlineLevel="2">
      <c r="A937" s="7"/>
      <c r="B937" s="7"/>
      <c r="C937" s="7"/>
      <c r="D937" s="7"/>
      <c r="E937" s="7"/>
      <c r="F937" s="7"/>
      <c r="G937" s="7"/>
      <c r="H937" s="11"/>
      <c r="I937" s="11"/>
      <c r="J937" s="11"/>
      <c r="K937" s="11"/>
      <c r="L937" s="292"/>
      <c r="M937" s="22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47"/>
      <c r="Z937" s="47"/>
      <c r="AO937"/>
      <c r="AP937"/>
      <c r="AQ937"/>
      <c r="AR937" s="2" t="e">
        <f>VLOOKUP(CLEAN(H937),#REF!,2,FALSE)</f>
        <v>#REF!</v>
      </c>
      <c r="AZ937" s="2" t="e">
        <f>VLOOKUP(H937,#REF!,2,FALSE)</f>
        <v>#REF!</v>
      </c>
      <c r="BO937" s="2" t="e">
        <f>VLOOKUP(H937,#REF!,13,FALSE)</f>
        <v>#REF!</v>
      </c>
      <c r="BP937" s="293"/>
      <c r="BQ937" s="2" t="e">
        <f>VLOOKUP(H937,#REF!,13,FALSE)</f>
        <v>#REF!</v>
      </c>
    </row>
    <row r="938" spans="1:70" ht="15" customHeight="1" outlineLevel="2">
      <c r="A938" s="7"/>
      <c r="B938" s="7"/>
      <c r="C938" s="7"/>
      <c r="D938" s="7"/>
      <c r="E938" s="7"/>
      <c r="F938" s="7"/>
      <c r="G938" s="7"/>
      <c r="H938" s="11"/>
      <c r="I938" s="11"/>
      <c r="J938" s="11"/>
      <c r="K938" s="11"/>
      <c r="L938" s="18" t="s">
        <v>701</v>
      </c>
      <c r="M938" s="22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47"/>
      <c r="Z938" s="47"/>
      <c r="AM938" s="185" t="e">
        <f>VLOOKUP(CLEAN(H938),#REF!,7,FALSE)</f>
        <v>#REF!</v>
      </c>
      <c r="AO938"/>
      <c r="AP938"/>
      <c r="AQ938"/>
      <c r="AR938" s="2" t="e">
        <f>VLOOKUP(CLEAN(H938),#REF!,2,FALSE)</f>
        <v>#REF!</v>
      </c>
      <c r="AZ938" s="2" t="e">
        <f>VLOOKUP(H938,#REF!,2,FALSE)</f>
        <v>#REF!</v>
      </c>
      <c r="BO938" s="2" t="e">
        <f>VLOOKUP(H938,#REF!,13,FALSE)</f>
        <v>#REF!</v>
      </c>
      <c r="BQ938" s="2" t="e">
        <f>VLOOKUP(H938,#REF!,13,FALSE)</f>
        <v>#REF!</v>
      </c>
    </row>
    <row r="939" spans="1:70" s="2" customFormat="1" ht="15" customHeight="1" outlineLevel="2">
      <c r="A939" s="5">
        <v>29</v>
      </c>
      <c r="B939" s="5" t="s">
        <v>54</v>
      </c>
      <c r="C939" s="5" t="s">
        <v>242</v>
      </c>
      <c r="D939" s="5" t="s">
        <v>48</v>
      </c>
      <c r="E939" s="5" t="s">
        <v>48</v>
      </c>
      <c r="F939" s="5" t="s">
        <v>457</v>
      </c>
      <c r="G939" s="5" t="s">
        <v>144</v>
      </c>
      <c r="H939" s="12">
        <v>30415731</v>
      </c>
      <c r="I939" s="42" t="str">
        <f t="shared" ref="I939:I941" si="567">CONCATENATE(H939,"-",G939)</f>
        <v>30415731-EJECUCION</v>
      </c>
      <c r="J939" s="12"/>
      <c r="K939" s="307" t="str">
        <f t="shared" ref="K939:K941" si="568">CLEAN(H939)</f>
        <v>30415731</v>
      </c>
      <c r="L939" s="15" t="s">
        <v>368</v>
      </c>
      <c r="M939" s="23">
        <v>669066000</v>
      </c>
      <c r="N939" s="34">
        <v>0</v>
      </c>
      <c r="O939" s="34">
        <v>669066000</v>
      </c>
      <c r="P939" s="310">
        <v>0</v>
      </c>
      <c r="Q939" s="34">
        <v>0</v>
      </c>
      <c r="R939" s="308">
        <v>0</v>
      </c>
      <c r="S939" s="34">
        <f t="shared" ref="S939:S941" si="569">P939+Q939+R939</f>
        <v>0</v>
      </c>
      <c r="T939" s="34">
        <v>0</v>
      </c>
      <c r="U939" s="34">
        <v>0</v>
      </c>
      <c r="V939" s="34">
        <f>P939+Q939+R939+T939+U939</f>
        <v>0</v>
      </c>
      <c r="W939" s="34">
        <f>O939-V939</f>
        <v>669066000</v>
      </c>
      <c r="X939" s="34">
        <f>M939-(N939+O939)</f>
        <v>0</v>
      </c>
      <c r="Y939" s="48" t="s">
        <v>243</v>
      </c>
      <c r="Z939" s="48" t="s">
        <v>10</v>
      </c>
      <c r="AA939" s="2" t="e">
        <v>#N/A</v>
      </c>
      <c r="AB939" s="2" t="e">
        <f>VLOOKUP(H939,#REF!,2,FALSE)</f>
        <v>#REF!</v>
      </c>
      <c r="AC939" s="2" t="e">
        <f>VLOOKUP(I939,#REF!,2,FALSE)</f>
        <v>#REF!</v>
      </c>
      <c r="AD939" s="2" t="e">
        <f>VLOOKUP(H939,#REF!,13,FALSE)</f>
        <v>#REF!</v>
      </c>
      <c r="AE939" s="177" t="e">
        <f>VLOOKUP(I939,#REF!,7,FALSE)</f>
        <v>#REF!</v>
      </c>
      <c r="AG939" s="2" t="e">
        <f>VLOOKUP(H939,#REF!,13,FALSE)</f>
        <v>#REF!</v>
      </c>
      <c r="AH939" s="2" t="e">
        <f>VLOOKUP(I939,#REF!,2,FALSE)</f>
        <v>#REF!</v>
      </c>
      <c r="AJ939" s="185" t="e">
        <f>VLOOKUP(H939,#REF!,3,FALSE)</f>
        <v>#REF!</v>
      </c>
      <c r="AK939" s="185"/>
      <c r="AL939" s="185" t="e">
        <f>VLOOKUP(H939,#REF!,13,FALSE)</f>
        <v>#REF!</v>
      </c>
      <c r="AM939" s="185" t="e">
        <f>VLOOKUP(CLEAN(H939),#REF!,7,FALSE)</f>
        <v>#REF!</v>
      </c>
      <c r="AN939" s="2" t="e">
        <f>VLOOKUP(H939,#REF!,8,FALSE)</f>
        <v>#REF!</v>
      </c>
      <c r="AO939" s="189" t="e">
        <f>VLOOKUP(H939,#REF!,2,FALSE)</f>
        <v>#REF!</v>
      </c>
      <c r="AP939" s="189" t="e">
        <f>VLOOKUP(H939,#REF!,2,FALSE)</f>
        <v>#REF!</v>
      </c>
      <c r="AQ939" s="189"/>
      <c r="AR939" s="2" t="e">
        <f>VLOOKUP(CLEAN(H939),#REF!,2,FALSE)</f>
        <v>#REF!</v>
      </c>
      <c r="AT939" s="2" t="e">
        <f>VLOOKUP(H939,#REF!,13,FALSE)</f>
        <v>#REF!</v>
      </c>
      <c r="AU939" s="2" t="e">
        <f>VLOOKUP(H939,#REF!,13,FALSE)</f>
        <v>#REF!</v>
      </c>
      <c r="AV939" s="2" t="e">
        <f>VLOOKUP(H939,#REF!,13,FALSE)</f>
        <v>#REF!</v>
      </c>
      <c r="AW939" s="2" t="e">
        <f>VLOOKUP(H939,#REF!,13,FALSE)</f>
        <v>#REF!</v>
      </c>
      <c r="AX939" s="2" t="e">
        <f>VLOOKUP(H939,#REF!,9,FALSE)</f>
        <v>#REF!</v>
      </c>
      <c r="AY939" s="2" t="e">
        <f>VLOOKUP(H939,#REF!,2,FALSE)</f>
        <v>#REF!</v>
      </c>
      <c r="AZ939" s="189" t="e">
        <f>VLOOKUP(H939,#REF!,2,FALSE)</f>
        <v>#REF!</v>
      </c>
      <c r="BF939" s="189" t="e">
        <f>VLOOKUP(CLEAN(H939),#REF!,2,FALSE)</f>
        <v>#REF!</v>
      </c>
      <c r="BG939" s="189" t="e">
        <f>T939-BF939</f>
        <v>#REF!</v>
      </c>
      <c r="BO939" s="2" t="e">
        <f>VLOOKUP(H939,#REF!,13,FALSE)</f>
        <v>#REF!</v>
      </c>
      <c r="BP939" s="2" t="e">
        <f>VLOOKUP(H939,#REF!,2,FALSE)</f>
        <v>#REF!</v>
      </c>
      <c r="BQ939" s="2" t="e">
        <f>VLOOKUP(H939,#REF!,13,FALSE)</f>
        <v>#REF!</v>
      </c>
      <c r="BR939" s="2" t="e">
        <f>VLOOKUP(H939,#REF!,3,FALSE)</f>
        <v>#REF!</v>
      </c>
    </row>
    <row r="940" spans="1:70" s="2" customFormat="1" ht="15" customHeight="1" outlineLevel="2">
      <c r="A940" s="5">
        <v>22</v>
      </c>
      <c r="B940" s="5" t="s">
        <v>54</v>
      </c>
      <c r="C940" s="5" t="s">
        <v>251</v>
      </c>
      <c r="D940" s="5" t="s">
        <v>48</v>
      </c>
      <c r="E940" s="5" t="s">
        <v>48</v>
      </c>
      <c r="F940" s="5" t="s">
        <v>457</v>
      </c>
      <c r="G940" s="5" t="s">
        <v>144</v>
      </c>
      <c r="H940" s="12">
        <v>30430874</v>
      </c>
      <c r="I940" s="42" t="str">
        <f t="shared" si="567"/>
        <v>30430874-EJECUCION</v>
      </c>
      <c r="J940" s="12"/>
      <c r="K940" s="307" t="str">
        <f t="shared" si="568"/>
        <v>30430874</v>
      </c>
      <c r="L940" s="15" t="s">
        <v>306</v>
      </c>
      <c r="M940" s="23">
        <v>403457000</v>
      </c>
      <c r="N940" s="34">
        <v>0</v>
      </c>
      <c r="O940" s="34">
        <v>284067000</v>
      </c>
      <c r="P940" s="310">
        <v>0</v>
      </c>
      <c r="Q940" s="34">
        <v>0</v>
      </c>
      <c r="R940" s="308">
        <v>0</v>
      </c>
      <c r="S940" s="34">
        <f t="shared" si="569"/>
        <v>0</v>
      </c>
      <c r="T940" s="34">
        <v>0</v>
      </c>
      <c r="U940" s="34">
        <v>0</v>
      </c>
      <c r="V940" s="34">
        <f>P940+Q940+R940+T940+U940</f>
        <v>0</v>
      </c>
      <c r="W940" s="34">
        <f>O940-V940</f>
        <v>284067000</v>
      </c>
      <c r="X940" s="34">
        <f>M940-(N940+O940)</f>
        <v>119390000</v>
      </c>
      <c r="Y940" s="48" t="s">
        <v>418</v>
      </c>
      <c r="Z940" s="48" t="s">
        <v>10</v>
      </c>
      <c r="AA940" s="2" t="e">
        <v>#N/A</v>
      </c>
      <c r="AB940" s="2" t="e">
        <f>VLOOKUP(H940,#REF!,2,FALSE)</f>
        <v>#REF!</v>
      </c>
      <c r="AC940" s="2" t="e">
        <f>VLOOKUP(I940,#REF!,2,FALSE)</f>
        <v>#REF!</v>
      </c>
      <c r="AD940" s="2" t="e">
        <f>VLOOKUP(H940,#REF!,13,FALSE)</f>
        <v>#REF!</v>
      </c>
      <c r="AE940" s="2" t="e">
        <f>VLOOKUP(I940,#REF!,7,FALSE)</f>
        <v>#REF!</v>
      </c>
      <c r="AG940" s="2" t="e">
        <f>VLOOKUP(H940,#REF!,13,FALSE)</f>
        <v>#REF!</v>
      </c>
      <c r="AH940" s="2" t="e">
        <f>VLOOKUP(I940,#REF!,2,FALSE)</f>
        <v>#REF!</v>
      </c>
      <c r="AJ940" s="185" t="e">
        <f>VLOOKUP(H940,#REF!,3,FALSE)</f>
        <v>#REF!</v>
      </c>
      <c r="AK940" s="185"/>
      <c r="AL940" s="185"/>
      <c r="AM940" s="185" t="e">
        <f>VLOOKUP(CLEAN(H940),#REF!,7,FALSE)</f>
        <v>#REF!</v>
      </c>
      <c r="AN940" s="2" t="e">
        <f>VLOOKUP(H940,#REF!,8,FALSE)</f>
        <v>#REF!</v>
      </c>
      <c r="AO940" s="189" t="e">
        <f>VLOOKUP(H940,#REF!,2,FALSE)</f>
        <v>#REF!</v>
      </c>
      <c r="AP940" s="189" t="e">
        <f>VLOOKUP(H940,#REF!,2,FALSE)</f>
        <v>#REF!</v>
      </c>
      <c r="AQ940" s="189"/>
      <c r="AR940" s="2" t="e">
        <f>VLOOKUP(CLEAN(H940),#REF!,2,FALSE)</f>
        <v>#REF!</v>
      </c>
      <c r="AT940" s="2" t="e">
        <f>VLOOKUP(H940,#REF!,13,FALSE)</f>
        <v>#REF!</v>
      </c>
      <c r="AU940" s="2" t="e">
        <f>VLOOKUP(H940,#REF!,13,FALSE)</f>
        <v>#REF!</v>
      </c>
      <c r="AV940" s="2" t="e">
        <f>VLOOKUP(H940,#REF!,13,FALSE)</f>
        <v>#REF!</v>
      </c>
      <c r="AW940" s="2" t="e">
        <f>VLOOKUP(H940,#REF!,13,FALSE)</f>
        <v>#REF!</v>
      </c>
      <c r="AX940" s="2" t="e">
        <f>VLOOKUP(H940,#REF!,9,FALSE)</f>
        <v>#REF!</v>
      </c>
      <c r="AZ940" s="2" t="e">
        <f>VLOOKUP(H940,#REF!,2,FALSE)</f>
        <v>#REF!</v>
      </c>
      <c r="BF940" s="189" t="e">
        <f>VLOOKUP(CLEAN(H940),#REF!,2,FALSE)</f>
        <v>#REF!</v>
      </c>
      <c r="BG940" s="189" t="e">
        <f>T940-BF940</f>
        <v>#REF!</v>
      </c>
      <c r="BO940" s="2" t="e">
        <f>VLOOKUP(H940,#REF!,13,FALSE)</f>
        <v>#REF!</v>
      </c>
      <c r="BP940" s="2" t="e">
        <f>VLOOKUP(H940,#REF!,2,FALSE)</f>
        <v>#REF!</v>
      </c>
      <c r="BQ940" s="2" t="e">
        <f>VLOOKUP(H940,#REF!,13,FALSE)</f>
        <v>#REF!</v>
      </c>
      <c r="BR940" s="2" t="e">
        <f>VLOOKUP(H940,#REF!,3,FALSE)</f>
        <v>#REF!</v>
      </c>
    </row>
    <row r="941" spans="1:70" s="2" customFormat="1" ht="15" customHeight="1" outlineLevel="2">
      <c r="A941" s="5">
        <v>29</v>
      </c>
      <c r="B941" s="5" t="s">
        <v>11</v>
      </c>
      <c r="C941" s="5" t="s">
        <v>242</v>
      </c>
      <c r="D941" s="5" t="s">
        <v>48</v>
      </c>
      <c r="E941" s="5" t="s">
        <v>48</v>
      </c>
      <c r="F941" s="5" t="s">
        <v>457</v>
      </c>
      <c r="G941" s="5" t="s">
        <v>144</v>
      </c>
      <c r="H941" s="12">
        <v>30137152</v>
      </c>
      <c r="I941" s="42" t="str">
        <f t="shared" si="567"/>
        <v>30137152-EJECUCION</v>
      </c>
      <c r="J941" s="12"/>
      <c r="K941" s="307" t="str">
        <f t="shared" si="568"/>
        <v>30137152</v>
      </c>
      <c r="L941" s="15" t="s">
        <v>641</v>
      </c>
      <c r="M941" s="23">
        <v>247557000</v>
      </c>
      <c r="N941" s="34">
        <v>0</v>
      </c>
      <c r="O941" s="34">
        <v>0</v>
      </c>
      <c r="P941" s="310">
        <v>0</v>
      </c>
      <c r="Q941" s="34">
        <v>0</v>
      </c>
      <c r="R941" s="308">
        <v>0</v>
      </c>
      <c r="S941" s="34">
        <f t="shared" si="569"/>
        <v>0</v>
      </c>
      <c r="T941" s="34">
        <v>0</v>
      </c>
      <c r="U941" s="34">
        <v>0</v>
      </c>
      <c r="V941" s="34">
        <f>P941+Q941+R941+T941+U941</f>
        <v>0</v>
      </c>
      <c r="W941" s="34">
        <f>O941-V941</f>
        <v>0</v>
      </c>
      <c r="X941" s="34">
        <f>M941-(N941+O941)</f>
        <v>247557000</v>
      </c>
      <c r="Y941" s="48" t="s">
        <v>418</v>
      </c>
      <c r="Z941" s="48" t="s">
        <v>10</v>
      </c>
      <c r="AA941" s="2" t="e">
        <v>#N/A</v>
      </c>
      <c r="AB941" s="2" t="e">
        <f>VLOOKUP(H941,#REF!,2,FALSE)</f>
        <v>#REF!</v>
      </c>
      <c r="AD941" s="2" t="e">
        <f>VLOOKUP(H941,#REF!,13,FALSE)</f>
        <v>#REF!</v>
      </c>
      <c r="AE941" s="2" t="e">
        <f>VLOOKUP(I941,#REF!,7,FALSE)</f>
        <v>#REF!</v>
      </c>
      <c r="AG941" s="2" t="e">
        <f>VLOOKUP(H941,#REF!,13,FALSE)</f>
        <v>#REF!</v>
      </c>
      <c r="AH941" s="2" t="e">
        <f>VLOOKUP(I941,#REF!,2,FALSE)</f>
        <v>#REF!</v>
      </c>
      <c r="AJ941" s="185" t="e">
        <f>VLOOKUP(H941,#REF!,3,FALSE)</f>
        <v>#REF!</v>
      </c>
      <c r="AK941" s="185" t="s">
        <v>686</v>
      </c>
      <c r="AL941" s="185" t="e">
        <f>VLOOKUP(H941,#REF!,13,FALSE)</f>
        <v>#REF!</v>
      </c>
      <c r="AM941" s="185" t="e">
        <f>VLOOKUP(CLEAN(H941),#REF!,7,FALSE)</f>
        <v>#REF!</v>
      </c>
      <c r="AN941" s="2" t="e">
        <f>VLOOKUP(H941,#REF!,8,FALSE)</f>
        <v>#REF!</v>
      </c>
      <c r="AO941" s="189" t="e">
        <f>VLOOKUP(H941,#REF!,2,FALSE)</f>
        <v>#REF!</v>
      </c>
      <c r="AP941" s="189" t="e">
        <f>VLOOKUP(H941,#REF!,2,FALSE)</f>
        <v>#REF!</v>
      </c>
      <c r="AQ941" s="189"/>
      <c r="AR941" s="2" t="e">
        <f>VLOOKUP(CLEAN(H941),#REF!,2,FALSE)</f>
        <v>#REF!</v>
      </c>
      <c r="AT941" s="2" t="e">
        <f>VLOOKUP(H941,#REF!,13,FALSE)</f>
        <v>#REF!</v>
      </c>
      <c r="AU941" s="2" t="e">
        <f>VLOOKUP(H941,#REF!,13,FALSE)</f>
        <v>#REF!</v>
      </c>
      <c r="AV941" s="2" t="e">
        <f>VLOOKUP(H941,#REF!,13,FALSE)</f>
        <v>#REF!</v>
      </c>
      <c r="AW941" s="2" t="e">
        <f>VLOOKUP(H941,#REF!,13,FALSE)</f>
        <v>#REF!</v>
      </c>
      <c r="AX941" s="2" t="e">
        <f>VLOOKUP(H941,#REF!,9,FALSE)</f>
        <v>#REF!</v>
      </c>
      <c r="AZ941" s="2" t="e">
        <f>VLOOKUP(H941,#REF!,2,FALSE)</f>
        <v>#REF!</v>
      </c>
      <c r="BF941" s="189" t="e">
        <f>VLOOKUP(CLEAN(H941),#REF!,2,FALSE)</f>
        <v>#REF!</v>
      </c>
      <c r="BG941" s="189" t="e">
        <f>T941-BF941</f>
        <v>#REF!</v>
      </c>
      <c r="BO941" s="2" t="e">
        <f>VLOOKUP(H941,#REF!,13,FALSE)</f>
        <v>#REF!</v>
      </c>
      <c r="BP941" s="2" t="e">
        <f>VLOOKUP(H941,#REF!,2,FALSE)</f>
        <v>#REF!</v>
      </c>
      <c r="BQ941" s="2" t="e">
        <f>VLOOKUP(H941,#REF!,13,FALSE)</f>
        <v>#REF!</v>
      </c>
      <c r="BR941" s="2" t="e">
        <f>VLOOKUP(H941,#REF!,3,FALSE)</f>
        <v>#REF!</v>
      </c>
    </row>
    <row r="942" spans="1:70" ht="15" customHeight="1" outlineLevel="2">
      <c r="A942" s="7"/>
      <c r="B942" s="7"/>
      <c r="C942" s="7"/>
      <c r="D942" s="7"/>
      <c r="E942" s="7"/>
      <c r="F942" s="7"/>
      <c r="G942" s="7"/>
      <c r="H942" s="11"/>
      <c r="I942" s="11"/>
      <c r="J942" s="11"/>
      <c r="K942" s="11"/>
      <c r="L942" s="17" t="s">
        <v>702</v>
      </c>
      <c r="M942" s="27">
        <f>SUBTOTAL(9,M939:M941)</f>
        <v>1320080000</v>
      </c>
      <c r="N942" s="27">
        <f t="shared" ref="N942:O942" si="570">SUBTOTAL(9,N939:N941)</f>
        <v>0</v>
      </c>
      <c r="O942" s="27">
        <f t="shared" si="570"/>
        <v>953133000</v>
      </c>
      <c r="P942" s="24">
        <f t="shared" ref="P942:X942" si="571">SUBTOTAL(9,P939:P941)</f>
        <v>0</v>
      </c>
      <c r="Q942" s="24">
        <f t="shared" si="571"/>
        <v>0</v>
      </c>
      <c r="R942" s="24">
        <f t="shared" si="571"/>
        <v>0</v>
      </c>
      <c r="S942" s="27">
        <f t="shared" si="571"/>
        <v>0</v>
      </c>
      <c r="T942" s="27">
        <f t="shared" si="571"/>
        <v>0</v>
      </c>
      <c r="U942" s="27">
        <f t="shared" si="571"/>
        <v>0</v>
      </c>
      <c r="V942" s="27">
        <f t="shared" si="571"/>
        <v>0</v>
      </c>
      <c r="W942" s="27">
        <f t="shared" si="571"/>
        <v>953133000</v>
      </c>
      <c r="X942" s="27">
        <f t="shared" si="571"/>
        <v>366947000</v>
      </c>
      <c r="Y942" s="47"/>
      <c r="Z942" s="47"/>
      <c r="AM942" s="185" t="e">
        <f>VLOOKUP(CLEAN(H942),#REF!,7,FALSE)</f>
        <v>#REF!</v>
      </c>
      <c r="AO942"/>
      <c r="AP942"/>
      <c r="AQ942"/>
      <c r="AR942" s="2" t="e">
        <f>VLOOKUP(CLEAN(H942),#REF!,2,FALSE)</f>
        <v>#REF!</v>
      </c>
      <c r="AZ942" s="2" t="e">
        <f>VLOOKUP(H942,#REF!,2,FALSE)</f>
        <v>#REF!</v>
      </c>
      <c r="BO942" s="2" t="e">
        <f>VLOOKUP(H942,#REF!,13,FALSE)</f>
        <v>#REF!</v>
      </c>
      <c r="BQ942" s="2" t="e">
        <f>VLOOKUP(H942,#REF!,13,FALSE)</f>
        <v>#REF!</v>
      </c>
    </row>
    <row r="943" spans="1:70" ht="15" customHeight="1" outlineLevel="2">
      <c r="A943" s="7"/>
      <c r="B943" s="7"/>
      <c r="C943" s="7"/>
      <c r="D943" s="7"/>
      <c r="E943" s="7"/>
      <c r="F943" s="7"/>
      <c r="G943" s="7"/>
      <c r="H943" s="11"/>
      <c r="I943" s="11"/>
      <c r="J943" s="11"/>
      <c r="K943" s="11"/>
      <c r="L943" s="292"/>
      <c r="M943" s="22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47"/>
      <c r="Z943" s="47"/>
      <c r="AM943" s="185" t="e">
        <f>VLOOKUP(CLEAN(H943),#REF!,7,FALSE)</f>
        <v>#REF!</v>
      </c>
      <c r="AO943"/>
      <c r="AP943"/>
      <c r="AQ943"/>
      <c r="AR943" s="2" t="e">
        <f>VLOOKUP(CLEAN(H943),#REF!,2,FALSE)</f>
        <v>#REF!</v>
      </c>
      <c r="AZ943" s="2" t="e">
        <f>VLOOKUP(H943,#REF!,2,FALSE)</f>
        <v>#REF!</v>
      </c>
      <c r="BO943" s="2" t="e">
        <f>VLOOKUP(H943,#REF!,13,FALSE)</f>
        <v>#REF!</v>
      </c>
      <c r="BP943" s="293"/>
      <c r="BQ943" s="2" t="e">
        <f>VLOOKUP(H943,#REF!,13,FALSE)</f>
        <v>#REF!</v>
      </c>
    </row>
    <row r="944" spans="1:70" ht="15" customHeight="1" outlineLevel="2">
      <c r="A944" s="7"/>
      <c r="B944" s="7"/>
      <c r="C944" s="7"/>
      <c r="D944" s="7"/>
      <c r="E944" s="7"/>
      <c r="F944" s="7"/>
      <c r="G944" s="7"/>
      <c r="H944" s="11"/>
      <c r="I944" s="11"/>
      <c r="J944" s="11"/>
      <c r="K944" s="11"/>
      <c r="L944" s="18" t="s">
        <v>696</v>
      </c>
      <c r="M944" s="22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47"/>
      <c r="Z944" s="47"/>
      <c r="AM944" s="185" t="e">
        <f>VLOOKUP(CLEAN(H944),#REF!,7,FALSE)</f>
        <v>#REF!</v>
      </c>
      <c r="AO944"/>
      <c r="AP944"/>
      <c r="AQ944"/>
      <c r="AR944" s="2" t="e">
        <f>VLOOKUP(CLEAN(H944),#REF!,2,FALSE)</f>
        <v>#REF!</v>
      </c>
      <c r="AZ944" s="2" t="e">
        <f>VLOOKUP(H944,#REF!,2,FALSE)</f>
        <v>#REF!</v>
      </c>
      <c r="BO944" s="2" t="e">
        <f>VLOOKUP(H944,#REF!,13,FALSE)</f>
        <v>#REF!</v>
      </c>
      <c r="BQ944" s="2" t="e">
        <f>VLOOKUP(H944,#REF!,13,FALSE)</f>
        <v>#REF!</v>
      </c>
    </row>
    <row r="945" spans="1:70" s="2" customFormat="1" ht="15" customHeight="1" outlineLevel="2">
      <c r="A945" s="5">
        <v>31</v>
      </c>
      <c r="B945" s="5" t="s">
        <v>11</v>
      </c>
      <c r="C945" s="5" t="s">
        <v>251</v>
      </c>
      <c r="D945" s="5" t="s">
        <v>48</v>
      </c>
      <c r="E945" s="5" t="s">
        <v>48</v>
      </c>
      <c r="F945" s="5" t="s">
        <v>13</v>
      </c>
      <c r="G945" s="5" t="s">
        <v>144</v>
      </c>
      <c r="H945" s="12">
        <v>30469138</v>
      </c>
      <c r="I945" s="42" t="str">
        <f t="shared" ref="I945:I951" si="572">CONCATENATE(H945,"-",G945)</f>
        <v>30469138-EJECUCION</v>
      </c>
      <c r="J945" s="12"/>
      <c r="K945" s="307" t="str">
        <f t="shared" ref="K945:K951" si="573">CLEAN(H945)</f>
        <v>30469138</v>
      </c>
      <c r="L945" s="15" t="s">
        <v>222</v>
      </c>
      <c r="M945" s="23">
        <v>99796000</v>
      </c>
      <c r="N945" s="34">
        <v>0</v>
      </c>
      <c r="O945" s="34">
        <v>50000000</v>
      </c>
      <c r="P945" s="310">
        <v>0</v>
      </c>
      <c r="Q945" s="34">
        <v>0</v>
      </c>
      <c r="R945" s="308">
        <v>0</v>
      </c>
      <c r="S945" s="34">
        <f t="shared" ref="S945:S951" si="574">P945+Q945+R945</f>
        <v>0</v>
      </c>
      <c r="T945" s="34">
        <v>0</v>
      </c>
      <c r="U945" s="34">
        <v>0</v>
      </c>
      <c r="V945" s="34">
        <f>P945+Q945+R945+T945+U945</f>
        <v>0</v>
      </c>
      <c r="W945" s="34">
        <f>O945-V945</f>
        <v>50000000</v>
      </c>
      <c r="X945" s="34">
        <f>M945-(N945+O945)</f>
        <v>49796000</v>
      </c>
      <c r="Y945" s="48" t="s">
        <v>246</v>
      </c>
      <c r="Z945" s="48" t="s">
        <v>357</v>
      </c>
      <c r="AA945" s="2" t="e">
        <v>#N/A</v>
      </c>
      <c r="AB945" s="2" t="e">
        <f>VLOOKUP(H945,#REF!,2,FALSE)</f>
        <v>#REF!</v>
      </c>
      <c r="AC945" s="2" t="e">
        <f>VLOOKUP(I945,#REF!,2,FALSE)</f>
        <v>#REF!</v>
      </c>
      <c r="AD945" s="2" t="e">
        <f>VLOOKUP(H945,#REF!,13,FALSE)</f>
        <v>#REF!</v>
      </c>
      <c r="AE945" s="2" t="e">
        <f>VLOOKUP(I945,#REF!,7,FALSE)</f>
        <v>#REF!</v>
      </c>
      <c r="AG945" s="2" t="e">
        <f>VLOOKUP(H945,#REF!,13,FALSE)</f>
        <v>#REF!</v>
      </c>
      <c r="AH945" s="2" t="e">
        <f>VLOOKUP(I945,#REF!,2,FALSE)</f>
        <v>#REF!</v>
      </c>
      <c r="AJ945" s="185" t="e">
        <f>VLOOKUP(H945,#REF!,3,FALSE)</f>
        <v>#REF!</v>
      </c>
      <c r="AK945" s="185"/>
      <c r="AL945" s="185" t="e">
        <f>VLOOKUP(H945,#REF!,13,FALSE)</f>
        <v>#REF!</v>
      </c>
      <c r="AM945" s="185" t="e">
        <f>VLOOKUP(CLEAN(H945),#REF!,7,FALSE)</f>
        <v>#REF!</v>
      </c>
      <c r="AN945" s="2" t="e">
        <f>VLOOKUP(H945,#REF!,8,FALSE)</f>
        <v>#REF!</v>
      </c>
      <c r="AO945" s="189" t="e">
        <f>VLOOKUP(H945,#REF!,2,FALSE)</f>
        <v>#REF!</v>
      </c>
      <c r="AP945" s="189" t="e">
        <f>VLOOKUP(H945,#REF!,2,FALSE)</f>
        <v>#REF!</v>
      </c>
      <c r="AQ945" s="189"/>
      <c r="AR945" s="2" t="e">
        <f>VLOOKUP(CLEAN(H945),#REF!,2,FALSE)</f>
        <v>#REF!</v>
      </c>
      <c r="AT945" s="2" t="e">
        <f>VLOOKUP(H945,#REF!,13,FALSE)</f>
        <v>#REF!</v>
      </c>
      <c r="AU945" s="2" t="e">
        <f>VLOOKUP(H945,#REF!,13,FALSE)</f>
        <v>#REF!</v>
      </c>
      <c r="AV945" s="2" t="e">
        <f>VLOOKUP(H945,#REF!,13,FALSE)</f>
        <v>#REF!</v>
      </c>
      <c r="AW945" s="2" t="e">
        <f>VLOOKUP(H945,#REF!,13,FALSE)</f>
        <v>#REF!</v>
      </c>
      <c r="AX945" s="2" t="e">
        <f>VLOOKUP(H945,#REF!,9,FALSE)</f>
        <v>#REF!</v>
      </c>
      <c r="AZ945" s="2" t="e">
        <f>VLOOKUP(H945,#REF!,2,FALSE)</f>
        <v>#REF!</v>
      </c>
      <c r="BF945" s="189" t="e">
        <f>VLOOKUP(CLEAN(H945),#REF!,2,FALSE)</f>
        <v>#REF!</v>
      </c>
      <c r="BG945" s="189" t="e">
        <f>T945-BF945</f>
        <v>#REF!</v>
      </c>
      <c r="BO945" s="2" t="e">
        <f>VLOOKUP(H945,#REF!,13,FALSE)</f>
        <v>#REF!</v>
      </c>
      <c r="BP945" s="2" t="e">
        <f>VLOOKUP(H945,#REF!,2,FALSE)</f>
        <v>#REF!</v>
      </c>
      <c r="BQ945" s="2" t="e">
        <f>VLOOKUP(H945,#REF!,13,FALSE)</f>
        <v>#REF!</v>
      </c>
      <c r="BR945" s="2" t="e">
        <f>VLOOKUP(H945,#REF!,3,FALSE)</f>
        <v>#REF!</v>
      </c>
    </row>
    <row r="946" spans="1:70" s="2" customFormat="1" ht="15" customHeight="1" outlineLevel="2">
      <c r="A946" s="5">
        <v>31</v>
      </c>
      <c r="B946" s="5" t="s">
        <v>11</v>
      </c>
      <c r="C946" s="5" t="s">
        <v>240</v>
      </c>
      <c r="D946" s="5" t="s">
        <v>48</v>
      </c>
      <c r="E946" s="5" t="s">
        <v>48</v>
      </c>
      <c r="F946" s="5" t="s">
        <v>457</v>
      </c>
      <c r="G946" s="5" t="s">
        <v>144</v>
      </c>
      <c r="H946" s="12">
        <v>30488757</v>
      </c>
      <c r="I946" s="42" t="str">
        <f t="shared" si="572"/>
        <v>30488757-EJECUCION</v>
      </c>
      <c r="J946" s="12"/>
      <c r="K946" s="307" t="str">
        <f t="shared" si="573"/>
        <v>30488757</v>
      </c>
      <c r="L946" s="15" t="s">
        <v>488</v>
      </c>
      <c r="M946" s="23">
        <v>600000000</v>
      </c>
      <c r="N946" s="34">
        <v>0</v>
      </c>
      <c r="O946" s="34">
        <v>0</v>
      </c>
      <c r="P946" s="310">
        <v>0</v>
      </c>
      <c r="Q946" s="34">
        <v>0</v>
      </c>
      <c r="R946" s="308">
        <v>0</v>
      </c>
      <c r="S946" s="34">
        <f t="shared" si="574"/>
        <v>0</v>
      </c>
      <c r="T946" s="34">
        <v>0</v>
      </c>
      <c r="U946" s="34">
        <v>0</v>
      </c>
      <c r="V946" s="34">
        <f>P946+Q946+R946+T946+U946</f>
        <v>0</v>
      </c>
      <c r="W946" s="34">
        <f>O946-V946</f>
        <v>0</v>
      </c>
      <c r="X946" s="34">
        <f>M946-(N946+O946)</f>
        <v>600000000</v>
      </c>
      <c r="Y946" s="48" t="s">
        <v>489</v>
      </c>
      <c r="Z946" s="48" t="s">
        <v>357</v>
      </c>
      <c r="AA946" s="2" t="e">
        <v>#N/A</v>
      </c>
      <c r="AB946" s="2" t="e">
        <f>VLOOKUP(H946,#REF!,2,FALSE)</f>
        <v>#REF!</v>
      </c>
      <c r="AC946" s="2" t="e">
        <f>VLOOKUP(I946,#REF!,2,FALSE)</f>
        <v>#REF!</v>
      </c>
      <c r="AD946" s="2" t="e">
        <f>VLOOKUP(H946,#REF!,13,FALSE)</f>
        <v>#REF!</v>
      </c>
      <c r="AE946" s="2" t="e">
        <f>VLOOKUP(I946,#REF!,7,FALSE)</f>
        <v>#REF!</v>
      </c>
      <c r="AG946" s="2" t="e">
        <f>VLOOKUP(H946,#REF!,13,FALSE)</f>
        <v>#REF!</v>
      </c>
      <c r="AH946" s="2" t="e">
        <f>VLOOKUP(I946,#REF!,2,FALSE)</f>
        <v>#REF!</v>
      </c>
      <c r="AJ946" s="185" t="e">
        <f>VLOOKUP(H946,#REF!,3,FALSE)</f>
        <v>#REF!</v>
      </c>
      <c r="AK946" s="185"/>
      <c r="AL946" s="185" t="e">
        <f>VLOOKUP(H946,#REF!,13,FALSE)</f>
        <v>#REF!</v>
      </c>
      <c r="AM946" s="185" t="e">
        <f>VLOOKUP(CLEAN(H946),#REF!,7,FALSE)</f>
        <v>#REF!</v>
      </c>
      <c r="AN946" s="2" t="e">
        <f>VLOOKUP(H946,#REF!,8,FALSE)</f>
        <v>#REF!</v>
      </c>
      <c r="AO946" s="189" t="e">
        <f>VLOOKUP(H946,#REF!,2,FALSE)</f>
        <v>#REF!</v>
      </c>
      <c r="AP946" s="189" t="e">
        <f>VLOOKUP(H946,#REF!,2,FALSE)</f>
        <v>#REF!</v>
      </c>
      <c r="AQ946" s="189"/>
      <c r="AR946" s="2" t="e">
        <f>VLOOKUP(CLEAN(H946),#REF!,2,FALSE)</f>
        <v>#REF!</v>
      </c>
      <c r="AT946" s="2" t="e">
        <f>VLOOKUP(H946,#REF!,13,FALSE)</f>
        <v>#REF!</v>
      </c>
      <c r="AU946" s="2" t="e">
        <f>VLOOKUP(H946,#REF!,13,FALSE)</f>
        <v>#REF!</v>
      </c>
      <c r="AV946" s="2" t="e">
        <f>VLOOKUP(H946,#REF!,13,FALSE)</f>
        <v>#REF!</v>
      </c>
      <c r="AW946" s="2" t="e">
        <f>VLOOKUP(H946,#REF!,13,FALSE)</f>
        <v>#REF!</v>
      </c>
      <c r="AX946" s="2" t="e">
        <f>VLOOKUP(H946,#REF!,9,FALSE)</f>
        <v>#REF!</v>
      </c>
      <c r="AZ946" s="2" t="e">
        <f>VLOOKUP(H946,#REF!,2,FALSE)</f>
        <v>#REF!</v>
      </c>
      <c r="BF946" s="189" t="e">
        <f>VLOOKUP(CLEAN(H946),#REF!,2,FALSE)</f>
        <v>#REF!</v>
      </c>
      <c r="BG946" s="189" t="e">
        <f>T946-BF946</f>
        <v>#REF!</v>
      </c>
      <c r="BO946" s="2" t="e">
        <f>VLOOKUP(H946,#REF!,13,FALSE)</f>
        <v>#REF!</v>
      </c>
      <c r="BP946" s="2" t="e">
        <f>VLOOKUP(H946,#REF!,2,FALSE)</f>
        <v>#REF!</v>
      </c>
      <c r="BQ946" s="2" t="e">
        <f>VLOOKUP(H946,#REF!,13,FALSE)</f>
        <v>#REF!</v>
      </c>
      <c r="BR946" s="2" t="e">
        <f>VLOOKUP(H946,#REF!,3,FALSE)</f>
        <v>#REF!</v>
      </c>
    </row>
    <row r="947" spans="1:70" s="2" customFormat="1" ht="15" customHeight="1" outlineLevel="2">
      <c r="A947" s="5">
        <v>29</v>
      </c>
      <c r="B947" s="5" t="s">
        <v>11</v>
      </c>
      <c r="C947" s="5" t="s">
        <v>240</v>
      </c>
      <c r="D947" s="5" t="s">
        <v>48</v>
      </c>
      <c r="E947" s="5" t="s">
        <v>48</v>
      </c>
      <c r="F947" s="5" t="s">
        <v>457</v>
      </c>
      <c r="G947" s="5" t="s">
        <v>144</v>
      </c>
      <c r="H947" s="12">
        <v>40001507</v>
      </c>
      <c r="I947" s="42" t="str">
        <f t="shared" si="572"/>
        <v>40001507-EJECUCION</v>
      </c>
      <c r="J947" s="12"/>
      <c r="K947" s="307" t="str">
        <f t="shared" si="573"/>
        <v>40001507</v>
      </c>
      <c r="L947" s="15" t="s">
        <v>494</v>
      </c>
      <c r="M947" s="23">
        <v>690000000</v>
      </c>
      <c r="N947" s="34">
        <v>0</v>
      </c>
      <c r="O947" s="34">
        <v>0</v>
      </c>
      <c r="P947" s="310">
        <v>0</v>
      </c>
      <c r="Q947" s="34">
        <v>0</v>
      </c>
      <c r="R947" s="308">
        <v>0</v>
      </c>
      <c r="S947" s="34">
        <f t="shared" si="574"/>
        <v>0</v>
      </c>
      <c r="T947" s="34">
        <v>0</v>
      </c>
      <c r="U947" s="34">
        <v>0</v>
      </c>
      <c r="V947" s="34">
        <f>P947+Q947+R947+T947+U947</f>
        <v>0</v>
      </c>
      <c r="W947" s="34">
        <f>O947-V947</f>
        <v>0</v>
      </c>
      <c r="X947" s="34">
        <f>M947-(N947+O947)</f>
        <v>690000000</v>
      </c>
      <c r="Y947" s="48" t="s">
        <v>489</v>
      </c>
      <c r="Z947" s="48" t="s">
        <v>421</v>
      </c>
      <c r="AA947" s="2" t="e">
        <v>#N/A</v>
      </c>
      <c r="AB947" s="2" t="e">
        <f>VLOOKUP(H947,#REF!,2,FALSE)</f>
        <v>#REF!</v>
      </c>
      <c r="AC947" s="2" t="e">
        <f>VLOOKUP(I947,#REF!,2,FALSE)</f>
        <v>#REF!</v>
      </c>
      <c r="AD947" s="2" t="e">
        <f>VLOOKUP(H947,#REF!,13,FALSE)</f>
        <v>#REF!</v>
      </c>
      <c r="AE947" s="2" t="e">
        <f>VLOOKUP(I947,#REF!,7,FALSE)</f>
        <v>#REF!</v>
      </c>
      <c r="AG947" s="2" t="e">
        <f>VLOOKUP(H947,#REF!,13,FALSE)</f>
        <v>#REF!</v>
      </c>
      <c r="AH947" s="2" t="e">
        <f>VLOOKUP(I947,#REF!,2,FALSE)</f>
        <v>#REF!</v>
      </c>
      <c r="AJ947" s="185" t="e">
        <f>VLOOKUP(H947,#REF!,3,FALSE)</f>
        <v>#REF!</v>
      </c>
      <c r="AK947" s="185"/>
      <c r="AL947" s="185" t="e">
        <f>VLOOKUP(H947,#REF!,13,FALSE)</f>
        <v>#REF!</v>
      </c>
      <c r="AM947" s="185" t="e">
        <f>VLOOKUP(CLEAN(H947),#REF!,7,FALSE)</f>
        <v>#REF!</v>
      </c>
      <c r="AN947" s="2" t="e">
        <f>VLOOKUP(H947,#REF!,8,FALSE)</f>
        <v>#REF!</v>
      </c>
      <c r="AO947" s="189" t="e">
        <f>VLOOKUP(H947,#REF!,2,FALSE)</f>
        <v>#REF!</v>
      </c>
      <c r="AP947" s="189" t="e">
        <f>VLOOKUP(H947,#REF!,2,FALSE)</f>
        <v>#REF!</v>
      </c>
      <c r="AQ947" s="189"/>
      <c r="AR947" s="2" t="e">
        <f>VLOOKUP(CLEAN(H947),#REF!,2,FALSE)</f>
        <v>#REF!</v>
      </c>
      <c r="AT947" s="2" t="e">
        <f>VLOOKUP(H947,#REF!,13,FALSE)</f>
        <v>#REF!</v>
      </c>
      <c r="AU947" s="2" t="e">
        <f>VLOOKUP(H947,#REF!,13,FALSE)</f>
        <v>#REF!</v>
      </c>
      <c r="AV947" s="2" t="e">
        <f>VLOOKUP(H947,#REF!,13,FALSE)</f>
        <v>#REF!</v>
      </c>
      <c r="AW947" s="2" t="e">
        <f>VLOOKUP(H947,#REF!,13,FALSE)</f>
        <v>#REF!</v>
      </c>
      <c r="AX947" s="2" t="e">
        <f>VLOOKUP(H947,#REF!,9,FALSE)</f>
        <v>#REF!</v>
      </c>
      <c r="AZ947" s="2" t="e">
        <f>VLOOKUP(H947,#REF!,2,FALSE)</f>
        <v>#REF!</v>
      </c>
      <c r="BF947" s="189" t="e">
        <f>VLOOKUP(CLEAN(H947),#REF!,2,FALSE)</f>
        <v>#REF!</v>
      </c>
      <c r="BG947" s="189" t="e">
        <f>T947-BF947</f>
        <v>#REF!</v>
      </c>
      <c r="BO947" s="2" t="e">
        <f>VLOOKUP(H947,#REF!,13,FALSE)</f>
        <v>#REF!</v>
      </c>
      <c r="BP947" s="2" t="e">
        <f>VLOOKUP(H947,#REF!,2,FALSE)</f>
        <v>#REF!</v>
      </c>
      <c r="BQ947" s="2" t="e">
        <f>VLOOKUP(H947,#REF!,13,FALSE)</f>
        <v>#REF!</v>
      </c>
      <c r="BR947" s="2" t="e">
        <f>VLOOKUP(H947,#REF!,3,FALSE)</f>
        <v>#REF!</v>
      </c>
    </row>
    <row r="948" spans="1:70" s="2" customFormat="1" ht="15" customHeight="1" outlineLevel="2">
      <c r="A948" s="5">
        <v>29</v>
      </c>
      <c r="B948" s="5" t="s">
        <v>11</v>
      </c>
      <c r="C948" s="5" t="s">
        <v>240</v>
      </c>
      <c r="D948" s="5" t="s">
        <v>48</v>
      </c>
      <c r="E948" s="5" t="s">
        <v>48</v>
      </c>
      <c r="F948" s="5" t="s">
        <v>457</v>
      </c>
      <c r="G948" s="5" t="s">
        <v>144</v>
      </c>
      <c r="H948" s="12">
        <v>30488894</v>
      </c>
      <c r="I948" s="42" t="str">
        <f t="shared" si="572"/>
        <v>30488894-EJECUCION</v>
      </c>
      <c r="J948" s="12"/>
      <c r="K948" s="307" t="str">
        <f t="shared" si="573"/>
        <v>30488894</v>
      </c>
      <c r="L948" s="15" t="s">
        <v>495</v>
      </c>
      <c r="M948" s="23">
        <v>1055427000</v>
      </c>
      <c r="N948" s="34">
        <v>0</v>
      </c>
      <c r="O948" s="34">
        <f>718751231-318751231</f>
        <v>400000000</v>
      </c>
      <c r="P948" s="310">
        <v>0</v>
      </c>
      <c r="Q948" s="34">
        <v>0</v>
      </c>
      <c r="R948" s="308">
        <v>0</v>
      </c>
      <c r="S948" s="34">
        <f t="shared" si="574"/>
        <v>0</v>
      </c>
      <c r="T948" s="34">
        <v>0</v>
      </c>
      <c r="U948" s="34">
        <v>0</v>
      </c>
      <c r="V948" s="34">
        <f>P948+Q948+R948+T948+U948</f>
        <v>0</v>
      </c>
      <c r="W948" s="34">
        <f>O948-V948</f>
        <v>400000000</v>
      </c>
      <c r="X948" s="34">
        <f>M948-(N948+O948)</f>
        <v>655427000</v>
      </c>
      <c r="Y948" s="48" t="s">
        <v>489</v>
      </c>
      <c r="Z948" s="48" t="s">
        <v>10</v>
      </c>
      <c r="AA948" s="2" t="e">
        <v>#N/A</v>
      </c>
      <c r="AB948" s="2" t="e">
        <f>VLOOKUP(H948,#REF!,2,FALSE)</f>
        <v>#REF!</v>
      </c>
      <c r="AC948" s="2" t="e">
        <f>VLOOKUP(I948,#REF!,2,FALSE)</f>
        <v>#REF!</v>
      </c>
      <c r="AD948" s="2" t="e">
        <f>VLOOKUP(H948,#REF!,13,FALSE)</f>
        <v>#REF!</v>
      </c>
      <c r="AE948" s="2" t="e">
        <f>VLOOKUP(I948,#REF!,7,FALSE)</f>
        <v>#REF!</v>
      </c>
      <c r="AG948" s="2" t="e">
        <f>VLOOKUP(H948,#REF!,13,FALSE)</f>
        <v>#REF!</v>
      </c>
      <c r="AH948" s="2" t="e">
        <f>VLOOKUP(I948,#REF!,2,FALSE)</f>
        <v>#REF!</v>
      </c>
      <c r="AJ948" s="185" t="e">
        <f>VLOOKUP(H948,#REF!,3,FALSE)</f>
        <v>#REF!</v>
      </c>
      <c r="AK948" s="185"/>
      <c r="AL948" s="185" t="e">
        <f>VLOOKUP(H948,#REF!,13,FALSE)</f>
        <v>#REF!</v>
      </c>
      <c r="AM948" s="185" t="e">
        <f>VLOOKUP(CLEAN(H948),#REF!,7,FALSE)</f>
        <v>#REF!</v>
      </c>
      <c r="AN948" s="2" t="e">
        <f>VLOOKUP(H948,#REF!,8,FALSE)</f>
        <v>#REF!</v>
      </c>
      <c r="AO948" s="189" t="e">
        <f>VLOOKUP(H948,#REF!,2,FALSE)</f>
        <v>#REF!</v>
      </c>
      <c r="AP948" s="189" t="e">
        <f>VLOOKUP(H948,#REF!,2,FALSE)</f>
        <v>#REF!</v>
      </c>
      <c r="AQ948" s="189"/>
      <c r="AR948" s="2" t="e">
        <f>VLOOKUP(CLEAN(H948),#REF!,2,FALSE)</f>
        <v>#REF!</v>
      </c>
      <c r="AT948" s="2" t="e">
        <f>VLOOKUP(H948,#REF!,13,FALSE)</f>
        <v>#REF!</v>
      </c>
      <c r="AU948" s="2" t="e">
        <f>VLOOKUP(H948,#REF!,13,FALSE)</f>
        <v>#REF!</v>
      </c>
      <c r="AV948" s="2" t="e">
        <f>VLOOKUP(H948,#REF!,13,FALSE)</f>
        <v>#REF!</v>
      </c>
      <c r="AW948" s="2" t="e">
        <f>VLOOKUP(H948,#REF!,13,FALSE)</f>
        <v>#REF!</v>
      </c>
      <c r="AX948" s="2" t="e">
        <f>VLOOKUP(H948,#REF!,9,FALSE)</f>
        <v>#REF!</v>
      </c>
      <c r="AZ948" s="2" t="e">
        <f>VLOOKUP(H948,#REF!,2,FALSE)</f>
        <v>#REF!</v>
      </c>
      <c r="BF948" s="189" t="e">
        <f>VLOOKUP(CLEAN(H948),#REF!,2,FALSE)</f>
        <v>#REF!</v>
      </c>
      <c r="BG948" s="189" t="e">
        <f>T948-BF948</f>
        <v>#REF!</v>
      </c>
      <c r="BO948" s="2" t="e">
        <f>VLOOKUP(H948,#REF!,13,FALSE)</f>
        <v>#REF!</v>
      </c>
      <c r="BP948" s="2" t="e">
        <f>VLOOKUP(H948,#REF!,2,FALSE)</f>
        <v>#REF!</v>
      </c>
      <c r="BQ948" s="2" t="e">
        <f>VLOOKUP(H948,#REF!,13,FALSE)</f>
        <v>#REF!</v>
      </c>
      <c r="BR948" s="2" t="e">
        <f>VLOOKUP(H948,#REF!,3,FALSE)</f>
        <v>#REF!</v>
      </c>
    </row>
    <row r="949" spans="1:70" s="2" customFormat="1" ht="15" customHeight="1" outlineLevel="2">
      <c r="A949" s="5">
        <v>31</v>
      </c>
      <c r="B949" s="5" t="s">
        <v>54</v>
      </c>
      <c r="C949" s="5" t="s">
        <v>251</v>
      </c>
      <c r="D949" s="5" t="s">
        <v>48</v>
      </c>
      <c r="E949" s="5" t="s">
        <v>48</v>
      </c>
      <c r="F949" s="5" t="s">
        <v>457</v>
      </c>
      <c r="G949" s="5" t="s">
        <v>144</v>
      </c>
      <c r="H949" s="12">
        <v>30460140</v>
      </c>
      <c r="I949" s="42" t="str">
        <f t="shared" si="572"/>
        <v>30460140-EJECUCION</v>
      </c>
      <c r="J949" s="12"/>
      <c r="K949" s="307" t="str">
        <f t="shared" si="573"/>
        <v>30460140</v>
      </c>
      <c r="L949" s="15" t="s">
        <v>307</v>
      </c>
      <c r="M949" s="23">
        <v>3120702676</v>
      </c>
      <c r="N949" s="34">
        <v>0</v>
      </c>
      <c r="O949" s="34">
        <v>200000000</v>
      </c>
      <c r="P949" s="310">
        <v>0</v>
      </c>
      <c r="Q949" s="34">
        <v>0</v>
      </c>
      <c r="R949" s="308">
        <v>0</v>
      </c>
      <c r="S949" s="34">
        <f t="shared" si="574"/>
        <v>0</v>
      </c>
      <c r="T949" s="34">
        <v>0</v>
      </c>
      <c r="U949" s="34">
        <v>4750000</v>
      </c>
      <c r="V949" s="34">
        <f>P949+Q949+R949+T949+U949</f>
        <v>4750000</v>
      </c>
      <c r="W949" s="34">
        <f>O949-V949</f>
        <v>195250000</v>
      </c>
      <c r="X949" s="34">
        <f>M949-(N949+O949)</f>
        <v>2920702676</v>
      </c>
      <c r="Y949" s="48" t="s">
        <v>1010</v>
      </c>
      <c r="Z949" s="48" t="s">
        <v>10</v>
      </c>
      <c r="AA949" s="2" t="s">
        <v>843</v>
      </c>
      <c r="AB949" s="2" t="e">
        <f>VLOOKUP(H949,#REF!,2,FALSE)</f>
        <v>#REF!</v>
      </c>
      <c r="AC949" s="2" t="e">
        <f>VLOOKUP(I949,#REF!,2,FALSE)</f>
        <v>#REF!</v>
      </c>
      <c r="AD949" s="2" t="e">
        <f>VLOOKUP(H949,#REF!,13,FALSE)</f>
        <v>#REF!</v>
      </c>
      <c r="AE949" s="2" t="e">
        <f>VLOOKUP(I949,#REF!,7,FALSE)</f>
        <v>#REF!</v>
      </c>
      <c r="AG949" s="2" t="e">
        <f>VLOOKUP(H949,#REF!,13,FALSE)</f>
        <v>#REF!</v>
      </c>
      <c r="AH949" s="2" t="e">
        <f>VLOOKUP(I949,#REF!,2,FALSE)</f>
        <v>#REF!</v>
      </c>
      <c r="AJ949" s="185" t="e">
        <f>VLOOKUP(H949,#REF!,3,FALSE)</f>
        <v>#REF!</v>
      </c>
      <c r="AK949" s="185"/>
      <c r="AL949" s="185" t="e">
        <f>VLOOKUP(H949,#REF!,13,FALSE)</f>
        <v>#REF!</v>
      </c>
      <c r="AM949" s="185" t="e">
        <f>VLOOKUP(CLEAN(H949),#REF!,7,FALSE)</f>
        <v>#REF!</v>
      </c>
      <c r="AN949" s="2" t="e">
        <f>VLOOKUP(H949,#REF!,8,FALSE)</f>
        <v>#REF!</v>
      </c>
      <c r="AO949" s="189" t="e">
        <f>VLOOKUP(H949,#REF!,2,FALSE)</f>
        <v>#REF!</v>
      </c>
      <c r="AP949" s="189" t="e">
        <f>VLOOKUP(H949,#REF!,2,FALSE)</f>
        <v>#REF!</v>
      </c>
      <c r="AQ949" s="189"/>
      <c r="AR949" s="2" t="e">
        <f>VLOOKUP(CLEAN(H949),#REF!,2,FALSE)</f>
        <v>#REF!</v>
      </c>
      <c r="AT949" s="2" t="e">
        <f>VLOOKUP(H949,#REF!,13,FALSE)</f>
        <v>#REF!</v>
      </c>
      <c r="AU949" s="2" t="e">
        <f>VLOOKUP(H949,#REF!,13,FALSE)</f>
        <v>#REF!</v>
      </c>
      <c r="AV949" s="2" t="e">
        <f>VLOOKUP(H949,#REF!,13,FALSE)</f>
        <v>#REF!</v>
      </c>
      <c r="AW949" s="2" t="e">
        <f>VLOOKUP(H949,#REF!,13,FALSE)</f>
        <v>#REF!</v>
      </c>
      <c r="AX949" s="2" t="e">
        <f>VLOOKUP(H949,#REF!,9,FALSE)</f>
        <v>#REF!</v>
      </c>
      <c r="AZ949" s="189" t="e">
        <f>VLOOKUP(H949,#REF!,2,FALSE)</f>
        <v>#REF!</v>
      </c>
      <c r="BF949" s="189" t="e">
        <f>VLOOKUP(CLEAN(H949),#REF!,2,FALSE)</f>
        <v>#REF!</v>
      </c>
      <c r="BG949" s="189" t="e">
        <f>T949-BF949</f>
        <v>#REF!</v>
      </c>
      <c r="BO949" s="2" t="e">
        <f>VLOOKUP(H949,#REF!,13,FALSE)</f>
        <v>#REF!</v>
      </c>
      <c r="BP949" s="2" t="e">
        <f>VLOOKUP(H949,#REF!,2,FALSE)</f>
        <v>#REF!</v>
      </c>
      <c r="BQ949" s="2" t="e">
        <f>VLOOKUP(H949,#REF!,13,FALSE)</f>
        <v>#REF!</v>
      </c>
      <c r="BR949" s="2" t="e">
        <f>VLOOKUP(H949,#REF!,3,FALSE)</f>
        <v>#REF!</v>
      </c>
    </row>
    <row r="950" spans="1:70" s="2" customFormat="1" ht="15" customHeight="1" outlineLevel="2">
      <c r="A950" s="5">
        <v>33</v>
      </c>
      <c r="B950" s="5" t="s">
        <v>11</v>
      </c>
      <c r="C950" s="5" t="s">
        <v>242</v>
      </c>
      <c r="D950" s="5" t="s">
        <v>48</v>
      </c>
      <c r="E950" s="5" t="s">
        <v>48</v>
      </c>
      <c r="F950" s="5" t="s">
        <v>457</v>
      </c>
      <c r="G950" s="5" t="s">
        <v>144</v>
      </c>
      <c r="H950" s="12">
        <v>40005575</v>
      </c>
      <c r="I950" s="42" t="str">
        <f t="shared" si="572"/>
        <v>40005575-EJECUCION</v>
      </c>
      <c r="J950" s="12"/>
      <c r="K950" s="307" t="str">
        <f t="shared" si="573"/>
        <v>40005575</v>
      </c>
      <c r="L950" s="15" t="s">
        <v>999</v>
      </c>
      <c r="M950" s="23">
        <v>2500000000</v>
      </c>
      <c r="N950" s="34">
        <v>0</v>
      </c>
      <c r="O950" s="34">
        <v>2500000000</v>
      </c>
      <c r="P950" s="310">
        <v>0</v>
      </c>
      <c r="Q950" s="34">
        <v>0</v>
      </c>
      <c r="R950" s="308">
        <v>0</v>
      </c>
      <c r="S950" s="34">
        <f t="shared" si="574"/>
        <v>0</v>
      </c>
      <c r="T950" s="34">
        <v>0</v>
      </c>
      <c r="U950" s="34">
        <v>0</v>
      </c>
      <c r="V950" s="34">
        <f>P950+Q950+R950+T950+U950</f>
        <v>0</v>
      </c>
      <c r="W950" s="34">
        <f>O950-V950</f>
        <v>2500000000</v>
      </c>
      <c r="X950" s="34">
        <f>M950-(N950+O950)</f>
        <v>0</v>
      </c>
      <c r="Y950" s="48" t="s">
        <v>418</v>
      </c>
      <c r="Z950" s="48" t="s">
        <v>10</v>
      </c>
      <c r="AA950" s="2" t="e">
        <v>#N/A</v>
      </c>
      <c r="AB950" s="2" t="e">
        <f>VLOOKUP(H950,#REF!,2,FALSE)</f>
        <v>#REF!</v>
      </c>
      <c r="AC950" s="2" t="e">
        <f>VLOOKUP(I950,#REF!,2,FALSE)</f>
        <v>#REF!</v>
      </c>
      <c r="AD950" s="2" t="e">
        <f>VLOOKUP(H950,#REF!,13,FALSE)</f>
        <v>#REF!</v>
      </c>
      <c r="AE950" s="2" t="e">
        <f>VLOOKUP(I950,#REF!,7,FALSE)</f>
        <v>#REF!</v>
      </c>
      <c r="AG950" s="2" t="e">
        <f>VLOOKUP(H950,#REF!,13,FALSE)</f>
        <v>#REF!</v>
      </c>
      <c r="AH950" s="2" t="e">
        <f>VLOOKUP(I950,#REF!,2,FALSE)</f>
        <v>#REF!</v>
      </c>
      <c r="AJ950" s="2" t="e">
        <f>VLOOKUP(H950,#REF!,3,FALSE)</f>
        <v>#REF!</v>
      </c>
      <c r="AL950" s="2" t="e">
        <f>VLOOKUP(H950,#REF!,13,FALSE)</f>
        <v>#REF!</v>
      </c>
      <c r="AM950" s="2" t="e">
        <f>VLOOKUP(CLEAN(H950),#REF!,7,FALSE)</f>
        <v>#REF!</v>
      </c>
      <c r="AN950" s="2" t="e">
        <f>VLOOKUP(H950,#REF!,8,FALSE)</f>
        <v>#REF!</v>
      </c>
      <c r="AO950" s="189" t="e">
        <f>VLOOKUP(H950,#REF!,2,FALSE)</f>
        <v>#REF!</v>
      </c>
      <c r="AP950" s="189" t="e">
        <f>VLOOKUP(H950,#REF!,2,FALSE)</f>
        <v>#REF!</v>
      </c>
      <c r="AQ950" s="189"/>
      <c r="AR950" s="2" t="e">
        <f>VLOOKUP(CLEAN(H950),#REF!,2,FALSE)</f>
        <v>#REF!</v>
      </c>
      <c r="AT950" s="2" t="e">
        <f>VLOOKUP(H950,#REF!,13,FALSE)</f>
        <v>#REF!</v>
      </c>
      <c r="AU950" s="2" t="e">
        <f>VLOOKUP(H950,#REF!,13,FALSE)</f>
        <v>#REF!</v>
      </c>
      <c r="AV950" s="2" t="e">
        <f>VLOOKUP(H950,#REF!,13,FALSE)</f>
        <v>#REF!</v>
      </c>
      <c r="AW950" s="2" t="e">
        <f>VLOOKUP(H950,#REF!,13,FALSE)</f>
        <v>#REF!</v>
      </c>
      <c r="AX950" s="2" t="e">
        <f>VLOOKUP(H950,#REF!,9,FALSE)</f>
        <v>#REF!</v>
      </c>
      <c r="AZ950" s="2" t="e">
        <f>VLOOKUP(H950,#REF!,2,FALSE)</f>
        <v>#REF!</v>
      </c>
      <c r="BF950" s="189" t="e">
        <f>VLOOKUP(CLEAN(H950),#REF!,2,FALSE)</f>
        <v>#REF!</v>
      </c>
      <c r="BG950" s="189" t="e">
        <f>T950-BF950</f>
        <v>#REF!</v>
      </c>
      <c r="BO950" s="2" t="e">
        <f>VLOOKUP(H950,#REF!,13,FALSE)</f>
        <v>#REF!</v>
      </c>
      <c r="BP950" s="2" t="e">
        <f>VLOOKUP(H950,#REF!,2,FALSE)</f>
        <v>#REF!</v>
      </c>
      <c r="BQ950" s="2" t="e">
        <f>VLOOKUP(H950,#REF!,13,FALSE)</f>
        <v>#REF!</v>
      </c>
      <c r="BR950" s="2" t="e">
        <f>VLOOKUP(H950,#REF!,3,FALSE)</f>
        <v>#REF!</v>
      </c>
    </row>
    <row r="951" spans="1:70" s="2" customFormat="1" ht="15" customHeight="1" outlineLevel="2">
      <c r="A951" s="5">
        <v>31</v>
      </c>
      <c r="B951" s="5" t="s">
        <v>11</v>
      </c>
      <c r="C951" s="5" t="s">
        <v>242</v>
      </c>
      <c r="D951" s="5" t="s">
        <v>48</v>
      </c>
      <c r="E951" s="5" t="s">
        <v>48</v>
      </c>
      <c r="F951" s="5" t="s">
        <v>457</v>
      </c>
      <c r="G951" s="5" t="s">
        <v>9</v>
      </c>
      <c r="H951" s="12">
        <v>30433022</v>
      </c>
      <c r="I951" s="42" t="str">
        <f t="shared" si="572"/>
        <v>30433022-DISEÑO</v>
      </c>
      <c r="J951" s="12"/>
      <c r="K951" s="307" t="str">
        <f t="shared" si="573"/>
        <v>30433022</v>
      </c>
      <c r="L951" s="15" t="s">
        <v>433</v>
      </c>
      <c r="M951" s="23">
        <v>200000000</v>
      </c>
      <c r="N951" s="34">
        <v>0</v>
      </c>
      <c r="O951" s="34">
        <v>0</v>
      </c>
      <c r="P951" s="310">
        <v>0</v>
      </c>
      <c r="Q951" s="34">
        <v>0</v>
      </c>
      <c r="R951" s="308">
        <v>0</v>
      </c>
      <c r="S951" s="34">
        <f t="shared" si="574"/>
        <v>0</v>
      </c>
      <c r="T951" s="34">
        <v>0</v>
      </c>
      <c r="U951" s="34">
        <v>0</v>
      </c>
      <c r="V951" s="34">
        <f>P951+Q951+R951+T951+U951</f>
        <v>0</v>
      </c>
      <c r="W951" s="34">
        <f>O951-V951</f>
        <v>0</v>
      </c>
      <c r="X951" s="34">
        <f>M951-(N951+O951)</f>
        <v>200000000</v>
      </c>
      <c r="Y951" s="48" t="s">
        <v>434</v>
      </c>
      <c r="Z951" s="48" t="s">
        <v>357</v>
      </c>
      <c r="AA951" s="2" t="e">
        <v>#N/A</v>
      </c>
      <c r="AB951" s="2" t="e">
        <f>VLOOKUP(H951,#REF!,2,FALSE)</f>
        <v>#REF!</v>
      </c>
      <c r="AC951" s="2" t="e">
        <f>VLOOKUP(I951,#REF!,2,FALSE)</f>
        <v>#REF!</v>
      </c>
      <c r="AD951" s="2" t="e">
        <f>VLOOKUP(H951,#REF!,13,FALSE)</f>
        <v>#REF!</v>
      </c>
      <c r="AE951" s="2" t="e">
        <f>VLOOKUP(I951,#REF!,7,FALSE)</f>
        <v>#REF!</v>
      </c>
      <c r="AG951" s="2" t="e">
        <f>VLOOKUP(H951,#REF!,13,FALSE)</f>
        <v>#REF!</v>
      </c>
      <c r="AH951" s="2" t="e">
        <f>VLOOKUP(I951,#REF!,2,FALSE)</f>
        <v>#REF!</v>
      </c>
      <c r="AJ951" s="185" t="e">
        <f>VLOOKUP(H951,#REF!,3,FALSE)</f>
        <v>#REF!</v>
      </c>
      <c r="AK951" s="185"/>
      <c r="AL951" s="185" t="e">
        <f>VLOOKUP(H951,#REF!,13,FALSE)</f>
        <v>#REF!</v>
      </c>
      <c r="AM951" s="185" t="e">
        <f>VLOOKUP(CLEAN(H951),#REF!,7,FALSE)</f>
        <v>#REF!</v>
      </c>
      <c r="AN951" s="2" t="e">
        <f>VLOOKUP(H951,#REF!,8,FALSE)</f>
        <v>#REF!</v>
      </c>
      <c r="AO951" s="189" t="e">
        <f>VLOOKUP(H951,#REF!,2,FALSE)</f>
        <v>#REF!</v>
      </c>
      <c r="AP951" s="189" t="e">
        <f>VLOOKUP(H951,#REF!,2,FALSE)</f>
        <v>#REF!</v>
      </c>
      <c r="AQ951" s="189"/>
      <c r="AR951" s="2" t="e">
        <f>VLOOKUP(CLEAN(H951),#REF!,2,FALSE)</f>
        <v>#REF!</v>
      </c>
      <c r="AT951" s="2" t="e">
        <f>VLOOKUP(H951,#REF!,13,FALSE)</f>
        <v>#REF!</v>
      </c>
      <c r="AU951" s="2" t="e">
        <f>VLOOKUP(H951,#REF!,13,FALSE)</f>
        <v>#REF!</v>
      </c>
      <c r="AV951" s="2" t="e">
        <f>VLOOKUP(H951,#REF!,13,FALSE)</f>
        <v>#REF!</v>
      </c>
      <c r="AW951" s="2" t="e">
        <f>VLOOKUP(H951,#REF!,13,FALSE)</f>
        <v>#REF!</v>
      </c>
      <c r="AX951" s="2" t="e">
        <f>VLOOKUP(H951,#REF!,9,FALSE)</f>
        <v>#REF!</v>
      </c>
      <c r="AZ951" s="2" t="e">
        <f>VLOOKUP(H951,#REF!,2,FALSE)</f>
        <v>#REF!</v>
      </c>
      <c r="BF951" s="189" t="e">
        <f>VLOOKUP(CLEAN(H951),#REF!,2,FALSE)</f>
        <v>#REF!</v>
      </c>
      <c r="BG951" s="189" t="e">
        <f>T951-BF951</f>
        <v>#REF!</v>
      </c>
      <c r="BO951" s="2" t="e">
        <f>VLOOKUP(H951,#REF!,13,FALSE)</f>
        <v>#REF!</v>
      </c>
      <c r="BP951" s="2" t="e">
        <f>VLOOKUP(H951,#REF!,2,FALSE)</f>
        <v>#REF!</v>
      </c>
      <c r="BQ951" s="2" t="e">
        <f>VLOOKUP(H951,#REF!,13,FALSE)</f>
        <v>#REF!</v>
      </c>
      <c r="BR951" s="2" t="e">
        <f>VLOOKUP(H951,#REF!,3,FALSE)</f>
        <v>#REF!</v>
      </c>
    </row>
    <row r="952" spans="1:70" ht="15" customHeight="1" outlineLevel="2">
      <c r="A952" s="7"/>
      <c r="B952" s="7"/>
      <c r="C952" s="7"/>
      <c r="D952" s="7"/>
      <c r="E952" s="7"/>
      <c r="F952" s="7"/>
      <c r="G952" s="7"/>
      <c r="H952" s="11"/>
      <c r="I952" s="11"/>
      <c r="J952" s="11"/>
      <c r="K952" s="11"/>
      <c r="L952" s="17" t="s">
        <v>693</v>
      </c>
      <c r="M952" s="27">
        <f t="shared" ref="M952:X952" si="575">SUBTOTAL(9,M945:M951)</f>
        <v>8265925676</v>
      </c>
      <c r="N952" s="27">
        <f t="shared" si="575"/>
        <v>0</v>
      </c>
      <c r="O952" s="27">
        <f t="shared" si="575"/>
        <v>3150000000</v>
      </c>
      <c r="P952" s="27">
        <f t="shared" si="575"/>
        <v>0</v>
      </c>
      <c r="Q952" s="27">
        <f t="shared" si="575"/>
        <v>0</v>
      </c>
      <c r="R952" s="27">
        <f t="shared" si="575"/>
        <v>0</v>
      </c>
      <c r="S952" s="27">
        <f t="shared" si="575"/>
        <v>0</v>
      </c>
      <c r="T952" s="27">
        <f t="shared" si="575"/>
        <v>0</v>
      </c>
      <c r="U952" s="27">
        <f t="shared" si="575"/>
        <v>4750000</v>
      </c>
      <c r="V952" s="27">
        <f t="shared" si="575"/>
        <v>4750000</v>
      </c>
      <c r="W952" s="27">
        <f t="shared" si="575"/>
        <v>3145250000</v>
      </c>
      <c r="X952" s="27">
        <f t="shared" si="575"/>
        <v>5115925676</v>
      </c>
      <c r="Y952" s="47"/>
      <c r="Z952" s="47"/>
      <c r="AM952" s="185" t="e">
        <f>VLOOKUP(CLEAN(H952),#REF!,7,FALSE)</f>
        <v>#REF!</v>
      </c>
      <c r="AO952"/>
      <c r="AP952"/>
      <c r="AQ952"/>
      <c r="AR952" s="2" t="e">
        <f>VLOOKUP(CLEAN(H952),#REF!,2,FALSE)</f>
        <v>#REF!</v>
      </c>
      <c r="AZ952" s="2" t="e">
        <f>VLOOKUP(H952,#REF!,2,FALSE)</f>
        <v>#REF!</v>
      </c>
      <c r="BO952" s="2" t="e">
        <f>VLOOKUP(H952,#REF!,13,FALSE)</f>
        <v>#REF!</v>
      </c>
      <c r="BQ952" s="2" t="e">
        <f>VLOOKUP(H952,#REF!,13,FALSE)</f>
        <v>#REF!</v>
      </c>
    </row>
    <row r="953" spans="1:70" ht="15" customHeight="1" outlineLevel="2">
      <c r="A953" s="7"/>
      <c r="B953" s="7"/>
      <c r="C953" s="7"/>
      <c r="D953" s="7"/>
      <c r="E953" s="7"/>
      <c r="F953" s="7"/>
      <c r="G953" s="7"/>
      <c r="H953" s="11"/>
      <c r="I953" s="11"/>
      <c r="J953" s="11"/>
      <c r="K953" s="11"/>
      <c r="L953" s="292"/>
      <c r="M953" s="22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47"/>
      <c r="Z953" s="47"/>
      <c r="AM953" s="185" t="e">
        <f>VLOOKUP(CLEAN(H953),#REF!,7,FALSE)</f>
        <v>#REF!</v>
      </c>
      <c r="AO953"/>
      <c r="AP953"/>
      <c r="AQ953"/>
      <c r="AR953" s="2" t="e">
        <f>VLOOKUP(CLEAN(H953),#REF!,2,FALSE)</f>
        <v>#REF!</v>
      </c>
      <c r="AZ953" s="2" t="e">
        <f>VLOOKUP(H953,#REF!,2,FALSE)</f>
        <v>#REF!</v>
      </c>
      <c r="BO953" s="2" t="e">
        <f>VLOOKUP(H953,#REF!,13,FALSE)</f>
        <v>#REF!</v>
      </c>
      <c r="BP953" s="293"/>
      <c r="BQ953" s="2" t="e">
        <f>VLOOKUP(H953,#REF!,13,FALSE)</f>
        <v>#REF!</v>
      </c>
    </row>
    <row r="954" spans="1:70" ht="18.75" customHeight="1" outlineLevel="1">
      <c r="A954" s="7"/>
      <c r="B954" s="7"/>
      <c r="C954" s="7"/>
      <c r="D954" s="7"/>
      <c r="E954" s="8"/>
      <c r="F954" s="7"/>
      <c r="G954" s="7"/>
      <c r="H954" s="11"/>
      <c r="I954" s="11"/>
      <c r="J954" s="11"/>
      <c r="K954" s="11"/>
      <c r="L954" s="54" t="s">
        <v>215</v>
      </c>
      <c r="M954" s="55">
        <f t="shared" ref="M954:X954" si="576">M952+M942+M932+M936</f>
        <v>14550646676</v>
      </c>
      <c r="N954" s="55">
        <f t="shared" si="576"/>
        <v>995670000</v>
      </c>
      <c r="O954" s="55">
        <f t="shared" si="576"/>
        <v>6438325000</v>
      </c>
      <c r="P954" s="55">
        <f t="shared" si="576"/>
        <v>0</v>
      </c>
      <c r="Q954" s="55">
        <f t="shared" si="576"/>
        <v>0</v>
      </c>
      <c r="R954" s="55">
        <f t="shared" si="576"/>
        <v>0</v>
      </c>
      <c r="S954" s="55">
        <f t="shared" si="576"/>
        <v>0</v>
      </c>
      <c r="T954" s="55">
        <f t="shared" si="576"/>
        <v>0</v>
      </c>
      <c r="U954" s="55">
        <f t="shared" si="576"/>
        <v>497730000</v>
      </c>
      <c r="V954" s="55">
        <f t="shared" si="576"/>
        <v>497730000</v>
      </c>
      <c r="W954" s="55">
        <f t="shared" si="576"/>
        <v>5940595000</v>
      </c>
      <c r="X954" s="55">
        <f t="shared" si="576"/>
        <v>7116651676</v>
      </c>
      <c r="Y954" s="47"/>
      <c r="Z954" s="47"/>
      <c r="AM954" s="185" t="e">
        <f>VLOOKUP(CLEAN(H954),#REF!,7,FALSE)</f>
        <v>#REF!</v>
      </c>
      <c r="AO954"/>
      <c r="AP954"/>
      <c r="AQ954"/>
      <c r="AR954" s="2" t="e">
        <f>VLOOKUP(CLEAN(H954),#REF!,2,FALSE)</f>
        <v>#REF!</v>
      </c>
      <c r="AZ954" s="2" t="e">
        <f>VLOOKUP(H954,#REF!,2,FALSE)</f>
        <v>#REF!</v>
      </c>
      <c r="BO954" s="2" t="e">
        <f>VLOOKUP(H954,#REF!,13,FALSE)</f>
        <v>#REF!</v>
      </c>
      <c r="BQ954" s="2" t="e">
        <f>VLOOKUP(H954,#REF!,13,FALSE)</f>
        <v>#REF!</v>
      </c>
    </row>
    <row r="955" spans="1:70" s="3" customFormat="1" ht="15" customHeight="1" outlineLevel="1">
      <c r="A955" s="7"/>
      <c r="B955" s="7"/>
      <c r="C955" s="7"/>
      <c r="D955" s="7"/>
      <c r="E955" s="8"/>
      <c r="F955" s="7"/>
      <c r="G955" s="7"/>
      <c r="H955" s="11"/>
      <c r="I955" s="11"/>
      <c r="J955" s="11"/>
      <c r="K955" s="11"/>
      <c r="L955" s="294"/>
      <c r="M955" s="26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47"/>
      <c r="Z955" s="47"/>
      <c r="AJ955" s="186"/>
      <c r="AK955" s="186"/>
      <c r="AL955" s="186"/>
      <c r="AM955" s="185" t="e">
        <f>VLOOKUP(CLEAN(H955),#REF!,7,FALSE)</f>
        <v>#REF!</v>
      </c>
      <c r="AR955" s="2" t="e">
        <f>VLOOKUP(CLEAN(H955),#REF!,2,FALSE)</f>
        <v>#REF!</v>
      </c>
      <c r="AZ955" s="2" t="e">
        <f>VLOOKUP(H955,#REF!,2,FALSE)</f>
        <v>#REF!</v>
      </c>
      <c r="BF955" s="193"/>
      <c r="BO955" s="2" t="e">
        <f>VLOOKUP(H955,#REF!,13,FALSE)</f>
        <v>#REF!</v>
      </c>
      <c r="BP955" s="7"/>
      <c r="BQ955" s="2" t="e">
        <f>VLOOKUP(H955,#REF!,13,FALSE)</f>
        <v>#REF!</v>
      </c>
    </row>
    <row r="956" spans="1:70" ht="21" customHeight="1" outlineLevel="1">
      <c r="A956" s="7"/>
      <c r="B956" s="7"/>
      <c r="C956" s="7"/>
      <c r="D956" s="7"/>
      <c r="E956" s="8"/>
      <c r="F956" s="7"/>
      <c r="G956" s="7"/>
      <c r="H956" s="11"/>
      <c r="I956" s="11"/>
      <c r="J956" s="11"/>
      <c r="K956" s="11"/>
      <c r="L956" s="53" t="s">
        <v>148</v>
      </c>
      <c r="M956" s="26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47"/>
      <c r="Z956" s="47"/>
      <c r="AM956" s="185" t="e">
        <f>VLOOKUP(CLEAN(H956),#REF!,7,FALSE)</f>
        <v>#REF!</v>
      </c>
      <c r="AO956"/>
      <c r="AP956"/>
      <c r="AQ956"/>
      <c r="AR956" s="2" t="e">
        <f>VLOOKUP(CLEAN(H956),#REF!,2,FALSE)</f>
        <v>#REF!</v>
      </c>
      <c r="AZ956" s="2" t="e">
        <f>VLOOKUP(H956,#REF!,2,FALSE)</f>
        <v>#REF!</v>
      </c>
      <c r="BO956" s="2" t="e">
        <f>VLOOKUP(H956,#REF!,13,FALSE)</f>
        <v>#REF!</v>
      </c>
      <c r="BQ956" s="2" t="e">
        <f>VLOOKUP(H956,#REF!,13,FALSE)</f>
        <v>#REF!</v>
      </c>
    </row>
    <row r="957" spans="1:70" ht="15" customHeight="1" outlineLevel="1">
      <c r="A957" s="7"/>
      <c r="B957" s="7"/>
      <c r="C957" s="7"/>
      <c r="D957" s="7"/>
      <c r="E957" s="8"/>
      <c r="F957" s="7"/>
      <c r="G957" s="7"/>
      <c r="H957" s="11"/>
      <c r="I957" s="11"/>
      <c r="J957" s="11"/>
      <c r="K957" s="11"/>
      <c r="L957" s="18" t="s">
        <v>695</v>
      </c>
      <c r="M957" s="26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47"/>
      <c r="Z957" s="47"/>
      <c r="AM957" s="185" t="e">
        <f>VLOOKUP(CLEAN(H957),#REF!,7,FALSE)</f>
        <v>#REF!</v>
      </c>
      <c r="AO957"/>
      <c r="AP957"/>
      <c r="AQ957"/>
      <c r="AR957" s="2" t="e">
        <f>VLOOKUP(CLEAN(H957),#REF!,2,FALSE)</f>
        <v>#REF!</v>
      </c>
      <c r="AZ957" s="2" t="e">
        <f>VLOOKUP(H957,#REF!,2,FALSE)</f>
        <v>#REF!</v>
      </c>
      <c r="BO957" s="2" t="e">
        <f>VLOOKUP(H957,#REF!,13,FALSE)</f>
        <v>#REF!</v>
      </c>
      <c r="BQ957" s="2" t="e">
        <f>VLOOKUP(H957,#REF!,13,FALSE)</f>
        <v>#REF!</v>
      </c>
    </row>
    <row r="958" spans="1:70" s="2" customFormat="1" ht="15" customHeight="1" outlineLevel="2">
      <c r="A958" s="5">
        <v>33</v>
      </c>
      <c r="B958" s="5" t="s">
        <v>5</v>
      </c>
      <c r="C958" s="5" t="s">
        <v>302</v>
      </c>
      <c r="D958" s="5" t="s">
        <v>148</v>
      </c>
      <c r="E958" s="5" t="s">
        <v>148</v>
      </c>
      <c r="F958" s="5" t="s">
        <v>77</v>
      </c>
      <c r="G958" s="5" t="s">
        <v>144</v>
      </c>
      <c r="H958" s="12">
        <v>30342022</v>
      </c>
      <c r="I958" s="311" t="str">
        <f t="shared" ref="I958:I1004" si="577">CONCATENATE(H958,"-",G958)</f>
        <v>30342022-EJECUCION</v>
      </c>
      <c r="J958" s="190"/>
      <c r="K958" s="309" t="str">
        <f t="shared" ref="K958:K1004" si="578">CLEAN(H958)</f>
        <v>30342022</v>
      </c>
      <c r="L958" s="15" t="s">
        <v>78</v>
      </c>
      <c r="M958" s="23">
        <v>198536511</v>
      </c>
      <c r="N958" s="34">
        <v>193245960</v>
      </c>
      <c r="O958" s="34">
        <v>5290551</v>
      </c>
      <c r="P958" s="310">
        <v>0</v>
      </c>
      <c r="Q958" s="34">
        <v>0</v>
      </c>
      <c r="R958" s="308">
        <v>78930</v>
      </c>
      <c r="S958" s="34">
        <f t="shared" ref="S958:S1004" si="579">P958+Q958+R958</f>
        <v>78930</v>
      </c>
      <c r="T958" s="34">
        <v>536512</v>
      </c>
      <c r="U958" s="34">
        <v>0</v>
      </c>
      <c r="V958" s="34">
        <f>P958+Q958+R958+T958+U958</f>
        <v>615442</v>
      </c>
      <c r="W958" s="34">
        <f>O958-V958</f>
        <v>4675109</v>
      </c>
      <c r="X958" s="34">
        <f>M958-(N958+O958)</f>
        <v>0</v>
      </c>
      <c r="Y958" s="48" t="s">
        <v>239</v>
      </c>
      <c r="Z958" s="48" t="s">
        <v>8</v>
      </c>
      <c r="AA958" s="2" t="s">
        <v>841</v>
      </c>
      <c r="AB958" s="2" t="e">
        <f>VLOOKUP(H958,#REF!,2,FALSE)</f>
        <v>#REF!</v>
      </c>
      <c r="AC958" s="2" t="e">
        <f>VLOOKUP(I958,#REF!,2,FALSE)</f>
        <v>#REF!</v>
      </c>
      <c r="AD958" s="2" t="e">
        <f>VLOOKUP(H958,#REF!,13,FALSE)</f>
        <v>#REF!</v>
      </c>
      <c r="AE958" s="2" t="e">
        <f>VLOOKUP(I958,#REF!,7,FALSE)</f>
        <v>#REF!</v>
      </c>
      <c r="AG958" s="2" t="e">
        <f>VLOOKUP(H958,#REF!,13,FALSE)</f>
        <v>#REF!</v>
      </c>
      <c r="AH958" s="2" t="e">
        <f>VLOOKUP(I958,#REF!,2,FALSE)</f>
        <v>#REF!</v>
      </c>
      <c r="AJ958" s="185" t="e">
        <f>VLOOKUP(H958,#REF!,3,FALSE)</f>
        <v>#REF!</v>
      </c>
      <c r="AK958" s="185"/>
      <c r="AL958" s="185"/>
      <c r="AM958" s="185" t="e">
        <f>VLOOKUP(CLEAN(H958),#REF!,7,FALSE)</f>
        <v>#REF!</v>
      </c>
      <c r="AN958" s="2" t="e">
        <f>VLOOKUP(H958,#REF!,8,FALSE)</f>
        <v>#REF!</v>
      </c>
      <c r="AO958" s="189" t="e">
        <f>VLOOKUP(H958,#REF!,2,FALSE)</f>
        <v>#REF!</v>
      </c>
      <c r="AP958" s="189" t="e">
        <f>VLOOKUP(H958,#REF!,2,FALSE)</f>
        <v>#REF!</v>
      </c>
      <c r="AQ958" s="189" t="e">
        <f>AO958-AP958</f>
        <v>#REF!</v>
      </c>
      <c r="AR958" s="2" t="e">
        <f>VLOOKUP(CLEAN(H958),#REF!,2,FALSE)</f>
        <v>#REF!</v>
      </c>
      <c r="AT958" s="2" t="e">
        <f>VLOOKUP(H958,#REF!,13,FALSE)</f>
        <v>#REF!</v>
      </c>
      <c r="AU958" s="2" t="e">
        <f>VLOOKUP(H958,#REF!,13,FALSE)</f>
        <v>#REF!</v>
      </c>
      <c r="AV958" s="2" t="e">
        <f>VLOOKUP(H958,#REF!,13,FALSE)</f>
        <v>#REF!</v>
      </c>
      <c r="AW958" s="2" t="e">
        <f>VLOOKUP(H958,#REF!,13,FALSE)</f>
        <v>#REF!</v>
      </c>
      <c r="AX958" s="2" t="e">
        <f>VLOOKUP(H958,#REF!,9,FALSE)</f>
        <v>#REF!</v>
      </c>
      <c r="AZ958" s="189" t="e">
        <f>VLOOKUP(H958,#REF!,2,FALSE)</f>
        <v>#REF!</v>
      </c>
      <c r="BF958" s="189" t="e">
        <f>VLOOKUP(CLEAN(H958),#REF!,2,FALSE)</f>
        <v>#REF!</v>
      </c>
      <c r="BG958" s="189" t="e">
        <f>T958-BF958</f>
        <v>#REF!</v>
      </c>
      <c r="BO958" s="2" t="e">
        <f>VLOOKUP(H958,#REF!,13,FALSE)</f>
        <v>#REF!</v>
      </c>
      <c r="BP958" s="2" t="e">
        <f>VLOOKUP(H958,#REF!,2,FALSE)</f>
        <v>#REF!</v>
      </c>
      <c r="BQ958" s="2" t="e">
        <f>VLOOKUP(H958,#REF!,13,FALSE)</f>
        <v>#REF!</v>
      </c>
      <c r="BR958" s="2" t="e">
        <f>VLOOKUP(H958,#REF!,3,FALSE)</f>
        <v>#REF!</v>
      </c>
    </row>
    <row r="959" spans="1:70" s="2" customFormat="1" ht="15" customHeight="1" outlineLevel="2">
      <c r="A959" s="5">
        <v>33</v>
      </c>
      <c r="B959" s="5" t="s">
        <v>5</v>
      </c>
      <c r="C959" s="5" t="s">
        <v>275</v>
      </c>
      <c r="D959" s="5" t="s">
        <v>148</v>
      </c>
      <c r="E959" s="5" t="s">
        <v>148</v>
      </c>
      <c r="F959" s="5" t="s">
        <v>457</v>
      </c>
      <c r="G959" s="5" t="s">
        <v>144</v>
      </c>
      <c r="H959" s="12">
        <v>30364279</v>
      </c>
      <c r="I959" s="42" t="str">
        <f t="shared" si="577"/>
        <v>30364279-EJECUCION</v>
      </c>
      <c r="J959" s="12"/>
      <c r="K959" s="307" t="str">
        <f t="shared" si="578"/>
        <v>30364279</v>
      </c>
      <c r="L959" s="15" t="s">
        <v>458</v>
      </c>
      <c r="M959" s="23">
        <v>1007332301</v>
      </c>
      <c r="N959" s="34">
        <v>994077298</v>
      </c>
      <c r="O959" s="34">
        <v>0</v>
      </c>
      <c r="P959" s="310">
        <v>0</v>
      </c>
      <c r="Q959" s="34">
        <v>0</v>
      </c>
      <c r="R959" s="308">
        <v>0</v>
      </c>
      <c r="S959" s="34">
        <f t="shared" si="579"/>
        <v>0</v>
      </c>
      <c r="T959" s="34">
        <v>0</v>
      </c>
      <c r="U959" s="34">
        <v>0</v>
      </c>
      <c r="V959" s="34">
        <f>P959+Q959+R959+T959+U959</f>
        <v>0</v>
      </c>
      <c r="W959" s="34">
        <f>O959-V959</f>
        <v>0</v>
      </c>
      <c r="X959" s="34">
        <f>M959-(N959+O959)</f>
        <v>13255003</v>
      </c>
      <c r="Y959" s="48" t="s">
        <v>239</v>
      </c>
      <c r="Z959" s="48" t="s">
        <v>12</v>
      </c>
      <c r="AA959" s="2" t="s">
        <v>841</v>
      </c>
      <c r="AB959" s="2" t="e">
        <f>VLOOKUP(H959,#REF!,2,FALSE)</f>
        <v>#REF!</v>
      </c>
      <c r="AC959" s="2" t="e">
        <f>VLOOKUP(I959,#REF!,2,FALSE)</f>
        <v>#REF!</v>
      </c>
      <c r="AD959" s="2" t="e">
        <f>VLOOKUP(H959,#REF!,13,FALSE)</f>
        <v>#REF!</v>
      </c>
      <c r="AE959" s="177" t="e">
        <f>VLOOKUP(I959,#REF!,7,FALSE)</f>
        <v>#REF!</v>
      </c>
      <c r="AG959" s="2" t="e">
        <f>VLOOKUP(H959,#REF!,13,FALSE)</f>
        <v>#REF!</v>
      </c>
      <c r="AH959" s="2" t="e">
        <f>VLOOKUP(I959,#REF!,2,FALSE)</f>
        <v>#REF!</v>
      </c>
      <c r="AJ959" s="185" t="e">
        <f>VLOOKUP(H959,#REF!,3,FALSE)</f>
        <v>#REF!</v>
      </c>
      <c r="AK959" s="185"/>
      <c r="AL959" s="185"/>
      <c r="AM959" s="185" t="e">
        <f>VLOOKUP(CLEAN(H959),#REF!,7,FALSE)</f>
        <v>#REF!</v>
      </c>
      <c r="AN959" s="2" t="e">
        <f>VLOOKUP(H959,#REF!,8,FALSE)</f>
        <v>#REF!</v>
      </c>
      <c r="AO959" s="189" t="e">
        <f>VLOOKUP(H959,#REF!,2,FALSE)</f>
        <v>#REF!</v>
      </c>
      <c r="AP959" s="189" t="e">
        <f>VLOOKUP(H959,#REF!,2,FALSE)</f>
        <v>#REF!</v>
      </c>
      <c r="AQ959" s="189"/>
      <c r="AR959" s="2" t="e">
        <f>VLOOKUP(CLEAN(H959),#REF!,2,FALSE)</f>
        <v>#REF!</v>
      </c>
      <c r="AT959" s="2" t="e">
        <f>VLOOKUP(H959,#REF!,13,FALSE)</f>
        <v>#REF!</v>
      </c>
      <c r="AU959" s="2" t="e">
        <f>VLOOKUP(H959,#REF!,13,FALSE)</f>
        <v>#REF!</v>
      </c>
      <c r="AV959" s="2" t="e">
        <f>VLOOKUP(H959,#REF!,13,FALSE)</f>
        <v>#REF!</v>
      </c>
      <c r="AW959" s="2" t="e">
        <f>VLOOKUP(H959,#REF!,13,FALSE)</f>
        <v>#REF!</v>
      </c>
      <c r="AX959" s="2" t="e">
        <f>VLOOKUP(H959,#REF!,9,FALSE)</f>
        <v>#REF!</v>
      </c>
      <c r="AZ959" s="2" t="e">
        <f>VLOOKUP(H959,#REF!,2,FALSE)</f>
        <v>#REF!</v>
      </c>
      <c r="BF959" s="189" t="e">
        <f>VLOOKUP(CLEAN(H959),#REF!,2,FALSE)</f>
        <v>#REF!</v>
      </c>
      <c r="BG959" s="189" t="e">
        <f>T959-BF959</f>
        <v>#REF!</v>
      </c>
      <c r="BO959" s="2" t="e">
        <f>VLOOKUP(H959,#REF!,13,FALSE)</f>
        <v>#REF!</v>
      </c>
      <c r="BP959" s="2" t="e">
        <f>VLOOKUP(H959,#REF!,2,FALSE)</f>
        <v>#REF!</v>
      </c>
      <c r="BQ959" s="2" t="e">
        <f>VLOOKUP(H959,#REF!,13,FALSE)</f>
        <v>#REF!</v>
      </c>
      <c r="BR959" s="2" t="e">
        <f>VLOOKUP(H959,#REF!,3,FALSE)</f>
        <v>#REF!</v>
      </c>
    </row>
    <row r="960" spans="1:70" s="2" customFormat="1" ht="15" customHeight="1" outlineLevel="2">
      <c r="A960" s="5">
        <v>33</v>
      </c>
      <c r="B960" s="5" t="s">
        <v>5</v>
      </c>
      <c r="C960" s="5" t="s">
        <v>302</v>
      </c>
      <c r="D960" s="5" t="s">
        <v>148</v>
      </c>
      <c r="E960" s="5" t="s">
        <v>148</v>
      </c>
      <c r="F960" s="5" t="s">
        <v>77</v>
      </c>
      <c r="G960" s="5" t="s">
        <v>144</v>
      </c>
      <c r="H960" s="12">
        <v>30326872</v>
      </c>
      <c r="I960" s="42" t="str">
        <f t="shared" si="577"/>
        <v>30326872-EJECUCION</v>
      </c>
      <c r="J960" s="12"/>
      <c r="K960" s="307" t="str">
        <f t="shared" si="578"/>
        <v>30326872</v>
      </c>
      <c r="L960" s="15" t="s">
        <v>459</v>
      </c>
      <c r="M960" s="23">
        <v>60000000</v>
      </c>
      <c r="N960" s="34">
        <v>59123879</v>
      </c>
      <c r="O960" s="34">
        <v>0</v>
      </c>
      <c r="P960" s="310">
        <v>0</v>
      </c>
      <c r="Q960" s="34">
        <v>0</v>
      </c>
      <c r="R960" s="308">
        <v>0</v>
      </c>
      <c r="S960" s="34">
        <f t="shared" si="579"/>
        <v>0</v>
      </c>
      <c r="T960" s="34">
        <v>0</v>
      </c>
      <c r="U960" s="34">
        <v>0</v>
      </c>
      <c r="V960" s="34">
        <f>P960+Q960+R960+T960+U960</f>
        <v>0</v>
      </c>
      <c r="W960" s="34">
        <f>O960-V960</f>
        <v>0</v>
      </c>
      <c r="X960" s="34">
        <f>M960-(N960+O960)</f>
        <v>876121</v>
      </c>
      <c r="Y960" s="48" t="s">
        <v>239</v>
      </c>
      <c r="Z960" s="48" t="s">
        <v>12</v>
      </c>
      <c r="AA960" s="2" t="s">
        <v>841</v>
      </c>
      <c r="AB960" s="2" t="e">
        <f>VLOOKUP(H960,#REF!,2,FALSE)</f>
        <v>#REF!</v>
      </c>
      <c r="AC960" s="2" t="e">
        <f>VLOOKUP(I960,#REF!,2,FALSE)</f>
        <v>#REF!</v>
      </c>
      <c r="AD960" s="2" t="e">
        <f>VLOOKUP(H960,#REF!,13,FALSE)</f>
        <v>#REF!</v>
      </c>
      <c r="AE960" s="2" t="e">
        <f>VLOOKUP(I960,#REF!,7,FALSE)</f>
        <v>#REF!</v>
      </c>
      <c r="AG960" s="2" t="e">
        <f>VLOOKUP(H960,#REF!,13,FALSE)</f>
        <v>#REF!</v>
      </c>
      <c r="AH960" s="2" t="e">
        <f>VLOOKUP(I960,#REF!,2,FALSE)</f>
        <v>#REF!</v>
      </c>
      <c r="AJ960" s="185" t="e">
        <f>VLOOKUP(H960,#REF!,3,FALSE)</f>
        <v>#REF!</v>
      </c>
      <c r="AK960" s="185"/>
      <c r="AL960" s="185"/>
      <c r="AM960" s="185" t="e">
        <f>VLOOKUP(CLEAN(H960),#REF!,7,FALSE)</f>
        <v>#REF!</v>
      </c>
      <c r="AN960" s="2" t="e">
        <f>VLOOKUP(H960,#REF!,8,FALSE)</f>
        <v>#REF!</v>
      </c>
      <c r="AO960" s="189" t="e">
        <f>VLOOKUP(H960,#REF!,2,FALSE)</f>
        <v>#REF!</v>
      </c>
      <c r="AP960" s="189" t="e">
        <f>VLOOKUP(H960,#REF!,2,FALSE)</f>
        <v>#REF!</v>
      </c>
      <c r="AQ960" s="189"/>
      <c r="AR960" s="2" t="e">
        <f>VLOOKUP(CLEAN(H960),#REF!,2,FALSE)</f>
        <v>#REF!</v>
      </c>
      <c r="AT960" s="2" t="e">
        <f>VLOOKUP(H960,#REF!,13,FALSE)</f>
        <v>#REF!</v>
      </c>
      <c r="AU960" s="2" t="e">
        <f>VLOOKUP(H960,#REF!,13,FALSE)</f>
        <v>#REF!</v>
      </c>
      <c r="AV960" s="2" t="e">
        <f>VLOOKUP(H960,#REF!,13,FALSE)</f>
        <v>#REF!</v>
      </c>
      <c r="AW960" s="2" t="e">
        <f>VLOOKUP(H960,#REF!,13,FALSE)</f>
        <v>#REF!</v>
      </c>
      <c r="AX960" s="2" t="e">
        <f>VLOOKUP(H960,#REF!,9,FALSE)</f>
        <v>#REF!</v>
      </c>
      <c r="AZ960" s="2" t="e">
        <f>VLOOKUP(H960,#REF!,2,FALSE)</f>
        <v>#REF!</v>
      </c>
      <c r="BF960" s="189" t="e">
        <f>VLOOKUP(CLEAN(H960),#REF!,2,FALSE)</f>
        <v>#REF!</v>
      </c>
      <c r="BG960" s="189" t="e">
        <f>T960-BF960</f>
        <v>#REF!</v>
      </c>
      <c r="BO960" s="2" t="e">
        <f>VLOOKUP(H960,#REF!,13,FALSE)</f>
        <v>#REF!</v>
      </c>
      <c r="BP960" s="2" t="e">
        <f>VLOOKUP(H960,#REF!,2,FALSE)</f>
        <v>#REF!</v>
      </c>
      <c r="BQ960" s="2" t="e">
        <f>VLOOKUP(H960,#REF!,13,FALSE)</f>
        <v>#REF!</v>
      </c>
      <c r="BR960" s="2" t="e">
        <f>VLOOKUP(H960,#REF!,3,FALSE)</f>
        <v>#REF!</v>
      </c>
    </row>
    <row r="961" spans="1:70" s="2" customFormat="1" ht="15" customHeight="1" outlineLevel="2">
      <c r="A961" s="5">
        <v>33</v>
      </c>
      <c r="B961" s="5" t="s">
        <v>5</v>
      </c>
      <c r="C961" s="5" t="s">
        <v>301</v>
      </c>
      <c r="D961" s="5" t="s">
        <v>148</v>
      </c>
      <c r="E961" s="5" t="s">
        <v>148</v>
      </c>
      <c r="F961" s="5" t="s">
        <v>77</v>
      </c>
      <c r="G961" s="5" t="s">
        <v>144</v>
      </c>
      <c r="H961" s="12">
        <v>30341732</v>
      </c>
      <c r="I961" s="311" t="str">
        <f t="shared" si="577"/>
        <v>30341732-EJECUCION</v>
      </c>
      <c r="J961" s="190"/>
      <c r="K961" s="309" t="str">
        <f t="shared" si="578"/>
        <v>30341732</v>
      </c>
      <c r="L961" s="15" t="s">
        <v>526</v>
      </c>
      <c r="M961" s="23">
        <f>378000000+4821104</f>
        <v>382821104</v>
      </c>
      <c r="N961" s="34">
        <v>287548000</v>
      </c>
      <c r="O961" s="34">
        <v>90452000</v>
      </c>
      <c r="P961" s="310">
        <v>45024120</v>
      </c>
      <c r="Q961" s="34">
        <v>0</v>
      </c>
      <c r="R961" s="308">
        <v>45248984</v>
      </c>
      <c r="S961" s="34">
        <f t="shared" si="579"/>
        <v>90273104</v>
      </c>
      <c r="T961" s="34">
        <v>0</v>
      </c>
      <c r="U961" s="34">
        <v>0</v>
      </c>
      <c r="V961" s="34">
        <f>P961+Q961+R961+T961+U961</f>
        <v>90273104</v>
      </c>
      <c r="W961" s="34">
        <f>O961-V961</f>
        <v>178896</v>
      </c>
      <c r="X961" s="34">
        <f>M961-(N961+O961)</f>
        <v>4821104</v>
      </c>
      <c r="Y961" s="48" t="s">
        <v>239</v>
      </c>
      <c r="Z961" s="48" t="s">
        <v>12</v>
      </c>
      <c r="AA961" s="2" t="e">
        <v>#N/A</v>
      </c>
      <c r="AB961" s="2" t="e">
        <f>VLOOKUP(H961,#REF!,2,FALSE)</f>
        <v>#REF!</v>
      </c>
      <c r="AC961" s="2" t="e">
        <f>VLOOKUP(I961,#REF!,2,FALSE)</f>
        <v>#REF!</v>
      </c>
      <c r="AD961" s="2" t="e">
        <f>VLOOKUP(H961,#REF!,13,FALSE)</f>
        <v>#REF!</v>
      </c>
      <c r="AE961" s="2" t="e">
        <f>VLOOKUP(I961,#REF!,7,FALSE)</f>
        <v>#REF!</v>
      </c>
      <c r="AG961" s="2" t="e">
        <f>VLOOKUP(H961,#REF!,13,FALSE)</f>
        <v>#REF!</v>
      </c>
      <c r="AH961" s="2" t="e">
        <f>VLOOKUP(I961,#REF!,2,FALSE)</f>
        <v>#REF!</v>
      </c>
      <c r="AJ961" s="185" t="e">
        <f>VLOOKUP(H961,#REF!,3,FALSE)</f>
        <v>#REF!</v>
      </c>
      <c r="AK961" s="185"/>
      <c r="AL961" s="185"/>
      <c r="AM961" s="185" t="e">
        <f>VLOOKUP(CLEAN(H961),#REF!,7,FALSE)</f>
        <v>#REF!</v>
      </c>
      <c r="AN961" s="2" t="e">
        <f>VLOOKUP(H961,#REF!,8,FALSE)</f>
        <v>#REF!</v>
      </c>
      <c r="AO961" s="189" t="e">
        <f>VLOOKUP(H961,#REF!,2,FALSE)</f>
        <v>#REF!</v>
      </c>
      <c r="AP961" s="189" t="e">
        <f>VLOOKUP(H961,#REF!,2,FALSE)</f>
        <v>#REF!</v>
      </c>
      <c r="AQ961" s="189"/>
      <c r="AR961" s="2" t="e">
        <f>VLOOKUP(CLEAN(H961),#REF!,2,FALSE)</f>
        <v>#REF!</v>
      </c>
      <c r="AT961" s="2" t="e">
        <f>VLOOKUP(H961,#REF!,13,FALSE)</f>
        <v>#REF!</v>
      </c>
      <c r="AU961" s="2" t="e">
        <f>VLOOKUP(H961,#REF!,13,FALSE)</f>
        <v>#REF!</v>
      </c>
      <c r="AV961" s="2" t="e">
        <f>VLOOKUP(H961,#REF!,13,FALSE)</f>
        <v>#REF!</v>
      </c>
      <c r="AW961" s="2" t="e">
        <f>VLOOKUP(H961,#REF!,13,FALSE)</f>
        <v>#REF!</v>
      </c>
      <c r="AX961" s="2" t="e">
        <f>VLOOKUP(H961,#REF!,9,FALSE)</f>
        <v>#REF!</v>
      </c>
      <c r="AZ961" s="189" t="e">
        <f>VLOOKUP(H961,#REF!,2,FALSE)</f>
        <v>#REF!</v>
      </c>
      <c r="BF961" s="189" t="e">
        <f>VLOOKUP(CLEAN(H961),#REF!,2,FALSE)</f>
        <v>#REF!</v>
      </c>
      <c r="BG961" s="189" t="e">
        <f>T961-BF961</f>
        <v>#REF!</v>
      </c>
      <c r="BO961" s="2" t="e">
        <f>VLOOKUP(H961,#REF!,13,FALSE)</f>
        <v>#REF!</v>
      </c>
      <c r="BP961" s="2" t="e">
        <f>VLOOKUP(H961,#REF!,2,FALSE)</f>
        <v>#REF!</v>
      </c>
      <c r="BQ961" s="2" t="e">
        <f>VLOOKUP(H961,#REF!,13,FALSE)</f>
        <v>#REF!</v>
      </c>
      <c r="BR961" s="2" t="e">
        <f>VLOOKUP(H961,#REF!,3,FALSE)</f>
        <v>#REF!</v>
      </c>
    </row>
    <row r="962" spans="1:70" s="2" customFormat="1" ht="15" customHeight="1" outlineLevel="2">
      <c r="A962" s="5">
        <v>33</v>
      </c>
      <c r="B962" s="5" t="s">
        <v>5</v>
      </c>
      <c r="C962" s="5" t="s">
        <v>275</v>
      </c>
      <c r="D962" s="5" t="s">
        <v>148</v>
      </c>
      <c r="E962" s="5" t="s">
        <v>148</v>
      </c>
      <c r="F962" s="5" t="s">
        <v>77</v>
      </c>
      <c r="G962" s="5" t="s">
        <v>144</v>
      </c>
      <c r="H962" s="12">
        <v>30342073</v>
      </c>
      <c r="I962" s="42" t="str">
        <f t="shared" si="577"/>
        <v>30342073-EJECUCION</v>
      </c>
      <c r="J962" s="12"/>
      <c r="K962" s="307" t="str">
        <f t="shared" si="578"/>
        <v>30342073</v>
      </c>
      <c r="L962" s="15" t="s">
        <v>99</v>
      </c>
      <c r="M962" s="23">
        <v>960000000</v>
      </c>
      <c r="N962" s="34">
        <v>482500000</v>
      </c>
      <c r="O962" s="34">
        <f>377500000-45024120-45248984</f>
        <v>287226896</v>
      </c>
      <c r="P962" s="310">
        <v>0</v>
      </c>
      <c r="Q962" s="34">
        <v>0</v>
      </c>
      <c r="R962" s="308">
        <v>31494</v>
      </c>
      <c r="S962" s="34">
        <f t="shared" si="579"/>
        <v>31494</v>
      </c>
      <c r="T962" s="34">
        <v>3147855</v>
      </c>
      <c r="U962" s="34">
        <v>1400000</v>
      </c>
      <c r="V962" s="34">
        <f>P962+Q962+R962+T962+U962</f>
        <v>4579349</v>
      </c>
      <c r="W962" s="34">
        <f>O962-V962</f>
        <v>282647547</v>
      </c>
      <c r="X962" s="34">
        <f>M962-(N962+O962)</f>
        <v>190273104</v>
      </c>
      <c r="Y962" s="48" t="s">
        <v>239</v>
      </c>
      <c r="Z962" s="48" t="s">
        <v>8</v>
      </c>
      <c r="AA962" s="2" t="s">
        <v>841</v>
      </c>
      <c r="AB962" s="2" t="e">
        <f>VLOOKUP(H962,#REF!,2,FALSE)</f>
        <v>#REF!</v>
      </c>
      <c r="AC962" s="2" t="e">
        <f>VLOOKUP(I962,#REF!,2,FALSE)</f>
        <v>#REF!</v>
      </c>
      <c r="AD962" s="2" t="e">
        <f>VLOOKUP(H962,#REF!,13,FALSE)</f>
        <v>#REF!</v>
      </c>
      <c r="AE962" s="2" t="e">
        <f>VLOOKUP(I962,#REF!,7,FALSE)</f>
        <v>#REF!</v>
      </c>
      <c r="AG962" s="2" t="e">
        <f>VLOOKUP(H962,#REF!,13,FALSE)</f>
        <v>#REF!</v>
      </c>
      <c r="AH962" s="2" t="e">
        <f>VLOOKUP(I962,#REF!,2,FALSE)</f>
        <v>#REF!</v>
      </c>
      <c r="AJ962" s="185" t="e">
        <f>VLOOKUP(H962,#REF!,3,FALSE)</f>
        <v>#REF!</v>
      </c>
      <c r="AK962" s="185"/>
      <c r="AL962" s="185"/>
      <c r="AM962" s="185" t="e">
        <f>VLOOKUP(CLEAN(H962),#REF!,7,FALSE)</f>
        <v>#REF!</v>
      </c>
      <c r="AN962" s="2" t="e">
        <f>VLOOKUP(H962,#REF!,8,FALSE)</f>
        <v>#REF!</v>
      </c>
      <c r="AO962" s="189" t="e">
        <f>VLOOKUP(H962,#REF!,2,FALSE)</f>
        <v>#REF!</v>
      </c>
      <c r="AP962" s="189" t="e">
        <f>VLOOKUP(H962,#REF!,2,FALSE)</f>
        <v>#REF!</v>
      </c>
      <c r="AQ962" s="189" t="e">
        <f t="shared" ref="AQ962:AQ963" si="580">AO962-AP962</f>
        <v>#REF!</v>
      </c>
      <c r="AR962" s="2" t="e">
        <f>VLOOKUP(CLEAN(H962),#REF!,2,FALSE)</f>
        <v>#REF!</v>
      </c>
      <c r="AT962" s="2" t="e">
        <f>VLOOKUP(H962,#REF!,13,FALSE)</f>
        <v>#REF!</v>
      </c>
      <c r="AU962" s="2" t="e">
        <f>VLOOKUP(H962,#REF!,13,FALSE)</f>
        <v>#REF!</v>
      </c>
      <c r="AV962" s="2" t="e">
        <f>VLOOKUP(H962,#REF!,13,FALSE)</f>
        <v>#REF!</v>
      </c>
      <c r="AW962" s="2" t="e">
        <f>VLOOKUP(H962,#REF!,13,FALSE)</f>
        <v>#REF!</v>
      </c>
      <c r="AX962" s="2" t="e">
        <f>VLOOKUP(H962,#REF!,9,FALSE)</f>
        <v>#REF!</v>
      </c>
      <c r="AZ962" s="189" t="e">
        <f>VLOOKUP(H962,#REF!,2,FALSE)</f>
        <v>#REF!</v>
      </c>
      <c r="BF962" s="189" t="e">
        <f>VLOOKUP(CLEAN(H962),#REF!,2,FALSE)</f>
        <v>#REF!</v>
      </c>
      <c r="BG962" s="189" t="e">
        <f>T962-BF962</f>
        <v>#REF!</v>
      </c>
      <c r="BO962" s="2" t="e">
        <f>VLOOKUP(H962,#REF!,13,FALSE)</f>
        <v>#REF!</v>
      </c>
      <c r="BP962" s="2" t="e">
        <f>VLOOKUP(H962,#REF!,2,FALSE)</f>
        <v>#REF!</v>
      </c>
      <c r="BQ962" s="2" t="e">
        <f>VLOOKUP(H962,#REF!,13,FALSE)</f>
        <v>#REF!</v>
      </c>
      <c r="BR962" s="2" t="e">
        <f>VLOOKUP(H962,#REF!,3,FALSE)</f>
        <v>#REF!</v>
      </c>
    </row>
    <row r="963" spans="1:70" s="2" customFormat="1" ht="15" customHeight="1" outlineLevel="2">
      <c r="A963" s="5">
        <v>33</v>
      </c>
      <c r="B963" s="5" t="s">
        <v>5</v>
      </c>
      <c r="C963" s="5" t="s">
        <v>275</v>
      </c>
      <c r="D963" s="5" t="s">
        <v>148</v>
      </c>
      <c r="E963" s="5" t="s">
        <v>148</v>
      </c>
      <c r="F963" s="5" t="s">
        <v>77</v>
      </c>
      <c r="G963" s="5" t="s">
        <v>144</v>
      </c>
      <c r="H963" s="12">
        <v>30345125</v>
      </c>
      <c r="I963" s="42" t="str">
        <f t="shared" si="577"/>
        <v>30345125-EJECUCION</v>
      </c>
      <c r="J963" s="12"/>
      <c r="K963" s="307" t="str">
        <f t="shared" si="578"/>
        <v>30345125</v>
      </c>
      <c r="L963" s="15" t="s">
        <v>82</v>
      </c>
      <c r="M963" s="23">
        <v>1060000000</v>
      </c>
      <c r="N963" s="34">
        <v>790964379</v>
      </c>
      <c r="O963" s="34">
        <v>251286941</v>
      </c>
      <c r="P963" s="310">
        <v>0</v>
      </c>
      <c r="Q963" s="34">
        <v>0</v>
      </c>
      <c r="R963" s="308">
        <v>0</v>
      </c>
      <c r="S963" s="34">
        <f t="shared" si="579"/>
        <v>0</v>
      </c>
      <c r="T963" s="34">
        <v>762833</v>
      </c>
      <c r="U963" s="34">
        <v>0</v>
      </c>
      <c r="V963" s="34">
        <f>P963+Q963+R963+T963+U963</f>
        <v>762833</v>
      </c>
      <c r="W963" s="34">
        <f>O963-V963</f>
        <v>250524108</v>
      </c>
      <c r="X963" s="34">
        <f>M963-(N963+O963)</f>
        <v>17748680</v>
      </c>
      <c r="Y963" s="48" t="s">
        <v>239</v>
      </c>
      <c r="Z963" s="48" t="s">
        <v>8</v>
      </c>
      <c r="AA963" s="2" t="s">
        <v>841</v>
      </c>
      <c r="AB963" s="2" t="e">
        <f>VLOOKUP(H963,#REF!,2,FALSE)</f>
        <v>#REF!</v>
      </c>
      <c r="AC963" s="2" t="e">
        <f>VLOOKUP(I963,#REF!,2,FALSE)</f>
        <v>#REF!</v>
      </c>
      <c r="AD963" s="2" t="e">
        <f>VLOOKUP(H963,#REF!,13,FALSE)</f>
        <v>#REF!</v>
      </c>
      <c r="AE963" s="2" t="e">
        <f>VLOOKUP(I963,#REF!,7,FALSE)</f>
        <v>#REF!</v>
      </c>
      <c r="AG963" s="2" t="e">
        <f>VLOOKUP(H963,#REF!,13,FALSE)</f>
        <v>#REF!</v>
      </c>
      <c r="AH963" s="2" t="e">
        <f>VLOOKUP(I963,#REF!,2,FALSE)</f>
        <v>#REF!</v>
      </c>
      <c r="AJ963" s="185" t="e">
        <f>VLOOKUP(H963,#REF!,3,FALSE)</f>
        <v>#REF!</v>
      </c>
      <c r="AK963" s="185"/>
      <c r="AL963" s="185"/>
      <c r="AM963" s="185" t="e">
        <f>VLOOKUP(CLEAN(H963),#REF!,7,FALSE)</f>
        <v>#REF!</v>
      </c>
      <c r="AN963" s="2" t="e">
        <f>VLOOKUP(H963,#REF!,8,FALSE)</f>
        <v>#REF!</v>
      </c>
      <c r="AO963" s="189" t="e">
        <f>VLOOKUP(H963,#REF!,2,FALSE)</f>
        <v>#REF!</v>
      </c>
      <c r="AP963" s="189" t="e">
        <f>VLOOKUP(H963,#REF!,2,FALSE)</f>
        <v>#REF!</v>
      </c>
      <c r="AQ963" s="189" t="e">
        <f t="shared" si="580"/>
        <v>#REF!</v>
      </c>
      <c r="AR963" s="189" t="e">
        <f>VLOOKUP(CLEAN(H963),#REF!,2,FALSE)</f>
        <v>#REF!</v>
      </c>
      <c r="AS963" s="189" t="e">
        <f>T963-AR963</f>
        <v>#REF!</v>
      </c>
      <c r="AT963" s="2" t="e">
        <f>VLOOKUP(H963,#REF!,13,FALSE)</f>
        <v>#REF!</v>
      </c>
      <c r="AU963" s="2" t="e">
        <f>VLOOKUP(H963,#REF!,13,FALSE)</f>
        <v>#REF!</v>
      </c>
      <c r="AV963" s="2" t="e">
        <f>VLOOKUP(H963,#REF!,13,FALSE)</f>
        <v>#REF!</v>
      </c>
      <c r="AW963" s="2" t="e">
        <f>VLOOKUP(H963,#REF!,13,FALSE)</f>
        <v>#REF!</v>
      </c>
      <c r="AX963" s="2" t="e">
        <f>VLOOKUP(H963,#REF!,9,FALSE)</f>
        <v>#REF!</v>
      </c>
      <c r="AZ963" s="189" t="e">
        <f>VLOOKUP(H963,#REF!,2,FALSE)</f>
        <v>#REF!</v>
      </c>
      <c r="BF963" s="189" t="e">
        <f>VLOOKUP(CLEAN(H963),#REF!,2,FALSE)</f>
        <v>#REF!</v>
      </c>
      <c r="BG963" s="189" t="e">
        <f>T963-BF963</f>
        <v>#REF!</v>
      </c>
      <c r="BO963" s="2" t="e">
        <f>VLOOKUP(H963,#REF!,13,FALSE)</f>
        <v>#REF!</v>
      </c>
      <c r="BP963" s="2" t="e">
        <f>VLOOKUP(H963,#REF!,2,FALSE)</f>
        <v>#REF!</v>
      </c>
      <c r="BQ963" s="2" t="e">
        <f>VLOOKUP(H963,#REF!,13,FALSE)</f>
        <v>#REF!</v>
      </c>
      <c r="BR963" s="2" t="e">
        <f>VLOOKUP(H963,#REF!,3,FALSE)</f>
        <v>#REF!</v>
      </c>
    </row>
    <row r="964" spans="1:70" s="2" customFormat="1" ht="15" customHeight="1" outlineLevel="2">
      <c r="A964" s="5">
        <v>33</v>
      </c>
      <c r="B964" s="5" t="s">
        <v>5</v>
      </c>
      <c r="C964" s="5" t="s">
        <v>275</v>
      </c>
      <c r="D964" s="5" t="s">
        <v>148</v>
      </c>
      <c r="E964" s="5" t="s">
        <v>148</v>
      </c>
      <c r="F964" s="5" t="s">
        <v>77</v>
      </c>
      <c r="G964" s="5" t="s">
        <v>144</v>
      </c>
      <c r="H964" s="12">
        <v>30342023</v>
      </c>
      <c r="I964" s="42" t="str">
        <f t="shared" si="577"/>
        <v>30342023-EJECUCION</v>
      </c>
      <c r="J964" s="12"/>
      <c r="K964" s="307" t="str">
        <f t="shared" si="578"/>
        <v>30342023</v>
      </c>
      <c r="L964" s="15" t="s">
        <v>498</v>
      </c>
      <c r="M964" s="23">
        <v>602433000</v>
      </c>
      <c r="N964" s="34">
        <v>184553121</v>
      </c>
      <c r="O964" s="34">
        <v>182650500</v>
      </c>
      <c r="P964" s="310">
        <v>0</v>
      </c>
      <c r="Q964" s="34">
        <v>0</v>
      </c>
      <c r="R964" s="308">
        <v>0</v>
      </c>
      <c r="S964" s="34">
        <f t="shared" si="579"/>
        <v>0</v>
      </c>
      <c r="T964" s="34">
        <v>0</v>
      </c>
      <c r="U964" s="34">
        <v>0</v>
      </c>
      <c r="V964" s="34">
        <f>P964+Q964+R964+T964+U964</f>
        <v>0</v>
      </c>
      <c r="W964" s="34">
        <f>O964-V964</f>
        <v>182650500</v>
      </c>
      <c r="X964" s="34">
        <f>M964-(N964+O964)</f>
        <v>235229379</v>
      </c>
      <c r="Y964" s="48" t="s">
        <v>239</v>
      </c>
      <c r="Z964" s="48" t="s">
        <v>8</v>
      </c>
      <c r="AA964" s="2" t="s">
        <v>841</v>
      </c>
      <c r="AB964" s="2" t="e">
        <f>VLOOKUP(H964,#REF!,2,FALSE)</f>
        <v>#REF!</v>
      </c>
      <c r="AC964" s="2" t="e">
        <f>VLOOKUP(I964,#REF!,2,FALSE)</f>
        <v>#REF!</v>
      </c>
      <c r="AD964" s="2" t="e">
        <f>VLOOKUP(H964,#REF!,13,FALSE)</f>
        <v>#REF!</v>
      </c>
      <c r="AE964" s="177" t="e">
        <f>VLOOKUP(I964,#REF!,7,FALSE)</f>
        <v>#REF!</v>
      </c>
      <c r="AG964" s="2" t="e">
        <f>VLOOKUP(H964,#REF!,13,FALSE)</f>
        <v>#REF!</v>
      </c>
      <c r="AH964" s="2" t="e">
        <f>VLOOKUP(I964,#REF!,2,FALSE)</f>
        <v>#REF!</v>
      </c>
      <c r="AJ964" s="185" t="e">
        <f>VLOOKUP(H964,#REF!,3,FALSE)</f>
        <v>#REF!</v>
      </c>
      <c r="AK964" s="185"/>
      <c r="AL964" s="185"/>
      <c r="AM964" s="185" t="e">
        <f>VLOOKUP(CLEAN(H964),#REF!,7,FALSE)</f>
        <v>#REF!</v>
      </c>
      <c r="AN964" s="2" t="e">
        <f>VLOOKUP(H964,#REF!,8,FALSE)</f>
        <v>#REF!</v>
      </c>
      <c r="AO964" s="189" t="e">
        <f>VLOOKUP(H964,#REF!,2,FALSE)</f>
        <v>#REF!</v>
      </c>
      <c r="AP964" s="189" t="e">
        <f>VLOOKUP(H964,#REF!,2,FALSE)</f>
        <v>#REF!</v>
      </c>
      <c r="AQ964" s="189"/>
      <c r="AR964" s="2" t="e">
        <f>VLOOKUP(CLEAN(H964),#REF!,2,FALSE)</f>
        <v>#REF!</v>
      </c>
      <c r="AT964" s="2" t="e">
        <f>VLOOKUP(H964,#REF!,13,FALSE)</f>
        <v>#REF!</v>
      </c>
      <c r="AU964" s="2" t="e">
        <f>VLOOKUP(H964,#REF!,13,FALSE)</f>
        <v>#REF!</v>
      </c>
      <c r="AV964" s="2" t="e">
        <f>VLOOKUP(H964,#REF!,13,FALSE)</f>
        <v>#REF!</v>
      </c>
      <c r="AW964" s="2" t="e">
        <f>VLOOKUP(H964,#REF!,13,FALSE)</f>
        <v>#REF!</v>
      </c>
      <c r="AX964" s="2" t="e">
        <f>VLOOKUP(H964,#REF!,9,FALSE)</f>
        <v>#REF!</v>
      </c>
      <c r="AZ964" s="2" t="e">
        <f>VLOOKUP(H964,#REF!,2,FALSE)</f>
        <v>#REF!</v>
      </c>
      <c r="BF964" s="189" t="e">
        <f>VLOOKUP(CLEAN(H964),#REF!,2,FALSE)</f>
        <v>#REF!</v>
      </c>
      <c r="BG964" s="189" t="e">
        <f>T964-BF964</f>
        <v>#REF!</v>
      </c>
      <c r="BO964" s="2" t="e">
        <f>VLOOKUP(H964,#REF!,13,FALSE)</f>
        <v>#REF!</v>
      </c>
      <c r="BP964" s="2" t="e">
        <f>VLOOKUP(H964,#REF!,2,FALSE)</f>
        <v>#REF!</v>
      </c>
      <c r="BQ964" s="2" t="e">
        <f>VLOOKUP(H964,#REF!,13,FALSE)</f>
        <v>#REF!</v>
      </c>
      <c r="BR964" s="2" t="e">
        <f>VLOOKUP(H964,#REF!,3,FALSE)</f>
        <v>#REF!</v>
      </c>
    </row>
    <row r="965" spans="1:70" s="2" customFormat="1" ht="15" customHeight="1" outlineLevel="2">
      <c r="A965" s="5">
        <v>33</v>
      </c>
      <c r="B965" s="5" t="s">
        <v>5</v>
      </c>
      <c r="C965" s="5" t="s">
        <v>302</v>
      </c>
      <c r="D965" s="5" t="s">
        <v>148</v>
      </c>
      <c r="E965" s="5" t="s">
        <v>148</v>
      </c>
      <c r="F965" s="5" t="s">
        <v>77</v>
      </c>
      <c r="G965" s="5" t="s">
        <v>144</v>
      </c>
      <c r="H965" s="12">
        <v>30329922</v>
      </c>
      <c r="I965" s="42" t="str">
        <f t="shared" si="577"/>
        <v>30329922-EJECUCION</v>
      </c>
      <c r="J965" s="12"/>
      <c r="K965" s="307" t="str">
        <f t="shared" si="578"/>
        <v>30329922</v>
      </c>
      <c r="L965" s="15" t="s">
        <v>101</v>
      </c>
      <c r="M965" s="23">
        <v>530000000</v>
      </c>
      <c r="N965" s="34">
        <v>72327909</v>
      </c>
      <c r="O965" s="34">
        <v>200000000</v>
      </c>
      <c r="P965" s="310">
        <v>0</v>
      </c>
      <c r="Q965" s="34">
        <v>0</v>
      </c>
      <c r="R965" s="308">
        <v>0</v>
      </c>
      <c r="S965" s="34">
        <f t="shared" si="579"/>
        <v>0</v>
      </c>
      <c r="T965" s="34">
        <v>0</v>
      </c>
      <c r="U965" s="34">
        <v>0</v>
      </c>
      <c r="V965" s="34">
        <f>P965+Q965+R965+T965+U965</f>
        <v>0</v>
      </c>
      <c r="W965" s="34">
        <f>O965-V965</f>
        <v>200000000</v>
      </c>
      <c r="X965" s="34">
        <f>M965-(N965+O965)</f>
        <v>257672091</v>
      </c>
      <c r="Y965" s="48" t="s">
        <v>239</v>
      </c>
      <c r="Z965" s="48" t="s">
        <v>8</v>
      </c>
      <c r="AA965" s="2" t="e">
        <v>#N/A</v>
      </c>
      <c r="AB965" s="2" t="e">
        <f>VLOOKUP(H965,#REF!,2,FALSE)</f>
        <v>#REF!</v>
      </c>
      <c r="AC965" s="2" t="e">
        <f>VLOOKUP(I965,#REF!,2,FALSE)</f>
        <v>#REF!</v>
      </c>
      <c r="AD965" s="2" t="e">
        <f>VLOOKUP(H965,#REF!,13,FALSE)</f>
        <v>#REF!</v>
      </c>
      <c r="AE965" s="2" t="e">
        <f>VLOOKUP(I965,#REF!,7,FALSE)</f>
        <v>#REF!</v>
      </c>
      <c r="AG965" s="2" t="e">
        <f>VLOOKUP(H965,#REF!,13,FALSE)</f>
        <v>#REF!</v>
      </c>
      <c r="AH965" s="2" t="e">
        <f>VLOOKUP(I965,#REF!,2,FALSE)</f>
        <v>#REF!</v>
      </c>
      <c r="AJ965" s="185" t="e">
        <f>VLOOKUP(H965,#REF!,3,FALSE)</f>
        <v>#REF!</v>
      </c>
      <c r="AK965" s="185"/>
      <c r="AL965" s="185"/>
      <c r="AM965" s="185" t="e">
        <f>VLOOKUP(CLEAN(H965),#REF!,7,FALSE)</f>
        <v>#REF!</v>
      </c>
      <c r="AN965" s="2" t="e">
        <f>VLOOKUP(H965,#REF!,8,FALSE)</f>
        <v>#REF!</v>
      </c>
      <c r="AO965" s="189" t="e">
        <f>VLOOKUP(H965,#REF!,2,FALSE)</f>
        <v>#REF!</v>
      </c>
      <c r="AP965" s="189" t="e">
        <f>VLOOKUP(H965,#REF!,2,FALSE)</f>
        <v>#REF!</v>
      </c>
      <c r="AQ965" s="189"/>
      <c r="AR965" s="2" t="e">
        <f>VLOOKUP(CLEAN(H965),#REF!,2,FALSE)</f>
        <v>#REF!</v>
      </c>
      <c r="AT965" s="2" t="e">
        <f>VLOOKUP(H965,#REF!,13,FALSE)</f>
        <v>#REF!</v>
      </c>
      <c r="AU965" s="2" t="e">
        <f>VLOOKUP(H965,#REF!,13,FALSE)</f>
        <v>#REF!</v>
      </c>
      <c r="AV965" s="2" t="e">
        <f>VLOOKUP(H965,#REF!,13,FALSE)</f>
        <v>#REF!</v>
      </c>
      <c r="AW965" s="2" t="e">
        <f>VLOOKUP(H965,#REF!,13,FALSE)</f>
        <v>#REF!</v>
      </c>
      <c r="AX965" s="2" t="e">
        <f>VLOOKUP(H965,#REF!,9,FALSE)</f>
        <v>#REF!</v>
      </c>
      <c r="AZ965" s="2" t="e">
        <f>VLOOKUP(H965,#REF!,2,FALSE)</f>
        <v>#REF!</v>
      </c>
      <c r="BF965" s="189" t="e">
        <f>VLOOKUP(CLEAN(H965),#REF!,2,FALSE)</f>
        <v>#REF!</v>
      </c>
      <c r="BG965" s="189" t="e">
        <f>T965-BF965</f>
        <v>#REF!</v>
      </c>
      <c r="BO965" s="2" t="e">
        <f>VLOOKUP(H965,#REF!,13,FALSE)</f>
        <v>#REF!</v>
      </c>
      <c r="BP965" s="2" t="e">
        <f>VLOOKUP(H965,#REF!,2,FALSE)</f>
        <v>#REF!</v>
      </c>
      <c r="BQ965" s="2" t="e">
        <f>VLOOKUP(H965,#REF!,13,FALSE)</f>
        <v>#REF!</v>
      </c>
      <c r="BR965" s="2" t="e">
        <f>VLOOKUP(H965,#REF!,3,FALSE)</f>
        <v>#REF!</v>
      </c>
    </row>
    <row r="966" spans="1:70" s="2" customFormat="1" ht="15" customHeight="1" outlineLevel="2">
      <c r="A966" s="5">
        <v>33</v>
      </c>
      <c r="B966" s="5" t="s">
        <v>5</v>
      </c>
      <c r="C966" s="5" t="s">
        <v>302</v>
      </c>
      <c r="D966" s="5" t="s">
        <v>148</v>
      </c>
      <c r="E966" s="5" t="s">
        <v>148</v>
      </c>
      <c r="F966" s="5" t="s">
        <v>77</v>
      </c>
      <c r="G966" s="5" t="s">
        <v>144</v>
      </c>
      <c r="H966" s="12">
        <v>30341173</v>
      </c>
      <c r="I966" s="42" t="str">
        <f t="shared" si="577"/>
        <v>30341173-EJECUCION</v>
      </c>
      <c r="J966" s="12"/>
      <c r="K966" s="307" t="str">
        <f t="shared" si="578"/>
        <v>30341173</v>
      </c>
      <c r="L966" s="15" t="s">
        <v>102</v>
      </c>
      <c r="M966" s="23">
        <v>450000000</v>
      </c>
      <c r="N966" s="34">
        <v>49745252</v>
      </c>
      <c r="O966" s="34">
        <v>250000000</v>
      </c>
      <c r="P966" s="310">
        <v>0</v>
      </c>
      <c r="Q966" s="34">
        <v>0</v>
      </c>
      <c r="R966" s="308">
        <v>0</v>
      </c>
      <c r="S966" s="34">
        <f t="shared" si="579"/>
        <v>0</v>
      </c>
      <c r="T966" s="34">
        <v>0</v>
      </c>
      <c r="U966" s="34">
        <v>0</v>
      </c>
      <c r="V966" s="34">
        <f>P966+Q966+R966+T966+U966</f>
        <v>0</v>
      </c>
      <c r="W966" s="34">
        <f>O966-V966</f>
        <v>250000000</v>
      </c>
      <c r="X966" s="34">
        <f>M966-(N966+O966)</f>
        <v>150254748</v>
      </c>
      <c r="Y966" s="48" t="s">
        <v>239</v>
      </c>
      <c r="Z966" s="48" t="s">
        <v>8</v>
      </c>
      <c r="AA966" s="2" t="e">
        <v>#N/A</v>
      </c>
      <c r="AB966" s="2" t="e">
        <f>VLOOKUP(H966,#REF!,2,FALSE)</f>
        <v>#REF!</v>
      </c>
      <c r="AC966" s="2" t="e">
        <f>VLOOKUP(I966,#REF!,2,FALSE)</f>
        <v>#REF!</v>
      </c>
      <c r="AD966" s="2" t="e">
        <f>VLOOKUP(H966,#REF!,13,FALSE)</f>
        <v>#REF!</v>
      </c>
      <c r="AE966" s="2" t="e">
        <f>VLOOKUP(I966,#REF!,7,FALSE)</f>
        <v>#REF!</v>
      </c>
      <c r="AG966" s="2" t="e">
        <f>VLOOKUP(H966,#REF!,13,FALSE)</f>
        <v>#REF!</v>
      </c>
      <c r="AH966" s="2" t="e">
        <f>VLOOKUP(I966,#REF!,2,FALSE)</f>
        <v>#REF!</v>
      </c>
      <c r="AJ966" s="185" t="e">
        <f>VLOOKUP(H966,#REF!,3,FALSE)</f>
        <v>#REF!</v>
      </c>
      <c r="AK966" s="185"/>
      <c r="AL966" s="185"/>
      <c r="AM966" s="185" t="e">
        <f>VLOOKUP(CLEAN(H966),#REF!,7,FALSE)</f>
        <v>#REF!</v>
      </c>
      <c r="AN966" s="2" t="e">
        <f>VLOOKUP(H966,#REF!,8,FALSE)</f>
        <v>#REF!</v>
      </c>
      <c r="AO966" s="189" t="e">
        <f>VLOOKUP(H966,#REF!,2,FALSE)</f>
        <v>#REF!</v>
      </c>
      <c r="AP966" s="189" t="e">
        <f>VLOOKUP(H966,#REF!,2,FALSE)</f>
        <v>#REF!</v>
      </c>
      <c r="AQ966" s="189"/>
      <c r="AR966" s="2" t="e">
        <f>VLOOKUP(CLEAN(H966),#REF!,2,FALSE)</f>
        <v>#REF!</v>
      </c>
      <c r="AT966" s="2" t="e">
        <f>VLOOKUP(H966,#REF!,13,FALSE)</f>
        <v>#REF!</v>
      </c>
      <c r="AU966" s="2" t="e">
        <f>VLOOKUP(H966,#REF!,13,FALSE)</f>
        <v>#REF!</v>
      </c>
      <c r="AV966" s="2" t="e">
        <f>VLOOKUP(H966,#REF!,13,FALSE)</f>
        <v>#REF!</v>
      </c>
      <c r="AW966" s="2" t="e">
        <f>VLOOKUP(H966,#REF!,13,FALSE)</f>
        <v>#REF!</v>
      </c>
      <c r="AX966" s="2" t="e">
        <f>VLOOKUP(H966,#REF!,9,FALSE)</f>
        <v>#REF!</v>
      </c>
      <c r="AZ966" s="2" t="e">
        <f>VLOOKUP(H966,#REF!,2,FALSE)</f>
        <v>#REF!</v>
      </c>
      <c r="BF966" s="189" t="e">
        <f>VLOOKUP(CLEAN(H966),#REF!,2,FALSE)</f>
        <v>#REF!</v>
      </c>
      <c r="BG966" s="189" t="e">
        <f>T966-BF966</f>
        <v>#REF!</v>
      </c>
      <c r="BO966" s="2" t="e">
        <f>VLOOKUP(H966,#REF!,13,FALSE)</f>
        <v>#REF!</v>
      </c>
      <c r="BP966" s="2" t="e">
        <f>VLOOKUP(H966,#REF!,2,FALSE)</f>
        <v>#REF!</v>
      </c>
      <c r="BQ966" s="2" t="e">
        <f>VLOOKUP(H966,#REF!,13,FALSE)</f>
        <v>#REF!</v>
      </c>
      <c r="BR966" s="2" t="e">
        <f>VLOOKUP(H966,#REF!,3,FALSE)</f>
        <v>#REF!</v>
      </c>
    </row>
    <row r="967" spans="1:70" s="2" customFormat="1" ht="15" customHeight="1" outlineLevel="2">
      <c r="A967" s="5">
        <v>33</v>
      </c>
      <c r="B967" s="5" t="s">
        <v>5</v>
      </c>
      <c r="C967" s="5" t="s">
        <v>302</v>
      </c>
      <c r="D967" s="5" t="s">
        <v>148</v>
      </c>
      <c r="E967" s="5" t="s">
        <v>148</v>
      </c>
      <c r="F967" s="5" t="s">
        <v>77</v>
      </c>
      <c r="G967" s="5" t="s">
        <v>144</v>
      </c>
      <c r="H967" s="12">
        <v>30341175</v>
      </c>
      <c r="I967" s="42" t="str">
        <f t="shared" si="577"/>
        <v>30341175-EJECUCION</v>
      </c>
      <c r="J967" s="12"/>
      <c r="K967" s="307" t="str">
        <f t="shared" si="578"/>
        <v>30341175</v>
      </c>
      <c r="L967" s="15" t="s">
        <v>92</v>
      </c>
      <c r="M967" s="23">
        <v>600000000</v>
      </c>
      <c r="N967" s="34">
        <v>80000000</v>
      </c>
      <c r="O967" s="34">
        <v>300000000</v>
      </c>
      <c r="P967" s="310">
        <v>0</v>
      </c>
      <c r="Q967" s="34">
        <v>0</v>
      </c>
      <c r="R967" s="308">
        <v>0</v>
      </c>
      <c r="S967" s="34">
        <f t="shared" si="579"/>
        <v>0</v>
      </c>
      <c r="T967" s="34">
        <v>0</v>
      </c>
      <c r="U967" s="34">
        <v>0</v>
      </c>
      <c r="V967" s="34">
        <f>P967+Q967+R967+T967+U967</f>
        <v>0</v>
      </c>
      <c r="W967" s="34">
        <f>O967-V967</f>
        <v>300000000</v>
      </c>
      <c r="X967" s="34">
        <f>M967-(N967+O967)</f>
        <v>220000000</v>
      </c>
      <c r="Y967" s="48" t="s">
        <v>239</v>
      </c>
      <c r="Z967" s="48" t="s">
        <v>8</v>
      </c>
      <c r="AA967" s="2" t="e">
        <v>#N/A</v>
      </c>
      <c r="AB967" s="2" t="e">
        <f>VLOOKUP(H967,#REF!,2,FALSE)</f>
        <v>#REF!</v>
      </c>
      <c r="AC967" s="2" t="e">
        <f>VLOOKUP(I967,#REF!,2,FALSE)</f>
        <v>#REF!</v>
      </c>
      <c r="AD967" s="2" t="e">
        <f>VLOOKUP(H967,#REF!,13,FALSE)</f>
        <v>#REF!</v>
      </c>
      <c r="AE967" s="2" t="e">
        <f>VLOOKUP(I967,#REF!,7,FALSE)</f>
        <v>#REF!</v>
      </c>
      <c r="AG967" s="2" t="e">
        <f>VLOOKUP(H967,#REF!,13,FALSE)</f>
        <v>#REF!</v>
      </c>
      <c r="AH967" s="2" t="e">
        <f>VLOOKUP(I967,#REF!,2,FALSE)</f>
        <v>#REF!</v>
      </c>
      <c r="AJ967" s="185" t="e">
        <f>VLOOKUP(H967,#REF!,3,FALSE)</f>
        <v>#REF!</v>
      </c>
      <c r="AK967" s="185"/>
      <c r="AL967" s="185"/>
      <c r="AM967" s="185" t="e">
        <f>VLOOKUP(CLEAN(H967),#REF!,7,FALSE)</f>
        <v>#REF!</v>
      </c>
      <c r="AN967" s="2" t="e">
        <f>VLOOKUP(H967,#REF!,8,FALSE)</f>
        <v>#REF!</v>
      </c>
      <c r="AO967" s="189" t="e">
        <f>VLOOKUP(H967,#REF!,2,FALSE)</f>
        <v>#REF!</v>
      </c>
      <c r="AP967" s="189" t="e">
        <f>VLOOKUP(H967,#REF!,2,FALSE)</f>
        <v>#REF!</v>
      </c>
      <c r="AQ967" s="189"/>
      <c r="AR967" s="2" t="e">
        <f>VLOOKUP(CLEAN(H967),#REF!,2,FALSE)</f>
        <v>#REF!</v>
      </c>
      <c r="AT967" s="2" t="e">
        <f>VLOOKUP(H967,#REF!,13,FALSE)</f>
        <v>#REF!</v>
      </c>
      <c r="AU967" s="2" t="e">
        <f>VLOOKUP(H967,#REF!,13,FALSE)</f>
        <v>#REF!</v>
      </c>
      <c r="AV967" s="2" t="e">
        <f>VLOOKUP(H967,#REF!,13,FALSE)</f>
        <v>#REF!</v>
      </c>
      <c r="AW967" s="2" t="e">
        <f>VLOOKUP(H967,#REF!,13,FALSE)</f>
        <v>#REF!</v>
      </c>
      <c r="AX967" s="2" t="e">
        <f>VLOOKUP(H967,#REF!,9,FALSE)</f>
        <v>#REF!</v>
      </c>
      <c r="AZ967" s="2" t="e">
        <f>VLOOKUP(H967,#REF!,2,FALSE)</f>
        <v>#REF!</v>
      </c>
      <c r="BF967" s="189" t="e">
        <f>VLOOKUP(CLEAN(H967),#REF!,2,FALSE)</f>
        <v>#REF!</v>
      </c>
      <c r="BG967" s="189" t="e">
        <f>T967-BF967</f>
        <v>#REF!</v>
      </c>
      <c r="BO967" s="2" t="e">
        <f>VLOOKUP(H967,#REF!,13,FALSE)</f>
        <v>#REF!</v>
      </c>
      <c r="BP967" s="2" t="e">
        <f>VLOOKUP(H967,#REF!,2,FALSE)</f>
        <v>#REF!</v>
      </c>
      <c r="BQ967" s="2" t="e">
        <f>VLOOKUP(H967,#REF!,13,FALSE)</f>
        <v>#REF!</v>
      </c>
      <c r="BR967" s="2" t="e">
        <f>VLOOKUP(H967,#REF!,3,FALSE)</f>
        <v>#REF!</v>
      </c>
    </row>
    <row r="968" spans="1:70" s="2" customFormat="1" ht="15" customHeight="1" outlineLevel="2">
      <c r="A968" s="5">
        <v>33</v>
      </c>
      <c r="B968" s="5" t="s">
        <v>5</v>
      </c>
      <c r="C968" s="5" t="s">
        <v>302</v>
      </c>
      <c r="D968" s="5" t="s">
        <v>148</v>
      </c>
      <c r="E968" s="5" t="s">
        <v>148</v>
      </c>
      <c r="F968" s="5" t="s">
        <v>77</v>
      </c>
      <c r="G968" s="5" t="s">
        <v>144</v>
      </c>
      <c r="H968" s="12">
        <v>30341424</v>
      </c>
      <c r="I968" s="42" t="str">
        <f t="shared" si="577"/>
        <v>30341424-EJECUCION</v>
      </c>
      <c r="J968" s="12"/>
      <c r="K968" s="307" t="str">
        <f t="shared" si="578"/>
        <v>30341424</v>
      </c>
      <c r="L968" s="15" t="s">
        <v>98</v>
      </c>
      <c r="M968" s="23">
        <v>169500000</v>
      </c>
      <c r="N968" s="34">
        <v>24997878</v>
      </c>
      <c r="O968" s="34">
        <v>80000000</v>
      </c>
      <c r="P968" s="310">
        <v>0</v>
      </c>
      <c r="Q968" s="34">
        <v>0</v>
      </c>
      <c r="R968" s="308">
        <v>0</v>
      </c>
      <c r="S968" s="34">
        <f t="shared" si="579"/>
        <v>0</v>
      </c>
      <c r="T968" s="34">
        <v>0</v>
      </c>
      <c r="U968" s="34">
        <v>0</v>
      </c>
      <c r="V968" s="34">
        <f>P968+Q968+R968+T968+U968</f>
        <v>0</v>
      </c>
      <c r="W968" s="34">
        <f>O968-V968</f>
        <v>80000000</v>
      </c>
      <c r="X968" s="34">
        <f>M968-(N968+O968)</f>
        <v>64502122</v>
      </c>
      <c r="Y968" s="48" t="s">
        <v>239</v>
      </c>
      <c r="Z968" s="48" t="s">
        <v>8</v>
      </c>
      <c r="AA968" s="2" t="e">
        <v>#N/A</v>
      </c>
      <c r="AB968" s="2" t="e">
        <f>VLOOKUP(H968,#REF!,2,FALSE)</f>
        <v>#REF!</v>
      </c>
      <c r="AC968" s="2" t="e">
        <f>VLOOKUP(I968,#REF!,2,FALSE)</f>
        <v>#REF!</v>
      </c>
      <c r="AD968" s="2" t="e">
        <f>VLOOKUP(H968,#REF!,13,FALSE)</f>
        <v>#REF!</v>
      </c>
      <c r="AE968" s="2" t="e">
        <f>VLOOKUP(I968,#REF!,7,FALSE)</f>
        <v>#REF!</v>
      </c>
      <c r="AG968" s="2" t="e">
        <f>VLOOKUP(H968,#REF!,13,FALSE)</f>
        <v>#REF!</v>
      </c>
      <c r="AH968" s="2" t="e">
        <f>VLOOKUP(I968,#REF!,2,FALSE)</f>
        <v>#REF!</v>
      </c>
      <c r="AJ968" s="185" t="e">
        <f>VLOOKUP(H968,#REF!,3,FALSE)</f>
        <v>#REF!</v>
      </c>
      <c r="AK968" s="185"/>
      <c r="AL968" s="185"/>
      <c r="AM968" s="185" t="e">
        <f>VLOOKUP(CLEAN(H968),#REF!,7,FALSE)</f>
        <v>#REF!</v>
      </c>
      <c r="AN968" s="2" t="e">
        <f>VLOOKUP(H968,#REF!,8,FALSE)</f>
        <v>#REF!</v>
      </c>
      <c r="AO968" s="189" t="e">
        <f>VLOOKUP(H968,#REF!,2,FALSE)</f>
        <v>#REF!</v>
      </c>
      <c r="AP968" s="189" t="e">
        <f>VLOOKUP(H968,#REF!,2,FALSE)</f>
        <v>#REF!</v>
      </c>
      <c r="AQ968" s="189"/>
      <c r="AR968" s="2" t="e">
        <f>VLOOKUP(CLEAN(H968),#REF!,2,FALSE)</f>
        <v>#REF!</v>
      </c>
      <c r="AT968" s="2" t="e">
        <f>VLOOKUP(H968,#REF!,13,FALSE)</f>
        <v>#REF!</v>
      </c>
      <c r="AU968" s="2" t="e">
        <f>VLOOKUP(H968,#REF!,13,FALSE)</f>
        <v>#REF!</v>
      </c>
      <c r="AV968" s="2" t="e">
        <f>VLOOKUP(H968,#REF!,13,FALSE)</f>
        <v>#REF!</v>
      </c>
      <c r="AW968" s="2" t="e">
        <f>VLOOKUP(H968,#REF!,13,FALSE)</f>
        <v>#REF!</v>
      </c>
      <c r="AX968" s="2" t="e">
        <f>VLOOKUP(H968,#REF!,9,FALSE)</f>
        <v>#REF!</v>
      </c>
      <c r="AZ968" s="2" t="e">
        <f>VLOOKUP(H968,#REF!,2,FALSE)</f>
        <v>#REF!</v>
      </c>
      <c r="BF968" s="189" t="e">
        <f>VLOOKUP(CLEAN(H968),#REF!,2,FALSE)</f>
        <v>#REF!</v>
      </c>
      <c r="BG968" s="189" t="e">
        <f>T968-BF968</f>
        <v>#REF!</v>
      </c>
      <c r="BO968" s="2" t="e">
        <f>VLOOKUP(H968,#REF!,13,FALSE)</f>
        <v>#REF!</v>
      </c>
      <c r="BP968" s="2" t="e">
        <f>VLOOKUP(H968,#REF!,2,FALSE)</f>
        <v>#REF!</v>
      </c>
      <c r="BQ968" s="2" t="e">
        <f>VLOOKUP(H968,#REF!,13,FALSE)</f>
        <v>#REF!</v>
      </c>
      <c r="BR968" s="2" t="e">
        <f>VLOOKUP(H968,#REF!,3,FALSE)</f>
        <v>#REF!</v>
      </c>
    </row>
    <row r="969" spans="1:70" s="2" customFormat="1" ht="15" customHeight="1" outlineLevel="2">
      <c r="A969" s="5">
        <v>33</v>
      </c>
      <c r="B969" s="5" t="s">
        <v>5</v>
      </c>
      <c r="C969" s="5" t="s">
        <v>302</v>
      </c>
      <c r="D969" s="5" t="s">
        <v>148</v>
      </c>
      <c r="E969" s="5" t="s">
        <v>148</v>
      </c>
      <c r="F969" s="5" t="s">
        <v>77</v>
      </c>
      <c r="G969" s="5" t="s">
        <v>144</v>
      </c>
      <c r="H969" s="12">
        <v>30341439</v>
      </c>
      <c r="I969" s="42" t="str">
        <f t="shared" si="577"/>
        <v>30341439-EJECUCION</v>
      </c>
      <c r="J969" s="12"/>
      <c r="K969" s="307" t="str">
        <f t="shared" si="578"/>
        <v>30341439</v>
      </c>
      <c r="L969" s="15" t="s">
        <v>100</v>
      </c>
      <c r="M969" s="23">
        <v>210000000</v>
      </c>
      <c r="N969" s="34">
        <v>0</v>
      </c>
      <c r="O969" s="34">
        <v>150000000</v>
      </c>
      <c r="P969" s="310">
        <v>0</v>
      </c>
      <c r="Q969" s="34">
        <v>0</v>
      </c>
      <c r="R969" s="308">
        <v>0</v>
      </c>
      <c r="S969" s="34">
        <f t="shared" si="579"/>
        <v>0</v>
      </c>
      <c r="T969" s="34">
        <v>0</v>
      </c>
      <c r="U969" s="34">
        <v>0</v>
      </c>
      <c r="V969" s="34">
        <f>P969+Q969+R969+T969+U969</f>
        <v>0</v>
      </c>
      <c r="W969" s="34">
        <f>O969-V969</f>
        <v>150000000</v>
      </c>
      <c r="X969" s="34">
        <f>M969-(N969+O969)</f>
        <v>60000000</v>
      </c>
      <c r="Y969" s="48" t="s">
        <v>239</v>
      </c>
      <c r="Z969" s="48" t="s">
        <v>8</v>
      </c>
      <c r="AA969" s="2" t="e">
        <v>#N/A</v>
      </c>
      <c r="AB969" s="2" t="e">
        <f>VLOOKUP(H969,#REF!,2,FALSE)</f>
        <v>#REF!</v>
      </c>
      <c r="AC969" s="2" t="e">
        <f>VLOOKUP(I969,#REF!,2,FALSE)</f>
        <v>#REF!</v>
      </c>
      <c r="AD969" s="2" t="e">
        <f>VLOOKUP(H969,#REF!,13,FALSE)</f>
        <v>#REF!</v>
      </c>
      <c r="AE969" s="2" t="e">
        <f>VLOOKUP(I969,#REF!,7,FALSE)</f>
        <v>#REF!</v>
      </c>
      <c r="AG969" s="2" t="e">
        <f>VLOOKUP(H969,#REF!,13,FALSE)</f>
        <v>#REF!</v>
      </c>
      <c r="AH969" s="2" t="e">
        <f>VLOOKUP(I969,#REF!,2,FALSE)</f>
        <v>#REF!</v>
      </c>
      <c r="AJ969" s="185" t="e">
        <f>VLOOKUP(H969,#REF!,3,FALSE)</f>
        <v>#REF!</v>
      </c>
      <c r="AK969" s="185"/>
      <c r="AL969" s="185"/>
      <c r="AM969" s="185" t="e">
        <f>VLOOKUP(CLEAN(H969),#REF!,7,FALSE)</f>
        <v>#REF!</v>
      </c>
      <c r="AN969" s="2" t="e">
        <f>VLOOKUP(H969,#REF!,8,FALSE)</f>
        <v>#REF!</v>
      </c>
      <c r="AO969" s="189" t="e">
        <f>VLOOKUP(H969,#REF!,2,FALSE)</f>
        <v>#REF!</v>
      </c>
      <c r="AP969" s="189" t="e">
        <f>VLOOKUP(H969,#REF!,2,FALSE)</f>
        <v>#REF!</v>
      </c>
      <c r="AQ969" s="189"/>
      <c r="AR969" s="2" t="e">
        <f>VLOOKUP(CLEAN(H969),#REF!,2,FALSE)</f>
        <v>#REF!</v>
      </c>
      <c r="AT969" s="2" t="e">
        <f>VLOOKUP(H969,#REF!,13,FALSE)</f>
        <v>#REF!</v>
      </c>
      <c r="AU969" s="2" t="e">
        <f>VLOOKUP(H969,#REF!,13,FALSE)</f>
        <v>#REF!</v>
      </c>
      <c r="AV969" s="2" t="e">
        <f>VLOOKUP(H969,#REF!,13,FALSE)</f>
        <v>#REF!</v>
      </c>
      <c r="AW969" s="2" t="e">
        <f>VLOOKUP(H969,#REF!,13,FALSE)</f>
        <v>#REF!</v>
      </c>
      <c r="AX969" s="2" t="e">
        <f>VLOOKUP(H969,#REF!,9,FALSE)</f>
        <v>#REF!</v>
      </c>
      <c r="AZ969" s="2" t="e">
        <f>VLOOKUP(H969,#REF!,2,FALSE)</f>
        <v>#REF!</v>
      </c>
      <c r="BF969" s="189" t="e">
        <f>VLOOKUP(CLEAN(H969),#REF!,2,FALSE)</f>
        <v>#REF!</v>
      </c>
      <c r="BG969" s="189" t="e">
        <f>T969-BF969</f>
        <v>#REF!</v>
      </c>
      <c r="BO969" s="2" t="e">
        <f>VLOOKUP(H969,#REF!,13,FALSE)</f>
        <v>#REF!</v>
      </c>
      <c r="BP969" s="2" t="e">
        <f>VLOOKUP(H969,#REF!,2,FALSE)</f>
        <v>#REF!</v>
      </c>
      <c r="BQ969" s="2" t="e">
        <f>VLOOKUP(H969,#REF!,13,FALSE)</f>
        <v>#REF!</v>
      </c>
      <c r="BR969" s="2" t="e">
        <f>VLOOKUP(H969,#REF!,3,FALSE)</f>
        <v>#REF!</v>
      </c>
    </row>
    <row r="970" spans="1:70" s="2" customFormat="1" ht="15" customHeight="1" outlineLevel="2">
      <c r="A970" s="5">
        <v>33</v>
      </c>
      <c r="B970" s="5" t="s">
        <v>5</v>
      </c>
      <c r="C970" s="5" t="s">
        <v>275</v>
      </c>
      <c r="D970" s="5" t="s">
        <v>148</v>
      </c>
      <c r="E970" s="5" t="s">
        <v>148</v>
      </c>
      <c r="F970" s="5" t="s">
        <v>77</v>
      </c>
      <c r="G970" s="5" t="s">
        <v>144</v>
      </c>
      <c r="H970" s="12">
        <v>30337226</v>
      </c>
      <c r="I970" s="42" t="str">
        <f t="shared" si="577"/>
        <v>30337226-EJECUCION</v>
      </c>
      <c r="J970" s="12"/>
      <c r="K970" s="307" t="str">
        <f t="shared" si="578"/>
        <v>30337226</v>
      </c>
      <c r="L970" s="15" t="s">
        <v>76</v>
      </c>
      <c r="M970" s="23">
        <v>1275000000</v>
      </c>
      <c r="N970" s="34">
        <v>696647777</v>
      </c>
      <c r="O970" s="34">
        <v>255000000</v>
      </c>
      <c r="P970" s="310">
        <v>0</v>
      </c>
      <c r="Q970" s="34">
        <v>0</v>
      </c>
      <c r="R970" s="308">
        <v>27497121</v>
      </c>
      <c r="S970" s="34">
        <f t="shared" si="579"/>
        <v>27497121</v>
      </c>
      <c r="T970" s="34">
        <v>11085475</v>
      </c>
      <c r="U970" s="34">
        <v>11044145</v>
      </c>
      <c r="V970" s="34">
        <f>P970+Q970+R970+T970+U970</f>
        <v>49626741</v>
      </c>
      <c r="W970" s="34">
        <f>O970-V970</f>
        <v>205373259</v>
      </c>
      <c r="X970" s="34">
        <f>M970-(N970+O970)</f>
        <v>323352223</v>
      </c>
      <c r="Y970" s="48" t="s">
        <v>239</v>
      </c>
      <c r="Z970" s="48" t="s">
        <v>8</v>
      </c>
      <c r="AA970" s="2" t="s">
        <v>841</v>
      </c>
      <c r="AB970" s="2" t="e">
        <f>VLOOKUP(H970,#REF!,2,FALSE)</f>
        <v>#REF!</v>
      </c>
      <c r="AC970" s="2" t="e">
        <f>VLOOKUP(I970,#REF!,2,FALSE)</f>
        <v>#REF!</v>
      </c>
      <c r="AD970" s="2" t="e">
        <f>VLOOKUP(H970,#REF!,13,FALSE)</f>
        <v>#REF!</v>
      </c>
      <c r="AE970" s="2" t="e">
        <f>VLOOKUP(I970,#REF!,7,FALSE)</f>
        <v>#REF!</v>
      </c>
      <c r="AG970" s="2" t="e">
        <f>VLOOKUP(H970,#REF!,13,FALSE)</f>
        <v>#REF!</v>
      </c>
      <c r="AH970" s="2" t="e">
        <f>VLOOKUP(I970,#REF!,2,FALSE)</f>
        <v>#REF!</v>
      </c>
      <c r="AJ970" s="185" t="e">
        <f>VLOOKUP(H970,#REF!,3,FALSE)</f>
        <v>#REF!</v>
      </c>
      <c r="AK970" s="185"/>
      <c r="AL970" s="185"/>
      <c r="AM970" s="185" t="e">
        <f>VLOOKUP(CLEAN(H970),#REF!,7,FALSE)</f>
        <v>#REF!</v>
      </c>
      <c r="AN970" s="2" t="e">
        <f>VLOOKUP(H970,#REF!,8,FALSE)</f>
        <v>#REF!</v>
      </c>
      <c r="AO970" s="189" t="e">
        <f>VLOOKUP(H970,#REF!,2,FALSE)</f>
        <v>#REF!</v>
      </c>
      <c r="AP970" s="189" t="e">
        <f>VLOOKUP(H970,#REF!,2,FALSE)</f>
        <v>#REF!</v>
      </c>
      <c r="AQ970" s="189" t="e">
        <f>AO970-AP970</f>
        <v>#REF!</v>
      </c>
      <c r="AR970" s="2" t="e">
        <f>VLOOKUP(CLEAN(H970),#REF!,2,FALSE)</f>
        <v>#REF!</v>
      </c>
      <c r="AT970" s="2" t="e">
        <f>VLOOKUP(H970,#REF!,13,FALSE)</f>
        <v>#REF!</v>
      </c>
      <c r="AU970" s="2" t="e">
        <f>VLOOKUP(H970,#REF!,13,FALSE)</f>
        <v>#REF!</v>
      </c>
      <c r="AV970" s="2" t="e">
        <f>VLOOKUP(H970,#REF!,13,FALSE)</f>
        <v>#REF!</v>
      </c>
      <c r="AW970" s="2" t="e">
        <f>VLOOKUP(H970,#REF!,13,FALSE)</f>
        <v>#REF!</v>
      </c>
      <c r="AX970" s="2" t="e">
        <f>VLOOKUP(H970,#REF!,9,FALSE)</f>
        <v>#REF!</v>
      </c>
      <c r="AZ970" s="189" t="e">
        <f>VLOOKUP(H970,#REF!,2,FALSE)</f>
        <v>#REF!</v>
      </c>
      <c r="BF970" s="189" t="e">
        <f>VLOOKUP(CLEAN(H970),#REF!,2,FALSE)</f>
        <v>#REF!</v>
      </c>
      <c r="BG970" s="189" t="e">
        <f>T970-BF970</f>
        <v>#REF!</v>
      </c>
      <c r="BO970" s="2" t="e">
        <f>VLOOKUP(H970,#REF!,13,FALSE)</f>
        <v>#REF!</v>
      </c>
      <c r="BP970" s="2" t="e">
        <f>VLOOKUP(H970,#REF!,2,FALSE)</f>
        <v>#REF!</v>
      </c>
      <c r="BQ970" s="2" t="e">
        <f>VLOOKUP(H970,#REF!,13,FALSE)</f>
        <v>#REF!</v>
      </c>
      <c r="BR970" s="2" t="e">
        <f>VLOOKUP(H970,#REF!,3,FALSE)</f>
        <v>#REF!</v>
      </c>
    </row>
    <row r="971" spans="1:70" s="2" customFormat="1" ht="15" customHeight="1" outlineLevel="2">
      <c r="A971" s="5">
        <v>33</v>
      </c>
      <c r="B971" s="5" t="s">
        <v>5</v>
      </c>
      <c r="C971" s="5" t="s">
        <v>301</v>
      </c>
      <c r="D971" s="5" t="s">
        <v>148</v>
      </c>
      <c r="E971" s="5" t="s">
        <v>148</v>
      </c>
      <c r="F971" s="5" t="s">
        <v>77</v>
      </c>
      <c r="G971" s="5" t="s">
        <v>144</v>
      </c>
      <c r="H971" s="12">
        <v>30398531</v>
      </c>
      <c r="I971" s="42" t="str">
        <f t="shared" si="577"/>
        <v>30398531-EJECUCION</v>
      </c>
      <c r="J971" s="12"/>
      <c r="K971" s="307" t="str">
        <f t="shared" si="578"/>
        <v>30398531</v>
      </c>
      <c r="L971" s="6" t="s">
        <v>655</v>
      </c>
      <c r="M971" s="23">
        <v>658032000</v>
      </c>
      <c r="N971" s="34">
        <v>178556502</v>
      </c>
      <c r="O971" s="34">
        <v>205000000</v>
      </c>
      <c r="P971" s="310">
        <v>0</v>
      </c>
      <c r="Q971" s="34">
        <v>0</v>
      </c>
      <c r="R971" s="308">
        <v>0</v>
      </c>
      <c r="S971" s="34">
        <f t="shared" si="579"/>
        <v>0</v>
      </c>
      <c r="T971" s="34">
        <v>0</v>
      </c>
      <c r="U971" s="34">
        <v>9031108</v>
      </c>
      <c r="V971" s="34">
        <f>P971+Q971+R971+T971+U971</f>
        <v>9031108</v>
      </c>
      <c r="W971" s="34">
        <f>O971-V971</f>
        <v>195968892</v>
      </c>
      <c r="X971" s="34">
        <f>M971-(N971+O971)</f>
        <v>274475498</v>
      </c>
      <c r="Y971" s="48" t="s">
        <v>239</v>
      </c>
      <c r="Z971" s="48" t="s">
        <v>8</v>
      </c>
      <c r="AA971" s="2" t="s">
        <v>841</v>
      </c>
      <c r="AB971" s="2" t="e">
        <f>VLOOKUP(H971,#REF!,2,FALSE)</f>
        <v>#REF!</v>
      </c>
      <c r="AC971" s="2" t="e">
        <f>VLOOKUP(I971,#REF!,2,FALSE)</f>
        <v>#REF!</v>
      </c>
      <c r="AD971" s="2" t="e">
        <f>VLOOKUP(H971,#REF!,13,FALSE)</f>
        <v>#REF!</v>
      </c>
      <c r="AE971" s="177" t="e">
        <f>VLOOKUP(I971,#REF!,7,FALSE)</f>
        <v>#REF!</v>
      </c>
      <c r="AG971" s="2" t="e">
        <f>VLOOKUP(H971,#REF!,13,FALSE)</f>
        <v>#REF!</v>
      </c>
      <c r="AH971" s="2" t="e">
        <f>VLOOKUP(I971,#REF!,2,FALSE)</f>
        <v>#REF!</v>
      </c>
      <c r="AJ971" s="185" t="e">
        <f>VLOOKUP(H971,#REF!,3,FALSE)</f>
        <v>#REF!</v>
      </c>
      <c r="AK971" s="185"/>
      <c r="AL971" s="185"/>
      <c r="AM971" s="185" t="e">
        <f>VLOOKUP(CLEAN(H971),#REF!,7,FALSE)</f>
        <v>#REF!</v>
      </c>
      <c r="AN971" s="2" t="e">
        <f>VLOOKUP(H971,#REF!,8,FALSE)</f>
        <v>#REF!</v>
      </c>
      <c r="AO971" s="189" t="e">
        <f>VLOOKUP(H971,#REF!,2,FALSE)</f>
        <v>#REF!</v>
      </c>
      <c r="AP971" s="189" t="e">
        <f>VLOOKUP(H971,#REF!,2,FALSE)</f>
        <v>#REF!</v>
      </c>
      <c r="AQ971" s="189"/>
      <c r="AR971" s="2" t="e">
        <f>VLOOKUP(CLEAN(H971),#REF!,2,FALSE)</f>
        <v>#REF!</v>
      </c>
      <c r="AT971" s="2" t="e">
        <f>VLOOKUP(H971,#REF!,13,FALSE)</f>
        <v>#REF!</v>
      </c>
      <c r="AU971" s="2" t="e">
        <f>VLOOKUP(H971,#REF!,13,FALSE)</f>
        <v>#REF!</v>
      </c>
      <c r="AV971" s="2" t="e">
        <f>VLOOKUP(H971,#REF!,13,FALSE)</f>
        <v>#REF!</v>
      </c>
      <c r="AW971" s="2" t="e">
        <f>VLOOKUP(H971,#REF!,13,FALSE)</f>
        <v>#REF!</v>
      </c>
      <c r="AX971" s="2" t="e">
        <f>VLOOKUP(H971,#REF!,9,FALSE)</f>
        <v>#REF!</v>
      </c>
      <c r="AZ971" s="189" t="e">
        <f>VLOOKUP(H971,#REF!,2,FALSE)</f>
        <v>#REF!</v>
      </c>
      <c r="BF971" s="189" t="e">
        <f>VLOOKUP(CLEAN(H971),#REF!,2,FALSE)</f>
        <v>#REF!</v>
      </c>
      <c r="BG971" s="189" t="e">
        <f>T971-BF971</f>
        <v>#REF!</v>
      </c>
      <c r="BO971" s="2" t="e">
        <f>VLOOKUP(H971,#REF!,13,FALSE)</f>
        <v>#REF!</v>
      </c>
      <c r="BP971" s="2" t="e">
        <f>VLOOKUP(H971,#REF!,2,FALSE)</f>
        <v>#REF!</v>
      </c>
      <c r="BQ971" s="2" t="e">
        <f>VLOOKUP(H971,#REF!,13,FALSE)</f>
        <v>#REF!</v>
      </c>
      <c r="BR971" s="2" t="e">
        <f>VLOOKUP(H971,#REF!,3,FALSE)</f>
        <v>#REF!</v>
      </c>
    </row>
    <row r="972" spans="1:70" s="2" customFormat="1" ht="15" customHeight="1" outlineLevel="2">
      <c r="A972" s="5">
        <v>33</v>
      </c>
      <c r="B972" s="5" t="s">
        <v>5</v>
      </c>
      <c r="C972" s="5" t="s">
        <v>302</v>
      </c>
      <c r="D972" s="5" t="s">
        <v>148</v>
      </c>
      <c r="E972" s="5" t="s">
        <v>148</v>
      </c>
      <c r="F972" s="5" t="s">
        <v>77</v>
      </c>
      <c r="G972" s="5" t="s">
        <v>144</v>
      </c>
      <c r="H972" s="12">
        <v>30341275</v>
      </c>
      <c r="I972" s="42" t="str">
        <f t="shared" si="577"/>
        <v>30341275-EJECUCION</v>
      </c>
      <c r="J972" s="12"/>
      <c r="K972" s="307" t="str">
        <f t="shared" si="578"/>
        <v>30341275</v>
      </c>
      <c r="L972" s="15" t="s">
        <v>81</v>
      </c>
      <c r="M972" s="23">
        <v>203000000</v>
      </c>
      <c r="N972" s="34">
        <v>86207000</v>
      </c>
      <c r="O972" s="34">
        <v>90000000</v>
      </c>
      <c r="P972" s="310">
        <v>0</v>
      </c>
      <c r="Q972" s="34">
        <v>0</v>
      </c>
      <c r="R972" s="308">
        <v>0</v>
      </c>
      <c r="S972" s="34">
        <f t="shared" si="579"/>
        <v>0</v>
      </c>
      <c r="T972" s="34">
        <v>0</v>
      </c>
      <c r="U972" s="34">
        <v>0</v>
      </c>
      <c r="V972" s="34">
        <f>P972+Q972+R972+T972+U972</f>
        <v>0</v>
      </c>
      <c r="W972" s="34">
        <f>O972-V972</f>
        <v>90000000</v>
      </c>
      <c r="X972" s="34">
        <f>M972-(N972+O972)</f>
        <v>26793000</v>
      </c>
      <c r="Y972" s="48" t="s">
        <v>239</v>
      </c>
      <c r="Z972" s="48" t="s">
        <v>8</v>
      </c>
      <c r="AA972" s="2" t="e">
        <v>#N/A</v>
      </c>
      <c r="AB972" s="2" t="e">
        <f>VLOOKUP(H972,#REF!,2,FALSE)</f>
        <v>#REF!</v>
      </c>
      <c r="AC972" s="2" t="e">
        <f>VLOOKUP(I972,#REF!,2,FALSE)</f>
        <v>#REF!</v>
      </c>
      <c r="AD972" s="2" t="e">
        <f>VLOOKUP(H972,#REF!,13,FALSE)</f>
        <v>#REF!</v>
      </c>
      <c r="AE972" s="2" t="e">
        <f>VLOOKUP(I972,#REF!,7,FALSE)</f>
        <v>#REF!</v>
      </c>
      <c r="AG972" s="2" t="e">
        <f>VLOOKUP(H972,#REF!,13,FALSE)</f>
        <v>#REF!</v>
      </c>
      <c r="AH972" s="2" t="e">
        <f>VLOOKUP(I972,#REF!,2,FALSE)</f>
        <v>#REF!</v>
      </c>
      <c r="AJ972" s="185" t="e">
        <f>VLOOKUP(H972,#REF!,3,FALSE)</f>
        <v>#REF!</v>
      </c>
      <c r="AK972" s="185"/>
      <c r="AL972" s="185"/>
      <c r="AM972" s="185" t="e">
        <f>VLOOKUP(CLEAN(H972),#REF!,7,FALSE)</f>
        <v>#REF!</v>
      </c>
      <c r="AN972" s="2" t="e">
        <f>VLOOKUP(H972,#REF!,8,FALSE)</f>
        <v>#REF!</v>
      </c>
      <c r="AO972" s="189" t="e">
        <f>VLOOKUP(H972,#REF!,2,FALSE)</f>
        <v>#REF!</v>
      </c>
      <c r="AP972" s="189" t="e">
        <f>VLOOKUP(H972,#REF!,2,FALSE)</f>
        <v>#REF!</v>
      </c>
      <c r="AQ972" s="189"/>
      <c r="AR972" s="2" t="e">
        <f>VLOOKUP(CLEAN(H972),#REF!,2,FALSE)</f>
        <v>#REF!</v>
      </c>
      <c r="AT972" s="2" t="e">
        <f>VLOOKUP(H972,#REF!,13,FALSE)</f>
        <v>#REF!</v>
      </c>
      <c r="AU972" s="2" t="e">
        <f>VLOOKUP(H972,#REF!,13,FALSE)</f>
        <v>#REF!</v>
      </c>
      <c r="AV972" s="2" t="e">
        <f>VLOOKUP(H972,#REF!,13,FALSE)</f>
        <v>#REF!</v>
      </c>
      <c r="AW972" s="2" t="e">
        <f>VLOOKUP(H972,#REF!,13,FALSE)</f>
        <v>#REF!</v>
      </c>
      <c r="AX972" s="2" t="e">
        <f>VLOOKUP(H972,#REF!,9,FALSE)</f>
        <v>#REF!</v>
      </c>
      <c r="AZ972" s="2" t="e">
        <f>VLOOKUP(H972,#REF!,2,FALSE)</f>
        <v>#REF!</v>
      </c>
      <c r="BF972" s="189" t="e">
        <f>VLOOKUP(CLEAN(H972),#REF!,2,FALSE)</f>
        <v>#REF!</v>
      </c>
      <c r="BG972" s="189" t="e">
        <f>T972-BF972</f>
        <v>#REF!</v>
      </c>
      <c r="BO972" s="2" t="e">
        <f>VLOOKUP(H972,#REF!,13,FALSE)</f>
        <v>#REF!</v>
      </c>
      <c r="BP972" s="2" t="e">
        <f>VLOOKUP(H972,#REF!,2,FALSE)</f>
        <v>#REF!</v>
      </c>
      <c r="BQ972" s="2" t="e">
        <f>VLOOKUP(H972,#REF!,13,FALSE)</f>
        <v>#REF!</v>
      </c>
      <c r="BR972" s="2" t="e">
        <f>VLOOKUP(H972,#REF!,3,FALSE)</f>
        <v>#REF!</v>
      </c>
    </row>
    <row r="973" spans="1:70" s="2" customFormat="1" ht="15" customHeight="1" outlineLevel="2">
      <c r="A973" s="5">
        <v>33</v>
      </c>
      <c r="B973" s="5" t="s">
        <v>5</v>
      </c>
      <c r="C973" s="5" t="s">
        <v>275</v>
      </c>
      <c r="D973" s="5" t="s">
        <v>148</v>
      </c>
      <c r="E973" s="5" t="s">
        <v>148</v>
      </c>
      <c r="F973" s="5" t="s">
        <v>77</v>
      </c>
      <c r="G973" s="5" t="s">
        <v>144</v>
      </c>
      <c r="H973" s="12">
        <v>30341323</v>
      </c>
      <c r="I973" s="42" t="str">
        <f t="shared" si="577"/>
        <v>30341323-EJECUCION</v>
      </c>
      <c r="J973" s="12"/>
      <c r="K973" s="307" t="str">
        <f t="shared" si="578"/>
        <v>30341323</v>
      </c>
      <c r="L973" s="15" t="s">
        <v>141</v>
      </c>
      <c r="M973" s="23">
        <v>190000000</v>
      </c>
      <c r="N973" s="34">
        <v>118572000</v>
      </c>
      <c r="O973" s="34">
        <v>70117000</v>
      </c>
      <c r="P973" s="310">
        <v>0</v>
      </c>
      <c r="Q973" s="34">
        <v>0</v>
      </c>
      <c r="R973" s="308">
        <v>0</v>
      </c>
      <c r="S973" s="34">
        <f t="shared" si="579"/>
        <v>0</v>
      </c>
      <c r="T973" s="34">
        <v>0</v>
      </c>
      <c r="U973" s="34">
        <v>0</v>
      </c>
      <c r="V973" s="34">
        <f>P973+Q973+R973+T973+U973</f>
        <v>0</v>
      </c>
      <c r="W973" s="34">
        <f>O973-V973</f>
        <v>70117000</v>
      </c>
      <c r="X973" s="34">
        <f>M973-(N973+O973)</f>
        <v>1311000</v>
      </c>
      <c r="Y973" s="48" t="s">
        <v>239</v>
      </c>
      <c r="Z973" s="48" t="s">
        <v>8</v>
      </c>
      <c r="AA973" s="2" t="e">
        <v>#N/A</v>
      </c>
      <c r="AB973" s="2" t="e">
        <f>VLOOKUP(H973,#REF!,2,FALSE)</f>
        <v>#REF!</v>
      </c>
      <c r="AC973" s="2" t="e">
        <f>VLOOKUP(I973,#REF!,2,FALSE)</f>
        <v>#REF!</v>
      </c>
      <c r="AD973" s="2" t="e">
        <f>VLOOKUP(H973,#REF!,13,FALSE)</f>
        <v>#REF!</v>
      </c>
      <c r="AE973" s="2" t="e">
        <f>VLOOKUP(I973,#REF!,7,FALSE)</f>
        <v>#REF!</v>
      </c>
      <c r="AG973" s="2" t="e">
        <f>VLOOKUP(H973,#REF!,13,FALSE)</f>
        <v>#REF!</v>
      </c>
      <c r="AH973" s="2" t="e">
        <f>VLOOKUP(I973,#REF!,2,FALSE)</f>
        <v>#REF!</v>
      </c>
      <c r="AJ973" s="185" t="e">
        <f>VLOOKUP(H973,#REF!,3,FALSE)</f>
        <v>#REF!</v>
      </c>
      <c r="AK973" s="185"/>
      <c r="AL973" s="185"/>
      <c r="AM973" s="185" t="e">
        <f>VLOOKUP(CLEAN(H973),#REF!,7,FALSE)</f>
        <v>#REF!</v>
      </c>
      <c r="AN973" s="2" t="e">
        <f>VLOOKUP(H973,#REF!,8,FALSE)</f>
        <v>#REF!</v>
      </c>
      <c r="AO973" s="189" t="e">
        <f>VLOOKUP(H973,#REF!,2,FALSE)</f>
        <v>#REF!</v>
      </c>
      <c r="AP973" s="189" t="e">
        <f>VLOOKUP(H973,#REF!,2,FALSE)</f>
        <v>#REF!</v>
      </c>
      <c r="AQ973" s="189"/>
      <c r="AR973" s="2" t="e">
        <f>VLOOKUP(CLEAN(H973),#REF!,2,FALSE)</f>
        <v>#REF!</v>
      </c>
      <c r="AT973" s="2" t="e">
        <f>VLOOKUP(H973,#REF!,13,FALSE)</f>
        <v>#REF!</v>
      </c>
      <c r="AU973" s="2" t="e">
        <f>VLOOKUP(H973,#REF!,13,FALSE)</f>
        <v>#REF!</v>
      </c>
      <c r="AV973" s="2" t="e">
        <f>VLOOKUP(H973,#REF!,13,FALSE)</f>
        <v>#REF!</v>
      </c>
      <c r="AW973" s="2" t="e">
        <f>VLOOKUP(H973,#REF!,13,FALSE)</f>
        <v>#REF!</v>
      </c>
      <c r="AX973" s="2" t="e">
        <f>VLOOKUP(H973,#REF!,9,FALSE)</f>
        <v>#REF!</v>
      </c>
      <c r="AZ973" s="2" t="e">
        <f>VLOOKUP(H973,#REF!,2,FALSE)</f>
        <v>#REF!</v>
      </c>
      <c r="BF973" s="189" t="e">
        <f>VLOOKUP(CLEAN(H973),#REF!,2,FALSE)</f>
        <v>#REF!</v>
      </c>
      <c r="BG973" s="189" t="e">
        <f>T973-BF973</f>
        <v>#REF!</v>
      </c>
      <c r="BO973" s="2" t="e">
        <f>VLOOKUP(H973,#REF!,13,FALSE)</f>
        <v>#REF!</v>
      </c>
      <c r="BP973" s="2" t="e">
        <f>VLOOKUP(H973,#REF!,2,FALSE)</f>
        <v>#REF!</v>
      </c>
      <c r="BQ973" s="2" t="e">
        <f>VLOOKUP(H973,#REF!,13,FALSE)</f>
        <v>#REF!</v>
      </c>
      <c r="BR973" s="2" t="e">
        <f>VLOOKUP(H973,#REF!,3,FALSE)</f>
        <v>#REF!</v>
      </c>
    </row>
    <row r="974" spans="1:70" s="2" customFormat="1" ht="15" customHeight="1" outlineLevel="2">
      <c r="A974" s="5">
        <v>33</v>
      </c>
      <c r="B974" s="5" t="s">
        <v>5</v>
      </c>
      <c r="C974" s="5" t="s">
        <v>275</v>
      </c>
      <c r="D974" s="5" t="s">
        <v>148</v>
      </c>
      <c r="E974" s="5" t="s">
        <v>148</v>
      </c>
      <c r="F974" s="5" t="s">
        <v>77</v>
      </c>
      <c r="G974" s="5" t="s">
        <v>144</v>
      </c>
      <c r="H974" s="12">
        <v>30341325</v>
      </c>
      <c r="I974" s="42" t="str">
        <f t="shared" si="577"/>
        <v>30341325-EJECUCION</v>
      </c>
      <c r="J974" s="12"/>
      <c r="K974" s="307" t="str">
        <f t="shared" si="578"/>
        <v>30341325</v>
      </c>
      <c r="L974" s="15" t="s">
        <v>80</v>
      </c>
      <c r="M974" s="23">
        <v>355000000</v>
      </c>
      <c r="N974" s="34">
        <v>90171000</v>
      </c>
      <c r="O974" s="34">
        <v>200000000</v>
      </c>
      <c r="P974" s="310">
        <v>0</v>
      </c>
      <c r="Q974" s="34">
        <v>0</v>
      </c>
      <c r="R974" s="308">
        <v>0</v>
      </c>
      <c r="S974" s="34">
        <f t="shared" si="579"/>
        <v>0</v>
      </c>
      <c r="T974" s="34">
        <v>458828</v>
      </c>
      <c r="U974" s="34">
        <v>0</v>
      </c>
      <c r="V974" s="34">
        <f>P974+Q974+R974+T974+U974</f>
        <v>458828</v>
      </c>
      <c r="W974" s="34">
        <f>O974-V974</f>
        <v>199541172</v>
      </c>
      <c r="X974" s="34">
        <f>M974-(N974+O974)</f>
        <v>64829000</v>
      </c>
      <c r="Y974" s="48" t="s">
        <v>239</v>
      </c>
      <c r="Z974" s="48" t="s">
        <v>8</v>
      </c>
      <c r="AA974" s="2" t="s">
        <v>841</v>
      </c>
      <c r="AB974" s="2" t="e">
        <f>VLOOKUP(H974,#REF!,2,FALSE)</f>
        <v>#REF!</v>
      </c>
      <c r="AC974" s="2" t="e">
        <f>VLOOKUP(I974,#REF!,2,FALSE)</f>
        <v>#REF!</v>
      </c>
      <c r="AD974" s="2" t="e">
        <f>VLOOKUP(H974,#REF!,13,FALSE)</f>
        <v>#REF!</v>
      </c>
      <c r="AE974" s="2" t="e">
        <f>VLOOKUP(I974,#REF!,7,FALSE)</f>
        <v>#REF!</v>
      </c>
      <c r="AG974" s="2" t="e">
        <f>VLOOKUP(H974,#REF!,13,FALSE)</f>
        <v>#REF!</v>
      </c>
      <c r="AH974" s="2" t="e">
        <f>VLOOKUP(I974,#REF!,2,FALSE)</f>
        <v>#REF!</v>
      </c>
      <c r="AJ974" s="185" t="e">
        <f>VLOOKUP(H974,#REF!,3,FALSE)</f>
        <v>#REF!</v>
      </c>
      <c r="AK974" s="185"/>
      <c r="AL974" s="185"/>
      <c r="AM974" s="185" t="e">
        <f>VLOOKUP(CLEAN(H974),#REF!,7,FALSE)</f>
        <v>#REF!</v>
      </c>
      <c r="AN974" s="2" t="e">
        <f>VLOOKUP(H974,#REF!,8,FALSE)</f>
        <v>#REF!</v>
      </c>
      <c r="AO974" s="189" t="e">
        <f>VLOOKUP(H974,#REF!,2,FALSE)</f>
        <v>#REF!</v>
      </c>
      <c r="AP974" s="189" t="e">
        <f>VLOOKUP(H974,#REF!,2,FALSE)</f>
        <v>#REF!</v>
      </c>
      <c r="AQ974" s="189" t="e">
        <f>AO974-AP974</f>
        <v>#REF!</v>
      </c>
      <c r="AR974" s="2" t="e">
        <f>VLOOKUP(CLEAN(H974),#REF!,2,FALSE)</f>
        <v>#REF!</v>
      </c>
      <c r="AT974" s="2" t="e">
        <f>VLOOKUP(H974,#REF!,13,FALSE)</f>
        <v>#REF!</v>
      </c>
      <c r="AU974" s="2" t="e">
        <f>VLOOKUP(H974,#REF!,13,FALSE)</f>
        <v>#REF!</v>
      </c>
      <c r="AV974" s="2" t="e">
        <f>VLOOKUP(H974,#REF!,13,FALSE)</f>
        <v>#REF!</v>
      </c>
      <c r="AW974" s="2" t="e">
        <f>VLOOKUP(H974,#REF!,13,FALSE)</f>
        <v>#REF!</v>
      </c>
      <c r="AX974" s="2" t="e">
        <f>VLOOKUP(H974,#REF!,9,FALSE)</f>
        <v>#REF!</v>
      </c>
      <c r="AZ974" s="2" t="e">
        <f>VLOOKUP(H974,#REF!,2,FALSE)</f>
        <v>#REF!</v>
      </c>
      <c r="BF974" s="189" t="e">
        <f>VLOOKUP(CLEAN(H974),#REF!,2,FALSE)</f>
        <v>#REF!</v>
      </c>
      <c r="BG974" s="189" t="e">
        <f>T974-BF974</f>
        <v>#REF!</v>
      </c>
      <c r="BO974" s="2" t="e">
        <f>VLOOKUP(H974,#REF!,13,FALSE)</f>
        <v>#REF!</v>
      </c>
      <c r="BP974" s="2" t="e">
        <f>VLOOKUP(H974,#REF!,2,FALSE)</f>
        <v>#REF!</v>
      </c>
      <c r="BQ974" s="2" t="e">
        <f>VLOOKUP(H974,#REF!,13,FALSE)</f>
        <v>#REF!</v>
      </c>
      <c r="BR974" s="2" t="e">
        <f>VLOOKUP(H974,#REF!,3,FALSE)</f>
        <v>#REF!</v>
      </c>
    </row>
    <row r="975" spans="1:70" s="2" customFormat="1" ht="15" customHeight="1" outlineLevel="2">
      <c r="A975" s="5">
        <v>33</v>
      </c>
      <c r="B975" s="5" t="s">
        <v>5</v>
      </c>
      <c r="C975" s="5" t="s">
        <v>302</v>
      </c>
      <c r="D975" s="5" t="s">
        <v>148</v>
      </c>
      <c r="E975" s="5" t="s">
        <v>148</v>
      </c>
      <c r="F975" s="5" t="s">
        <v>77</v>
      </c>
      <c r="G975" s="5" t="s">
        <v>144</v>
      </c>
      <c r="H975" s="12">
        <v>30341329</v>
      </c>
      <c r="I975" s="42" t="str">
        <f t="shared" si="577"/>
        <v>30341329-EJECUCION</v>
      </c>
      <c r="J975" s="12"/>
      <c r="K975" s="307" t="str">
        <f t="shared" si="578"/>
        <v>30341329</v>
      </c>
      <c r="L975" s="15" t="s">
        <v>79</v>
      </c>
      <c r="M975" s="23">
        <v>309000000</v>
      </c>
      <c r="N975" s="34">
        <v>136309404</v>
      </c>
      <c r="O975" s="34">
        <v>137000000</v>
      </c>
      <c r="P975" s="310">
        <v>0</v>
      </c>
      <c r="Q975" s="34">
        <v>0</v>
      </c>
      <c r="R975" s="308">
        <v>0</v>
      </c>
      <c r="S975" s="34">
        <f t="shared" si="579"/>
        <v>0</v>
      </c>
      <c r="T975" s="34">
        <v>0</v>
      </c>
      <c r="U975" s="34">
        <v>0</v>
      </c>
      <c r="V975" s="34">
        <f>P975+Q975+R975+T975+U975</f>
        <v>0</v>
      </c>
      <c r="W975" s="34">
        <f>O975-V975</f>
        <v>137000000</v>
      </c>
      <c r="X975" s="34">
        <f>M975-(N975+O975)</f>
        <v>35690596</v>
      </c>
      <c r="Y975" s="48" t="s">
        <v>239</v>
      </c>
      <c r="Z975" s="48" t="s">
        <v>8</v>
      </c>
      <c r="AA975" s="2" t="e">
        <v>#N/A</v>
      </c>
      <c r="AB975" s="2" t="e">
        <f>VLOOKUP(H975,#REF!,2,FALSE)</f>
        <v>#REF!</v>
      </c>
      <c r="AC975" s="2" t="e">
        <f>VLOOKUP(I975,#REF!,2,FALSE)</f>
        <v>#REF!</v>
      </c>
      <c r="AD975" s="2" t="e">
        <f>VLOOKUP(H975,#REF!,13,FALSE)</f>
        <v>#REF!</v>
      </c>
      <c r="AE975" s="2" t="e">
        <f>VLOOKUP(I975,#REF!,7,FALSE)</f>
        <v>#REF!</v>
      </c>
      <c r="AG975" s="2" t="e">
        <f>VLOOKUP(H975,#REF!,13,FALSE)</f>
        <v>#REF!</v>
      </c>
      <c r="AH975" s="2" t="e">
        <f>VLOOKUP(I975,#REF!,2,FALSE)</f>
        <v>#REF!</v>
      </c>
      <c r="AJ975" s="185" t="e">
        <f>VLOOKUP(H975,#REF!,3,FALSE)</f>
        <v>#REF!</v>
      </c>
      <c r="AK975" s="185"/>
      <c r="AL975" s="185"/>
      <c r="AM975" s="185" t="e">
        <f>VLOOKUP(CLEAN(H975),#REF!,7,FALSE)</f>
        <v>#REF!</v>
      </c>
      <c r="AN975" s="2" t="e">
        <f>VLOOKUP(H975,#REF!,8,FALSE)</f>
        <v>#REF!</v>
      </c>
      <c r="AO975" s="189" t="e">
        <f>VLOOKUP(H975,#REF!,2,FALSE)</f>
        <v>#REF!</v>
      </c>
      <c r="AP975" s="189" t="e">
        <f>VLOOKUP(H975,#REF!,2,FALSE)</f>
        <v>#REF!</v>
      </c>
      <c r="AQ975" s="189"/>
      <c r="AR975" s="2" t="e">
        <f>VLOOKUP(CLEAN(H975),#REF!,2,FALSE)</f>
        <v>#REF!</v>
      </c>
      <c r="AT975" s="2" t="e">
        <f>VLOOKUP(H975,#REF!,13,FALSE)</f>
        <v>#REF!</v>
      </c>
      <c r="AU975" s="2" t="e">
        <f>VLOOKUP(H975,#REF!,13,FALSE)</f>
        <v>#REF!</v>
      </c>
      <c r="AV975" s="2" t="e">
        <f>VLOOKUP(H975,#REF!,13,FALSE)</f>
        <v>#REF!</v>
      </c>
      <c r="AW975" s="2" t="e">
        <f>VLOOKUP(H975,#REF!,13,FALSE)</f>
        <v>#REF!</v>
      </c>
      <c r="AX975" s="2" t="e">
        <f>VLOOKUP(H975,#REF!,9,FALSE)</f>
        <v>#REF!</v>
      </c>
      <c r="AZ975" s="2" t="e">
        <f>VLOOKUP(H975,#REF!,2,FALSE)</f>
        <v>#REF!</v>
      </c>
      <c r="BF975" s="189" t="e">
        <f>VLOOKUP(CLEAN(H975),#REF!,2,FALSE)</f>
        <v>#REF!</v>
      </c>
      <c r="BG975" s="189" t="e">
        <f>T975-BF975</f>
        <v>#REF!</v>
      </c>
      <c r="BO975" s="2" t="e">
        <f>VLOOKUP(H975,#REF!,13,FALSE)</f>
        <v>#REF!</v>
      </c>
      <c r="BP975" s="2" t="e">
        <f>VLOOKUP(H975,#REF!,2,FALSE)</f>
        <v>#REF!</v>
      </c>
      <c r="BQ975" s="2" t="e">
        <f>VLOOKUP(H975,#REF!,13,FALSE)</f>
        <v>#REF!</v>
      </c>
      <c r="BR975" s="2" t="e">
        <f>VLOOKUP(H975,#REF!,3,FALSE)</f>
        <v>#REF!</v>
      </c>
    </row>
    <row r="976" spans="1:70" s="2" customFormat="1" ht="15" customHeight="1" outlineLevel="2">
      <c r="A976" s="5">
        <v>33</v>
      </c>
      <c r="B976" s="5" t="s">
        <v>5</v>
      </c>
      <c r="C976" s="5" t="s">
        <v>251</v>
      </c>
      <c r="D976" s="5" t="s">
        <v>148</v>
      </c>
      <c r="E976" s="5" t="s">
        <v>148</v>
      </c>
      <c r="F976" s="5" t="s">
        <v>77</v>
      </c>
      <c r="G976" s="5" t="s">
        <v>144</v>
      </c>
      <c r="H976" s="12">
        <v>30426980</v>
      </c>
      <c r="I976" s="42" t="str">
        <f t="shared" si="577"/>
        <v>30426980-EJECUCION</v>
      </c>
      <c r="J976" s="12"/>
      <c r="K976" s="307" t="str">
        <f t="shared" si="578"/>
        <v>30426980</v>
      </c>
      <c r="L976" s="15" t="s">
        <v>118</v>
      </c>
      <c r="M976" s="23">
        <v>500000000</v>
      </c>
      <c r="N976" s="34">
        <v>0</v>
      </c>
      <c r="O976" s="34">
        <v>330000000</v>
      </c>
      <c r="P976" s="310">
        <v>0</v>
      </c>
      <c r="Q976" s="34">
        <v>0</v>
      </c>
      <c r="R976" s="308">
        <v>4119000</v>
      </c>
      <c r="S976" s="34">
        <f t="shared" si="579"/>
        <v>4119000</v>
      </c>
      <c r="T976" s="34">
        <v>0</v>
      </c>
      <c r="U976" s="34">
        <v>4692000</v>
      </c>
      <c r="V976" s="34">
        <f>P976+Q976+R976+T976+U976</f>
        <v>8811000</v>
      </c>
      <c r="W976" s="34">
        <f>O976-V976</f>
        <v>321189000</v>
      </c>
      <c r="X976" s="34">
        <f>M976-(N976+O976)</f>
        <v>170000000</v>
      </c>
      <c r="Y976" s="48" t="s">
        <v>239</v>
      </c>
      <c r="Z976" s="48" t="s">
        <v>8</v>
      </c>
      <c r="AA976" s="2" t="s">
        <v>841</v>
      </c>
      <c r="AB976" s="2" t="e">
        <f>VLOOKUP(H976,#REF!,2,FALSE)</f>
        <v>#REF!</v>
      </c>
      <c r="AC976" s="2" t="e">
        <f>VLOOKUP(I976,#REF!,2,FALSE)</f>
        <v>#REF!</v>
      </c>
      <c r="AD976" s="2" t="e">
        <f>VLOOKUP(H976,#REF!,13,FALSE)</f>
        <v>#REF!</v>
      </c>
      <c r="AE976" s="2" t="e">
        <f>VLOOKUP(I976,#REF!,7,FALSE)</f>
        <v>#REF!</v>
      </c>
      <c r="AG976" s="2" t="e">
        <f>VLOOKUP(H976,#REF!,13,FALSE)</f>
        <v>#REF!</v>
      </c>
      <c r="AH976" s="2" t="e">
        <f>VLOOKUP(I976,#REF!,2,FALSE)</f>
        <v>#REF!</v>
      </c>
      <c r="AJ976" s="185" t="e">
        <f>VLOOKUP(H976,#REF!,3,FALSE)</f>
        <v>#REF!</v>
      </c>
      <c r="AK976" s="185"/>
      <c r="AL976" s="185"/>
      <c r="AM976" s="185" t="e">
        <f>VLOOKUP(CLEAN(H976),#REF!,7,FALSE)</f>
        <v>#REF!</v>
      </c>
      <c r="AN976" s="2" t="e">
        <f>VLOOKUP(H976,#REF!,8,FALSE)</f>
        <v>#REF!</v>
      </c>
      <c r="AO976" s="189" t="e">
        <f>VLOOKUP(H976,#REF!,2,FALSE)</f>
        <v>#REF!</v>
      </c>
      <c r="AP976" s="189" t="e">
        <f>VLOOKUP(H976,#REF!,2,FALSE)</f>
        <v>#REF!</v>
      </c>
      <c r="AQ976" s="189"/>
      <c r="AR976" s="2" t="e">
        <f>VLOOKUP(CLEAN(H976),#REF!,2,FALSE)</f>
        <v>#REF!</v>
      </c>
      <c r="AT976" s="2" t="e">
        <f>VLOOKUP(H976,#REF!,13,FALSE)</f>
        <v>#REF!</v>
      </c>
      <c r="AU976" s="2" t="e">
        <f>VLOOKUP(H976,#REF!,13,FALSE)</f>
        <v>#REF!</v>
      </c>
      <c r="AV976" s="2" t="e">
        <f>VLOOKUP(H976,#REF!,13,FALSE)</f>
        <v>#REF!</v>
      </c>
      <c r="AW976" s="2" t="e">
        <f>VLOOKUP(H976,#REF!,13,FALSE)</f>
        <v>#REF!</v>
      </c>
      <c r="AX976" s="2" t="e">
        <f>VLOOKUP(H976,#REF!,9,FALSE)</f>
        <v>#REF!</v>
      </c>
      <c r="AZ976" s="189" t="e">
        <f>VLOOKUP(H976,#REF!,2,FALSE)</f>
        <v>#REF!</v>
      </c>
      <c r="BF976" s="189" t="e">
        <f>VLOOKUP(CLEAN(H976),#REF!,2,FALSE)</f>
        <v>#REF!</v>
      </c>
      <c r="BG976" s="189" t="e">
        <f>T976-BF976</f>
        <v>#REF!</v>
      </c>
      <c r="BO976" s="2" t="e">
        <f>VLOOKUP(H976,#REF!,13,FALSE)</f>
        <v>#REF!</v>
      </c>
      <c r="BP976" s="2" t="e">
        <f>VLOOKUP(H976,#REF!,2,FALSE)</f>
        <v>#REF!</v>
      </c>
      <c r="BQ976" s="2" t="e">
        <f>VLOOKUP(H976,#REF!,13,FALSE)</f>
        <v>#REF!</v>
      </c>
      <c r="BR976" s="2" t="e">
        <f>VLOOKUP(H976,#REF!,3,FALSE)</f>
        <v>#REF!</v>
      </c>
    </row>
    <row r="977" spans="1:70" s="2" customFormat="1" ht="15" customHeight="1" outlineLevel="2">
      <c r="A977" s="5">
        <v>33</v>
      </c>
      <c r="B977" s="5" t="s">
        <v>5</v>
      </c>
      <c r="C977" s="5" t="s">
        <v>275</v>
      </c>
      <c r="D977" s="5" t="s">
        <v>148</v>
      </c>
      <c r="E977" s="5" t="s">
        <v>148</v>
      </c>
      <c r="F977" s="5" t="s">
        <v>457</v>
      </c>
      <c r="G977" s="5" t="s">
        <v>144</v>
      </c>
      <c r="H977" s="12">
        <v>30363825</v>
      </c>
      <c r="I977" s="42" t="str">
        <f t="shared" si="577"/>
        <v>30363825-EJECUCION</v>
      </c>
      <c r="J977" s="12"/>
      <c r="K977" s="307" t="str">
        <f t="shared" si="578"/>
        <v>30363825</v>
      </c>
      <c r="L977" s="15" t="s">
        <v>88</v>
      </c>
      <c r="M977" s="23">
        <v>1000000000</v>
      </c>
      <c r="N977" s="34">
        <v>334999998</v>
      </c>
      <c r="O977" s="34">
        <v>365000000</v>
      </c>
      <c r="P977" s="310">
        <v>0</v>
      </c>
      <c r="Q977" s="34">
        <v>0</v>
      </c>
      <c r="R977" s="308">
        <v>8204800</v>
      </c>
      <c r="S977" s="34">
        <f t="shared" si="579"/>
        <v>8204800</v>
      </c>
      <c r="T977" s="34">
        <v>26979238</v>
      </c>
      <c r="U977" s="34">
        <v>59431082</v>
      </c>
      <c r="V977" s="34">
        <f>P977+Q977+R977+T977+U977</f>
        <v>94615120</v>
      </c>
      <c r="W977" s="34">
        <f>O977-V977</f>
        <v>270384880</v>
      </c>
      <c r="X977" s="34">
        <f>M977-(N977+O977)</f>
        <v>300000002</v>
      </c>
      <c r="Y977" s="48" t="s">
        <v>239</v>
      </c>
      <c r="Z977" s="48" t="s">
        <v>8</v>
      </c>
      <c r="AA977" s="2" t="s">
        <v>841</v>
      </c>
      <c r="AB977" s="2" t="e">
        <f>VLOOKUP(H977,#REF!,2,FALSE)</f>
        <v>#REF!</v>
      </c>
      <c r="AC977" s="2" t="e">
        <f>VLOOKUP(I977,#REF!,2,FALSE)</f>
        <v>#REF!</v>
      </c>
      <c r="AD977" s="2" t="e">
        <f>VLOOKUP(H977,#REF!,13,FALSE)</f>
        <v>#REF!</v>
      </c>
      <c r="AE977" s="2" t="e">
        <f>VLOOKUP(I977,#REF!,7,FALSE)</f>
        <v>#REF!</v>
      </c>
      <c r="AG977" s="2" t="e">
        <f>VLOOKUP(H977,#REF!,13,FALSE)</f>
        <v>#REF!</v>
      </c>
      <c r="AH977" s="2" t="e">
        <f>VLOOKUP(I977,#REF!,2,FALSE)</f>
        <v>#REF!</v>
      </c>
      <c r="AJ977" s="185" t="e">
        <f>VLOOKUP(H977,#REF!,3,FALSE)</f>
        <v>#REF!</v>
      </c>
      <c r="AK977" s="185"/>
      <c r="AL977" s="185"/>
      <c r="AM977" s="185" t="e">
        <f>VLOOKUP(CLEAN(H977),#REF!,7,FALSE)</f>
        <v>#REF!</v>
      </c>
      <c r="AN977" s="2" t="e">
        <f>VLOOKUP(H977,#REF!,8,FALSE)</f>
        <v>#REF!</v>
      </c>
      <c r="AO977" s="189" t="e">
        <f>VLOOKUP(H977,#REF!,2,FALSE)</f>
        <v>#REF!</v>
      </c>
      <c r="AP977" s="189" t="e">
        <f>VLOOKUP(H977,#REF!,2,FALSE)</f>
        <v>#REF!</v>
      </c>
      <c r="AQ977" s="189" t="e">
        <f>AO977-AP977</f>
        <v>#REF!</v>
      </c>
      <c r="AR977" s="2" t="e">
        <f>VLOOKUP(CLEAN(H977),#REF!,2,FALSE)</f>
        <v>#REF!</v>
      </c>
      <c r="AT977" s="2" t="e">
        <f>VLOOKUP(H977,#REF!,13,FALSE)</f>
        <v>#REF!</v>
      </c>
      <c r="AU977" s="2" t="e">
        <f>VLOOKUP(H977,#REF!,13,FALSE)</f>
        <v>#REF!</v>
      </c>
      <c r="AV977" s="2" t="e">
        <f>VLOOKUP(H977,#REF!,13,FALSE)</f>
        <v>#REF!</v>
      </c>
      <c r="AW977" s="2" t="e">
        <f>VLOOKUP(H977,#REF!,13,FALSE)</f>
        <v>#REF!</v>
      </c>
      <c r="AX977" s="2" t="e">
        <f>VLOOKUP(H977,#REF!,9,FALSE)</f>
        <v>#REF!</v>
      </c>
      <c r="AZ977" s="189" t="e">
        <f>VLOOKUP(H977,#REF!,2,FALSE)</f>
        <v>#REF!</v>
      </c>
      <c r="BF977" s="189" t="e">
        <f>VLOOKUP(CLEAN(H977),#REF!,2,FALSE)</f>
        <v>#REF!</v>
      </c>
      <c r="BG977" s="189" t="e">
        <f>T977-BF977</f>
        <v>#REF!</v>
      </c>
      <c r="BO977" s="2" t="e">
        <f>VLOOKUP(H977,#REF!,13,FALSE)</f>
        <v>#REF!</v>
      </c>
      <c r="BP977" s="2" t="e">
        <f>VLOOKUP(H977,#REF!,2,FALSE)</f>
        <v>#REF!</v>
      </c>
      <c r="BQ977" s="2" t="e">
        <f>VLOOKUP(H977,#REF!,13,FALSE)</f>
        <v>#REF!</v>
      </c>
      <c r="BR977" s="2" t="e">
        <f>VLOOKUP(H977,#REF!,3,FALSE)</f>
        <v>#REF!</v>
      </c>
    </row>
    <row r="978" spans="1:70" s="2" customFormat="1" ht="15" customHeight="1" outlineLevel="2">
      <c r="A978" s="5">
        <v>33</v>
      </c>
      <c r="B978" s="5" t="s">
        <v>5</v>
      </c>
      <c r="C978" s="5" t="s">
        <v>302</v>
      </c>
      <c r="D978" s="5" t="s">
        <v>148</v>
      </c>
      <c r="E978" s="5" t="s">
        <v>148</v>
      </c>
      <c r="F978" s="5" t="s">
        <v>15</v>
      </c>
      <c r="G978" s="5" t="s">
        <v>144</v>
      </c>
      <c r="H978" s="12">
        <v>30136317</v>
      </c>
      <c r="I978" s="42" t="str">
        <f t="shared" si="577"/>
        <v>30136317-EJECUCION</v>
      </c>
      <c r="J978" s="12"/>
      <c r="K978" s="307" t="str">
        <f t="shared" si="578"/>
        <v>30136317</v>
      </c>
      <c r="L978" s="15" t="s">
        <v>667</v>
      </c>
      <c r="M978" s="23">
        <v>191000000</v>
      </c>
      <c r="N978" s="34">
        <v>78350572</v>
      </c>
      <c r="O978" s="34">
        <v>48325000</v>
      </c>
      <c r="P978" s="310">
        <v>0</v>
      </c>
      <c r="Q978" s="34">
        <v>0</v>
      </c>
      <c r="R978" s="308">
        <v>0</v>
      </c>
      <c r="S978" s="34">
        <f t="shared" si="579"/>
        <v>0</v>
      </c>
      <c r="T978" s="34">
        <v>0</v>
      </c>
      <c r="U978" s="34">
        <v>0</v>
      </c>
      <c r="V978" s="34">
        <f>P978+Q978+R978+T978+U978</f>
        <v>0</v>
      </c>
      <c r="W978" s="34">
        <f>O978-V978</f>
        <v>48325000</v>
      </c>
      <c r="X978" s="34">
        <f>M978-(N978+O978)</f>
        <v>64324428</v>
      </c>
      <c r="Y978" s="48" t="s">
        <v>239</v>
      </c>
      <c r="Z978" s="48" t="s">
        <v>8</v>
      </c>
      <c r="AA978" s="2" t="s">
        <v>840</v>
      </c>
      <c r="AB978" s="2" t="e">
        <f>VLOOKUP(H978,#REF!,2,FALSE)</f>
        <v>#REF!</v>
      </c>
      <c r="AC978" s="2" t="e">
        <f>VLOOKUP(I978,#REF!,2,FALSE)</f>
        <v>#REF!</v>
      </c>
      <c r="AD978" s="2" t="e">
        <f>VLOOKUP(H978,#REF!,13,FALSE)</f>
        <v>#REF!</v>
      </c>
      <c r="AE978" s="2" t="e">
        <f>VLOOKUP(I978,#REF!,7,FALSE)</f>
        <v>#REF!</v>
      </c>
      <c r="AG978" s="2" t="e">
        <f>VLOOKUP(H978,#REF!,13,FALSE)</f>
        <v>#REF!</v>
      </c>
      <c r="AH978" s="2" t="e">
        <f>VLOOKUP(I978,#REF!,2,FALSE)</f>
        <v>#REF!</v>
      </c>
      <c r="AJ978" s="185" t="e">
        <f>VLOOKUP(H978,#REF!,3,FALSE)</f>
        <v>#REF!</v>
      </c>
      <c r="AK978" s="185"/>
      <c r="AL978" s="185"/>
      <c r="AM978" s="185" t="e">
        <f>VLOOKUP(CLEAN(H978),#REF!,7,FALSE)</f>
        <v>#REF!</v>
      </c>
      <c r="AN978" s="2" t="e">
        <f>VLOOKUP(H978,#REF!,8,FALSE)</f>
        <v>#REF!</v>
      </c>
      <c r="AO978" s="189" t="e">
        <f>VLOOKUP(H978,#REF!,2,FALSE)</f>
        <v>#REF!</v>
      </c>
      <c r="AP978" s="189" t="e">
        <f>VLOOKUP(H978,#REF!,2,FALSE)</f>
        <v>#REF!</v>
      </c>
      <c r="AQ978" s="189"/>
      <c r="AR978" s="2" t="e">
        <f>VLOOKUP(CLEAN(H978),#REF!,2,FALSE)</f>
        <v>#REF!</v>
      </c>
      <c r="AT978" s="2" t="e">
        <f>VLOOKUP(H978,#REF!,13,FALSE)</f>
        <v>#REF!</v>
      </c>
      <c r="AU978" s="2" t="e">
        <f>VLOOKUP(H978,#REF!,13,FALSE)</f>
        <v>#REF!</v>
      </c>
      <c r="AV978" s="2" t="e">
        <f>VLOOKUP(H978,#REF!,13,FALSE)</f>
        <v>#REF!</v>
      </c>
      <c r="AW978" s="2" t="e">
        <f>VLOOKUP(H978,#REF!,13,FALSE)</f>
        <v>#REF!</v>
      </c>
      <c r="AX978" s="2" t="e">
        <f>VLOOKUP(H978,#REF!,9,FALSE)</f>
        <v>#REF!</v>
      </c>
      <c r="AZ978" s="2" t="e">
        <f>VLOOKUP(H978,#REF!,2,FALSE)</f>
        <v>#REF!</v>
      </c>
      <c r="BF978" s="189" t="e">
        <f>VLOOKUP(CLEAN(H978),#REF!,2,FALSE)</f>
        <v>#REF!</v>
      </c>
      <c r="BG978" s="189" t="e">
        <f>T978-BF978</f>
        <v>#REF!</v>
      </c>
      <c r="BO978" s="2" t="e">
        <f>VLOOKUP(H978,#REF!,13,FALSE)</f>
        <v>#REF!</v>
      </c>
      <c r="BP978" s="2" t="e">
        <f>VLOOKUP(H978,#REF!,2,FALSE)</f>
        <v>#REF!</v>
      </c>
      <c r="BQ978" s="2" t="e">
        <f>VLOOKUP(H978,#REF!,13,FALSE)</f>
        <v>#REF!</v>
      </c>
      <c r="BR978" s="2" t="e">
        <f>VLOOKUP(H978,#REF!,3,FALSE)</f>
        <v>#REF!</v>
      </c>
    </row>
    <row r="979" spans="1:70" s="2" customFormat="1" ht="15" customHeight="1" outlineLevel="2">
      <c r="A979" s="5">
        <v>33</v>
      </c>
      <c r="B979" s="5" t="s">
        <v>5</v>
      </c>
      <c r="C979" s="5" t="s">
        <v>302</v>
      </c>
      <c r="D979" s="5" t="s">
        <v>148</v>
      </c>
      <c r="E979" s="5" t="s">
        <v>148</v>
      </c>
      <c r="F979" s="5" t="s">
        <v>457</v>
      </c>
      <c r="G979" s="5" t="s">
        <v>144</v>
      </c>
      <c r="H979" s="12">
        <v>30137060</v>
      </c>
      <c r="I979" s="42" t="str">
        <f t="shared" si="577"/>
        <v>30137060-EJECUCION</v>
      </c>
      <c r="J979" s="12"/>
      <c r="K979" s="307" t="str">
        <f t="shared" si="578"/>
        <v>30137060</v>
      </c>
      <c r="L979" s="15" t="s">
        <v>58</v>
      </c>
      <c r="M979" s="23">
        <v>2332740000</v>
      </c>
      <c r="N979" s="34">
        <v>1317041682</v>
      </c>
      <c r="O979" s="34">
        <v>589519682</v>
      </c>
      <c r="P979" s="310">
        <v>0</v>
      </c>
      <c r="Q979" s="34">
        <v>0</v>
      </c>
      <c r="R979" s="308">
        <v>46143318</v>
      </c>
      <c r="S979" s="34">
        <f t="shared" si="579"/>
        <v>46143318</v>
      </c>
      <c r="T979" s="34">
        <v>0</v>
      </c>
      <c r="U979" s="34">
        <v>0</v>
      </c>
      <c r="V979" s="34">
        <f>P979+Q979+R979+T979+U979</f>
        <v>46143318</v>
      </c>
      <c r="W979" s="34">
        <f>O979-V979</f>
        <v>543376364</v>
      </c>
      <c r="X979" s="34">
        <f>M979-(N979+O979)</f>
        <v>426178636</v>
      </c>
      <c r="Y979" s="48" t="s">
        <v>239</v>
      </c>
      <c r="Z979" s="48" t="s">
        <v>8</v>
      </c>
      <c r="AA979" s="2" t="s">
        <v>840</v>
      </c>
      <c r="AB979" s="2" t="e">
        <f>VLOOKUP(H979,#REF!,2,FALSE)</f>
        <v>#REF!</v>
      </c>
      <c r="AC979" s="2" t="e">
        <f>VLOOKUP(I979,#REF!,2,FALSE)</f>
        <v>#REF!</v>
      </c>
      <c r="AD979" s="2" t="e">
        <f>VLOOKUP(H979,#REF!,13,FALSE)</f>
        <v>#REF!</v>
      </c>
      <c r="AE979" s="2" t="e">
        <f>VLOOKUP(I979,#REF!,7,FALSE)</f>
        <v>#REF!</v>
      </c>
      <c r="AG979" s="2" t="e">
        <f>VLOOKUP(H979,#REF!,13,FALSE)</f>
        <v>#REF!</v>
      </c>
      <c r="AH979" s="2" t="e">
        <f>VLOOKUP(I979,#REF!,2,FALSE)</f>
        <v>#REF!</v>
      </c>
      <c r="AJ979" s="185" t="e">
        <f>VLOOKUP(H979,#REF!,3,FALSE)</f>
        <v>#REF!</v>
      </c>
      <c r="AK979" s="185"/>
      <c r="AL979" s="185"/>
      <c r="AM979" s="185" t="e">
        <f>VLOOKUP(CLEAN(H979),#REF!,7,FALSE)</f>
        <v>#REF!</v>
      </c>
      <c r="AN979" s="2" t="e">
        <f>VLOOKUP(H979,#REF!,8,FALSE)</f>
        <v>#REF!</v>
      </c>
      <c r="AO979" s="189" t="e">
        <f>VLOOKUP(H979,#REF!,2,FALSE)</f>
        <v>#REF!</v>
      </c>
      <c r="AP979" s="189" t="e">
        <f>VLOOKUP(H979,#REF!,2,FALSE)</f>
        <v>#REF!</v>
      </c>
      <c r="AQ979" s="189"/>
      <c r="AR979" s="2" t="e">
        <f>VLOOKUP(CLEAN(H979),#REF!,2,FALSE)</f>
        <v>#REF!</v>
      </c>
      <c r="AT979" s="2" t="e">
        <f>VLOOKUP(H979,#REF!,13,FALSE)</f>
        <v>#REF!</v>
      </c>
      <c r="AU979" s="2" t="e">
        <f>VLOOKUP(H979,#REF!,13,FALSE)</f>
        <v>#REF!</v>
      </c>
      <c r="AV979" s="2" t="e">
        <f>VLOOKUP(H979,#REF!,13,FALSE)</f>
        <v>#REF!</v>
      </c>
      <c r="AW979" s="2" t="e">
        <f>VLOOKUP(H979,#REF!,13,FALSE)</f>
        <v>#REF!</v>
      </c>
      <c r="AX979" s="2" t="e">
        <f>VLOOKUP(H979,#REF!,9,FALSE)</f>
        <v>#REF!</v>
      </c>
      <c r="AZ979" s="189" t="e">
        <f>VLOOKUP(H979,#REF!,2,FALSE)</f>
        <v>#REF!</v>
      </c>
      <c r="BF979" s="189" t="e">
        <f>VLOOKUP(CLEAN(H979),#REF!,2,FALSE)</f>
        <v>#REF!</v>
      </c>
      <c r="BG979" s="189" t="e">
        <f>T979-BF979</f>
        <v>#REF!</v>
      </c>
      <c r="BO979" s="2" t="e">
        <f>VLOOKUP(H979,#REF!,13,FALSE)</f>
        <v>#REF!</v>
      </c>
      <c r="BP979" s="2" t="e">
        <f>VLOOKUP(H979,#REF!,2,FALSE)</f>
        <v>#REF!</v>
      </c>
      <c r="BQ979" s="2" t="e">
        <f>VLOOKUP(H979,#REF!,13,FALSE)</f>
        <v>#REF!</v>
      </c>
      <c r="BR979" s="2" t="e">
        <f>VLOOKUP(H979,#REF!,3,FALSE)</f>
        <v>#REF!</v>
      </c>
    </row>
    <row r="980" spans="1:70" s="2" customFormat="1" ht="15" customHeight="1" outlineLevel="2">
      <c r="A980" s="5">
        <v>33</v>
      </c>
      <c r="B980" s="5" t="s">
        <v>5</v>
      </c>
      <c r="C980" s="5" t="s">
        <v>302</v>
      </c>
      <c r="D980" s="5" t="s">
        <v>148</v>
      </c>
      <c r="E980" s="5" t="s">
        <v>148</v>
      </c>
      <c r="F980" s="5" t="s">
        <v>77</v>
      </c>
      <c r="G980" s="5" t="s">
        <v>144</v>
      </c>
      <c r="H980" s="12">
        <v>30341233</v>
      </c>
      <c r="I980" s="42" t="str">
        <f t="shared" si="577"/>
        <v>30341233-EJECUCION</v>
      </c>
      <c r="J980" s="12"/>
      <c r="K980" s="307" t="str">
        <f t="shared" si="578"/>
        <v>30341233</v>
      </c>
      <c r="L980" s="15" t="s">
        <v>599</v>
      </c>
      <c r="M980" s="23">
        <v>769600000</v>
      </c>
      <c r="N980" s="34">
        <v>409000000</v>
      </c>
      <c r="O980" s="34">
        <f>280000000+36464000</f>
        <v>316464000</v>
      </c>
      <c r="P980" s="310">
        <v>0</v>
      </c>
      <c r="Q980" s="34">
        <v>0</v>
      </c>
      <c r="R980" s="308">
        <v>17550000</v>
      </c>
      <c r="S980" s="34">
        <f t="shared" si="579"/>
        <v>17550000</v>
      </c>
      <c r="T980" s="34">
        <v>0</v>
      </c>
      <c r="U980" s="34">
        <v>0</v>
      </c>
      <c r="V980" s="34">
        <f>P980+Q980+R980+T980+U980</f>
        <v>17550000</v>
      </c>
      <c r="W980" s="34">
        <f>O980-V980</f>
        <v>298914000</v>
      </c>
      <c r="X980" s="34">
        <f>M980-(N980+O980)</f>
        <v>44136000</v>
      </c>
      <c r="Y980" s="48" t="s">
        <v>239</v>
      </c>
      <c r="Z980" s="48" t="s">
        <v>8</v>
      </c>
      <c r="AA980" s="2" t="s">
        <v>840</v>
      </c>
      <c r="AB980" s="2" t="e">
        <f>VLOOKUP(H980,#REF!,2,FALSE)</f>
        <v>#REF!</v>
      </c>
      <c r="AC980" s="2" t="e">
        <f>VLOOKUP(I980,#REF!,2,FALSE)</f>
        <v>#REF!</v>
      </c>
      <c r="AD980" s="2" t="e">
        <f>VLOOKUP(H980,#REF!,13,FALSE)</f>
        <v>#REF!</v>
      </c>
      <c r="AE980" s="2" t="e">
        <f>VLOOKUP(I980,#REF!,7,FALSE)</f>
        <v>#REF!</v>
      </c>
      <c r="AG980" s="2" t="e">
        <f>VLOOKUP(H980,#REF!,13,FALSE)</f>
        <v>#REF!</v>
      </c>
      <c r="AH980" s="2" t="e">
        <f>VLOOKUP(I980,#REF!,2,FALSE)</f>
        <v>#REF!</v>
      </c>
      <c r="AJ980" s="185" t="e">
        <f>VLOOKUP(H980,#REF!,3,FALSE)</f>
        <v>#REF!</v>
      </c>
      <c r="AK980" s="185"/>
      <c r="AL980" s="185"/>
      <c r="AM980" s="185" t="e">
        <f>VLOOKUP(CLEAN(H980),#REF!,7,FALSE)</f>
        <v>#REF!</v>
      </c>
      <c r="AN980" s="2" t="e">
        <f>VLOOKUP(H980,#REF!,8,FALSE)</f>
        <v>#REF!</v>
      </c>
      <c r="AO980" s="189" t="e">
        <f>VLOOKUP(H980,#REF!,2,FALSE)</f>
        <v>#REF!</v>
      </c>
      <c r="AP980" s="189" t="e">
        <f>VLOOKUP(H980,#REF!,2,FALSE)</f>
        <v>#REF!</v>
      </c>
      <c r="AQ980" s="189"/>
      <c r="AR980" s="2" t="e">
        <f>VLOOKUP(CLEAN(H980),#REF!,2,FALSE)</f>
        <v>#REF!</v>
      </c>
      <c r="AT980" s="2" t="e">
        <f>VLOOKUP(H980,#REF!,13,FALSE)</f>
        <v>#REF!</v>
      </c>
      <c r="AU980" s="2" t="e">
        <f>VLOOKUP(H980,#REF!,13,FALSE)</f>
        <v>#REF!</v>
      </c>
      <c r="AV980" s="2" t="e">
        <f>VLOOKUP(H980,#REF!,13,FALSE)</f>
        <v>#REF!</v>
      </c>
      <c r="AW980" s="2" t="e">
        <f>VLOOKUP(H980,#REF!,13,FALSE)</f>
        <v>#REF!</v>
      </c>
      <c r="AX980" s="2" t="e">
        <f>VLOOKUP(H980,#REF!,9,FALSE)</f>
        <v>#REF!</v>
      </c>
      <c r="AZ980" s="189" t="e">
        <f>VLOOKUP(H980,#REF!,2,FALSE)</f>
        <v>#REF!</v>
      </c>
      <c r="BF980" s="189" t="e">
        <f>VLOOKUP(CLEAN(H980),#REF!,2,FALSE)</f>
        <v>#REF!</v>
      </c>
      <c r="BG980" s="189" t="e">
        <f>T980-BF980</f>
        <v>#REF!</v>
      </c>
      <c r="BO980" s="2" t="e">
        <f>VLOOKUP(H980,#REF!,13,FALSE)</f>
        <v>#REF!</v>
      </c>
      <c r="BP980" s="2" t="e">
        <f>VLOOKUP(H980,#REF!,2,FALSE)</f>
        <v>#REF!</v>
      </c>
      <c r="BQ980" s="2" t="e">
        <f>VLOOKUP(H980,#REF!,13,FALSE)</f>
        <v>#REF!</v>
      </c>
      <c r="BR980" s="2" t="e">
        <f>VLOOKUP(H980,#REF!,3,FALSE)</f>
        <v>#REF!</v>
      </c>
    </row>
    <row r="981" spans="1:70" s="2" customFormat="1" ht="15" customHeight="1" outlineLevel="2">
      <c r="A981" s="5">
        <v>33</v>
      </c>
      <c r="B981" s="5" t="s">
        <v>5</v>
      </c>
      <c r="C981" s="5" t="s">
        <v>251</v>
      </c>
      <c r="D981" s="5" t="s">
        <v>148</v>
      </c>
      <c r="E981" s="5" t="s">
        <v>148</v>
      </c>
      <c r="F981" s="5" t="s">
        <v>15</v>
      </c>
      <c r="G981" s="5" t="s">
        <v>144</v>
      </c>
      <c r="H981" s="12">
        <v>30378428</v>
      </c>
      <c r="I981" s="42" t="str">
        <f t="shared" si="577"/>
        <v>30378428-EJECUCION</v>
      </c>
      <c r="J981" s="12"/>
      <c r="K981" s="307" t="str">
        <f t="shared" si="578"/>
        <v>30378428</v>
      </c>
      <c r="L981" s="15" t="s">
        <v>138</v>
      </c>
      <c r="M981" s="23">
        <v>539266000</v>
      </c>
      <c r="N981" s="34">
        <v>152013727</v>
      </c>
      <c r="O981" s="34">
        <v>387252273</v>
      </c>
      <c r="P981" s="310">
        <v>0</v>
      </c>
      <c r="Q981" s="34">
        <v>0</v>
      </c>
      <c r="R981" s="308">
        <v>0</v>
      </c>
      <c r="S981" s="34">
        <f t="shared" si="579"/>
        <v>0</v>
      </c>
      <c r="T981" s="34">
        <v>0</v>
      </c>
      <c r="U981" s="34">
        <v>0</v>
      </c>
      <c r="V981" s="34">
        <f>P981+Q981+R981+T981+U981</f>
        <v>0</v>
      </c>
      <c r="W981" s="34">
        <f>O981-V981</f>
        <v>387252273</v>
      </c>
      <c r="X981" s="34">
        <f>M981-(N981+O981)</f>
        <v>0</v>
      </c>
      <c r="Y981" s="48" t="s">
        <v>239</v>
      </c>
      <c r="Z981" s="48" t="s">
        <v>8</v>
      </c>
      <c r="AA981" s="2" t="s">
        <v>840</v>
      </c>
      <c r="AB981" s="2" t="e">
        <f>VLOOKUP(H981,#REF!,2,FALSE)</f>
        <v>#REF!</v>
      </c>
      <c r="AC981" s="2" t="e">
        <f>VLOOKUP(I981,#REF!,2,FALSE)</f>
        <v>#REF!</v>
      </c>
      <c r="AD981" s="2" t="e">
        <f>VLOOKUP(H981,#REF!,13,FALSE)</f>
        <v>#REF!</v>
      </c>
      <c r="AE981" s="2" t="e">
        <f>VLOOKUP(I981,#REF!,7,FALSE)</f>
        <v>#REF!</v>
      </c>
      <c r="AG981" s="2" t="e">
        <f>VLOOKUP(H981,#REF!,13,FALSE)</f>
        <v>#REF!</v>
      </c>
      <c r="AH981" s="2" t="e">
        <f>VLOOKUP(I981,#REF!,2,FALSE)</f>
        <v>#REF!</v>
      </c>
      <c r="AJ981" s="185" t="e">
        <f>VLOOKUP(H981,#REF!,3,FALSE)</f>
        <v>#REF!</v>
      </c>
      <c r="AK981" s="185"/>
      <c r="AL981" s="185"/>
      <c r="AM981" s="185" t="e">
        <f>VLOOKUP(CLEAN(H981),#REF!,7,FALSE)</f>
        <v>#REF!</v>
      </c>
      <c r="AN981" s="2" t="e">
        <f>VLOOKUP(H981,#REF!,8,FALSE)</f>
        <v>#REF!</v>
      </c>
      <c r="AO981" s="189" t="e">
        <f>VLOOKUP(H981,#REF!,2,FALSE)</f>
        <v>#REF!</v>
      </c>
      <c r="AP981" s="189" t="e">
        <f>VLOOKUP(H981,#REF!,2,FALSE)</f>
        <v>#REF!</v>
      </c>
      <c r="AQ981" s="189"/>
      <c r="AR981" s="2" t="e">
        <f>VLOOKUP(CLEAN(H981),#REF!,2,FALSE)</f>
        <v>#REF!</v>
      </c>
      <c r="AT981" s="2" t="e">
        <f>VLOOKUP(H981,#REF!,13,FALSE)</f>
        <v>#REF!</v>
      </c>
      <c r="AU981" s="2" t="e">
        <f>VLOOKUP(H981,#REF!,13,FALSE)</f>
        <v>#REF!</v>
      </c>
      <c r="AV981" s="2" t="e">
        <f>VLOOKUP(H981,#REF!,13,FALSE)</f>
        <v>#REF!</v>
      </c>
      <c r="AW981" s="2" t="e">
        <f>VLOOKUP(H981,#REF!,13,FALSE)</f>
        <v>#REF!</v>
      </c>
      <c r="AX981" s="2" t="e">
        <f>VLOOKUP(H981,#REF!,9,FALSE)</f>
        <v>#REF!</v>
      </c>
      <c r="AZ981" s="2" t="e">
        <f>VLOOKUP(H981,#REF!,2,FALSE)</f>
        <v>#REF!</v>
      </c>
      <c r="BF981" s="189" t="e">
        <f>VLOOKUP(CLEAN(H981),#REF!,2,FALSE)</f>
        <v>#REF!</v>
      </c>
      <c r="BG981" s="189" t="e">
        <f>T981-BF981</f>
        <v>#REF!</v>
      </c>
      <c r="BO981" s="2" t="e">
        <f>VLOOKUP(H981,#REF!,13,FALSE)</f>
        <v>#REF!</v>
      </c>
      <c r="BP981" s="2" t="e">
        <f>VLOOKUP(H981,#REF!,2,FALSE)</f>
        <v>#REF!</v>
      </c>
      <c r="BQ981" s="2" t="e">
        <f>VLOOKUP(H981,#REF!,13,FALSE)</f>
        <v>#REF!</v>
      </c>
      <c r="BR981" s="2" t="e">
        <f>VLOOKUP(H981,#REF!,3,FALSE)</f>
        <v>#REF!</v>
      </c>
    </row>
    <row r="982" spans="1:70" s="2" customFormat="1" ht="15" customHeight="1" outlineLevel="2">
      <c r="A982" s="5">
        <v>33</v>
      </c>
      <c r="B982" s="5" t="s">
        <v>5</v>
      </c>
      <c r="C982" s="5" t="s">
        <v>302</v>
      </c>
      <c r="D982" s="5" t="s">
        <v>148</v>
      </c>
      <c r="E982" s="5" t="s">
        <v>148</v>
      </c>
      <c r="F982" s="5" t="s">
        <v>457</v>
      </c>
      <c r="G982" s="5" t="s">
        <v>144</v>
      </c>
      <c r="H982" s="12">
        <v>30433775</v>
      </c>
      <c r="I982" s="42" t="str">
        <f t="shared" si="577"/>
        <v>30433775-EJECUCION</v>
      </c>
      <c r="J982" s="12"/>
      <c r="K982" s="307" t="str">
        <f t="shared" si="578"/>
        <v>30433775</v>
      </c>
      <c r="L982" s="15" t="s">
        <v>124</v>
      </c>
      <c r="M982" s="23">
        <v>500000000</v>
      </c>
      <c r="N982" s="34">
        <v>7766711</v>
      </c>
      <c r="O982" s="34">
        <v>300000000</v>
      </c>
      <c r="P982" s="310">
        <v>0</v>
      </c>
      <c r="Q982" s="34">
        <v>0</v>
      </c>
      <c r="R982" s="308">
        <v>0</v>
      </c>
      <c r="S982" s="34">
        <f t="shared" si="579"/>
        <v>0</v>
      </c>
      <c r="T982" s="34">
        <v>0</v>
      </c>
      <c r="U982" s="34">
        <v>0</v>
      </c>
      <c r="V982" s="34">
        <f>P982+Q982+R982+T982+U982</f>
        <v>0</v>
      </c>
      <c r="W982" s="34">
        <f>O982-V982</f>
        <v>300000000</v>
      </c>
      <c r="X982" s="34">
        <f>M982-(N982+O982)</f>
        <v>192233289</v>
      </c>
      <c r="Y982" s="48" t="s">
        <v>239</v>
      </c>
      <c r="Z982" s="48" t="s">
        <v>8</v>
      </c>
      <c r="AA982" s="2" t="s">
        <v>846</v>
      </c>
      <c r="AB982" s="2" t="e">
        <f>VLOOKUP(H982,#REF!,2,FALSE)</f>
        <v>#REF!</v>
      </c>
      <c r="AC982" s="2" t="e">
        <f>VLOOKUP(I982,#REF!,2,FALSE)</f>
        <v>#REF!</v>
      </c>
      <c r="AD982" s="2" t="e">
        <f>VLOOKUP(H982,#REF!,13,FALSE)</f>
        <v>#REF!</v>
      </c>
      <c r="AE982" s="2" t="e">
        <f>VLOOKUP(I982,#REF!,7,FALSE)</f>
        <v>#REF!</v>
      </c>
      <c r="AG982" s="2" t="e">
        <f>VLOOKUP(H982,#REF!,13,FALSE)</f>
        <v>#REF!</v>
      </c>
      <c r="AH982" s="2" t="e">
        <f>VLOOKUP(I982,#REF!,2,FALSE)</f>
        <v>#REF!</v>
      </c>
      <c r="AJ982" s="185" t="e">
        <f>VLOOKUP(H982,#REF!,3,FALSE)</f>
        <v>#REF!</v>
      </c>
      <c r="AK982" s="185"/>
      <c r="AL982" s="185"/>
      <c r="AM982" s="185" t="e">
        <f>VLOOKUP(CLEAN(H982),#REF!,7,FALSE)</f>
        <v>#REF!</v>
      </c>
      <c r="AN982" s="2" t="e">
        <f>VLOOKUP(H982,#REF!,8,FALSE)</f>
        <v>#REF!</v>
      </c>
      <c r="AO982" s="189" t="e">
        <f>VLOOKUP(H982,#REF!,2,FALSE)</f>
        <v>#REF!</v>
      </c>
      <c r="AP982" s="189" t="e">
        <f>VLOOKUP(H982,#REF!,2,FALSE)</f>
        <v>#REF!</v>
      </c>
      <c r="AQ982" s="189"/>
      <c r="AR982" s="2" t="e">
        <f>VLOOKUP(CLEAN(H982),#REF!,2,FALSE)</f>
        <v>#REF!</v>
      </c>
      <c r="AT982" s="2" t="e">
        <f>VLOOKUP(H982,#REF!,13,FALSE)</f>
        <v>#REF!</v>
      </c>
      <c r="AU982" s="2" t="e">
        <f>VLOOKUP(H982,#REF!,13,FALSE)</f>
        <v>#REF!</v>
      </c>
      <c r="AV982" s="2" t="e">
        <f>VLOOKUP(H982,#REF!,13,FALSE)</f>
        <v>#REF!</v>
      </c>
      <c r="AW982" s="2" t="e">
        <f>VLOOKUP(H982,#REF!,13,FALSE)</f>
        <v>#REF!</v>
      </c>
      <c r="AX982" s="2" t="e">
        <f>VLOOKUP(H982,#REF!,9,FALSE)</f>
        <v>#REF!</v>
      </c>
      <c r="AZ982" s="2" t="e">
        <f>VLOOKUP(H982,#REF!,2,FALSE)</f>
        <v>#REF!</v>
      </c>
      <c r="BF982" s="189" t="e">
        <f>VLOOKUP(CLEAN(H982),#REF!,2,FALSE)</f>
        <v>#REF!</v>
      </c>
      <c r="BG982" s="189" t="e">
        <f>T982-BF982</f>
        <v>#REF!</v>
      </c>
      <c r="BO982" s="2" t="e">
        <f>VLOOKUP(H982,#REF!,13,FALSE)</f>
        <v>#REF!</v>
      </c>
      <c r="BP982" s="2" t="e">
        <f>VLOOKUP(H982,#REF!,2,FALSE)</f>
        <v>#REF!</v>
      </c>
      <c r="BQ982" s="2" t="e">
        <f>VLOOKUP(H982,#REF!,13,FALSE)</f>
        <v>#REF!</v>
      </c>
      <c r="BR982" s="2" t="e">
        <f>VLOOKUP(H982,#REF!,3,FALSE)</f>
        <v>#REF!</v>
      </c>
    </row>
    <row r="983" spans="1:70" s="2" customFormat="1" ht="15" customHeight="1" outlineLevel="2">
      <c r="A983" s="5">
        <v>33</v>
      </c>
      <c r="B983" s="5" t="s">
        <v>5</v>
      </c>
      <c r="C983" s="5" t="s">
        <v>302</v>
      </c>
      <c r="D983" s="5" t="s">
        <v>148</v>
      </c>
      <c r="E983" s="5" t="s">
        <v>148</v>
      </c>
      <c r="F983" s="5" t="s">
        <v>457</v>
      </c>
      <c r="G983" s="5" t="s">
        <v>144</v>
      </c>
      <c r="H983" s="12">
        <v>30482019</v>
      </c>
      <c r="I983" s="42" t="str">
        <f t="shared" si="577"/>
        <v>30482019-EJECUCION</v>
      </c>
      <c r="J983" s="12"/>
      <c r="K983" s="307" t="str">
        <f t="shared" si="578"/>
        <v>30482019</v>
      </c>
      <c r="L983" s="15" t="s">
        <v>135</v>
      </c>
      <c r="M983" s="23">
        <v>400000000</v>
      </c>
      <c r="N983" s="34">
        <v>0</v>
      </c>
      <c r="O983" s="34">
        <v>300000000</v>
      </c>
      <c r="P983" s="310">
        <v>0</v>
      </c>
      <c r="Q983" s="34">
        <v>0</v>
      </c>
      <c r="R983" s="308">
        <v>0</v>
      </c>
      <c r="S983" s="34">
        <f t="shared" si="579"/>
        <v>0</v>
      </c>
      <c r="T983" s="34">
        <v>0</v>
      </c>
      <c r="U983" s="34">
        <v>7145796</v>
      </c>
      <c r="V983" s="34">
        <f>P983+Q983+R983+T983+U983</f>
        <v>7145796</v>
      </c>
      <c r="W983" s="34">
        <f>O983-V983</f>
        <v>292854204</v>
      </c>
      <c r="X983" s="34">
        <f>M983-(N983+O983)</f>
        <v>100000000</v>
      </c>
      <c r="Y983" s="48" t="s">
        <v>239</v>
      </c>
      <c r="Z983" s="48" t="s">
        <v>8</v>
      </c>
      <c r="AA983" s="2" t="e">
        <v>#N/A</v>
      </c>
      <c r="AB983" s="2" t="e">
        <f>VLOOKUP(H983,#REF!,2,FALSE)</f>
        <v>#REF!</v>
      </c>
      <c r="AC983" s="2" t="e">
        <f>VLOOKUP(I983,#REF!,2,FALSE)</f>
        <v>#REF!</v>
      </c>
      <c r="AD983" s="2" t="e">
        <f>VLOOKUP(H983,#REF!,13,FALSE)</f>
        <v>#REF!</v>
      </c>
      <c r="AE983" s="2" t="e">
        <f>VLOOKUP(I983,#REF!,7,FALSE)</f>
        <v>#REF!</v>
      </c>
      <c r="AG983" s="2" t="e">
        <f>VLOOKUP(H983,#REF!,13,FALSE)</f>
        <v>#REF!</v>
      </c>
      <c r="AH983" s="2" t="e">
        <f>VLOOKUP(I983,#REF!,2,FALSE)</f>
        <v>#REF!</v>
      </c>
      <c r="AJ983" s="185" t="e">
        <f>VLOOKUP(H983,#REF!,3,FALSE)</f>
        <v>#REF!</v>
      </c>
      <c r="AK983" s="185"/>
      <c r="AL983" s="185"/>
      <c r="AM983" s="185" t="e">
        <f>VLOOKUP(CLEAN(H983),#REF!,7,FALSE)</f>
        <v>#REF!</v>
      </c>
      <c r="AN983" s="2" t="e">
        <f>VLOOKUP(H983,#REF!,8,FALSE)</f>
        <v>#REF!</v>
      </c>
      <c r="AO983" s="189" t="e">
        <f>VLOOKUP(H983,#REF!,2,FALSE)</f>
        <v>#REF!</v>
      </c>
      <c r="AP983" s="189" t="e">
        <f>VLOOKUP(H983,#REF!,2,FALSE)</f>
        <v>#REF!</v>
      </c>
      <c r="AQ983" s="189"/>
      <c r="AR983" s="2" t="e">
        <f>VLOOKUP(CLEAN(H983),#REF!,2,FALSE)</f>
        <v>#REF!</v>
      </c>
      <c r="AT983" s="2" t="e">
        <f>VLOOKUP(H983,#REF!,13,FALSE)</f>
        <v>#REF!</v>
      </c>
      <c r="AU983" s="2" t="e">
        <f>VLOOKUP(H983,#REF!,13,FALSE)</f>
        <v>#REF!</v>
      </c>
      <c r="AV983" s="2" t="e">
        <f>VLOOKUP(H983,#REF!,13,FALSE)</f>
        <v>#REF!</v>
      </c>
      <c r="AW983" s="2" t="e">
        <f>VLOOKUP(H983,#REF!,13,FALSE)</f>
        <v>#REF!</v>
      </c>
      <c r="AX983" s="2" t="e">
        <f>VLOOKUP(H983,#REF!,9,FALSE)</f>
        <v>#REF!</v>
      </c>
      <c r="AZ983" s="2" t="e">
        <f>VLOOKUP(H983,#REF!,2,FALSE)</f>
        <v>#REF!</v>
      </c>
      <c r="BF983" s="189" t="e">
        <f>VLOOKUP(CLEAN(H983),#REF!,2,FALSE)</f>
        <v>#REF!</v>
      </c>
      <c r="BG983" s="189" t="e">
        <f>T983-BF983</f>
        <v>#REF!</v>
      </c>
      <c r="BO983" s="2" t="e">
        <f>VLOOKUP(H983,#REF!,13,FALSE)</f>
        <v>#REF!</v>
      </c>
      <c r="BP983" s="2" t="e">
        <f>VLOOKUP(H983,#REF!,2,FALSE)</f>
        <v>#REF!</v>
      </c>
      <c r="BQ983" s="2" t="e">
        <f>VLOOKUP(H983,#REF!,13,FALSE)</f>
        <v>#REF!</v>
      </c>
      <c r="BR983" s="2" t="e">
        <f>VLOOKUP(H983,#REF!,3,FALSE)</f>
        <v>#REF!</v>
      </c>
    </row>
    <row r="984" spans="1:70" s="2" customFormat="1" ht="15" customHeight="1" outlineLevel="2">
      <c r="A984" s="5">
        <v>33</v>
      </c>
      <c r="B984" s="5" t="s">
        <v>5</v>
      </c>
      <c r="C984" s="5" t="s">
        <v>302</v>
      </c>
      <c r="D984" s="5" t="s">
        <v>148</v>
      </c>
      <c r="E984" s="5" t="s">
        <v>148</v>
      </c>
      <c r="F984" s="5" t="s">
        <v>457</v>
      </c>
      <c r="G984" s="5" t="s">
        <v>144</v>
      </c>
      <c r="H984" s="12">
        <v>30482027</v>
      </c>
      <c r="I984" s="42" t="str">
        <f t="shared" si="577"/>
        <v>30482027-EJECUCION</v>
      </c>
      <c r="J984" s="12"/>
      <c r="K984" s="307" t="str">
        <f t="shared" si="578"/>
        <v>30482027</v>
      </c>
      <c r="L984" s="15" t="s">
        <v>614</v>
      </c>
      <c r="M984" s="23">
        <v>500000000</v>
      </c>
      <c r="N984" s="34">
        <v>20999364</v>
      </c>
      <c r="O984" s="34">
        <v>300000000</v>
      </c>
      <c r="P984" s="310">
        <v>0</v>
      </c>
      <c r="Q984" s="34">
        <v>0</v>
      </c>
      <c r="R984" s="308">
        <v>0</v>
      </c>
      <c r="S984" s="34">
        <f t="shared" si="579"/>
        <v>0</v>
      </c>
      <c r="T984" s="34">
        <v>0</v>
      </c>
      <c r="U984" s="34">
        <v>0</v>
      </c>
      <c r="V984" s="34">
        <f>P984+Q984+R984+T984+U984</f>
        <v>0</v>
      </c>
      <c r="W984" s="34">
        <f>O984-V984</f>
        <v>300000000</v>
      </c>
      <c r="X984" s="34">
        <f>M984-(N984+O984)</f>
        <v>179000636</v>
      </c>
      <c r="Y984" s="48" t="s">
        <v>239</v>
      </c>
      <c r="Z984" s="48" t="s">
        <v>8</v>
      </c>
      <c r="AA984" s="2" t="e">
        <v>#N/A</v>
      </c>
      <c r="AB984" s="2" t="e">
        <f>VLOOKUP(H984,#REF!,2,FALSE)</f>
        <v>#REF!</v>
      </c>
      <c r="AC984" s="2" t="e">
        <f>VLOOKUP(I984,#REF!,2,FALSE)</f>
        <v>#REF!</v>
      </c>
      <c r="AD984" s="2" t="e">
        <f>VLOOKUP(H984,#REF!,13,FALSE)</f>
        <v>#REF!</v>
      </c>
      <c r="AE984" s="2" t="e">
        <f>VLOOKUP(I984,#REF!,7,FALSE)</f>
        <v>#REF!</v>
      </c>
      <c r="AG984" s="2" t="e">
        <f>VLOOKUP(H984,#REF!,13,FALSE)</f>
        <v>#REF!</v>
      </c>
      <c r="AH984" s="2" t="e">
        <f>VLOOKUP(I984,#REF!,2,FALSE)</f>
        <v>#REF!</v>
      </c>
      <c r="AJ984" s="185" t="e">
        <f>VLOOKUP(H984,#REF!,3,FALSE)</f>
        <v>#REF!</v>
      </c>
      <c r="AK984" s="185"/>
      <c r="AL984" s="185"/>
      <c r="AM984" s="185" t="e">
        <f>VLOOKUP(CLEAN(H984),#REF!,7,FALSE)</f>
        <v>#REF!</v>
      </c>
      <c r="AN984" s="2" t="e">
        <f>VLOOKUP(H984,#REF!,8,FALSE)</f>
        <v>#REF!</v>
      </c>
      <c r="AO984" s="189" t="e">
        <f>VLOOKUP(H984,#REF!,2,FALSE)</f>
        <v>#REF!</v>
      </c>
      <c r="AP984" s="189" t="e">
        <f>VLOOKUP(H984,#REF!,2,FALSE)</f>
        <v>#REF!</v>
      </c>
      <c r="AQ984" s="189"/>
      <c r="AR984" s="2" t="e">
        <f>VLOOKUP(CLEAN(H984),#REF!,2,FALSE)</f>
        <v>#REF!</v>
      </c>
      <c r="AT984" s="2" t="e">
        <f>VLOOKUP(H984,#REF!,13,FALSE)</f>
        <v>#REF!</v>
      </c>
      <c r="AU984" s="2" t="e">
        <f>VLOOKUP(H984,#REF!,13,FALSE)</f>
        <v>#REF!</v>
      </c>
      <c r="AV984" s="2" t="e">
        <f>VLOOKUP(H984,#REF!,13,FALSE)</f>
        <v>#REF!</v>
      </c>
      <c r="AW984" s="2" t="e">
        <f>VLOOKUP(H984,#REF!,13,FALSE)</f>
        <v>#REF!</v>
      </c>
      <c r="AX984" s="2" t="e">
        <f>VLOOKUP(H984,#REF!,9,FALSE)</f>
        <v>#REF!</v>
      </c>
      <c r="AZ984" s="2" t="e">
        <f>VLOOKUP(H984,#REF!,2,FALSE)</f>
        <v>#REF!</v>
      </c>
      <c r="BF984" s="189" t="e">
        <f>VLOOKUP(CLEAN(H984),#REF!,2,FALSE)</f>
        <v>#REF!</v>
      </c>
      <c r="BG984" s="189" t="e">
        <f>T984-BF984</f>
        <v>#REF!</v>
      </c>
      <c r="BO984" s="2" t="e">
        <f>VLOOKUP(H984,#REF!,13,FALSE)</f>
        <v>#REF!</v>
      </c>
      <c r="BP984" s="2" t="e">
        <f>VLOOKUP(H984,#REF!,2,FALSE)</f>
        <v>#REF!</v>
      </c>
      <c r="BQ984" s="2" t="e">
        <f>VLOOKUP(H984,#REF!,13,FALSE)</f>
        <v>#REF!</v>
      </c>
      <c r="BR984" s="2" t="e">
        <f>VLOOKUP(H984,#REF!,3,FALSE)</f>
        <v>#REF!</v>
      </c>
    </row>
    <row r="985" spans="1:70" s="2" customFormat="1" ht="15" customHeight="1" outlineLevel="2">
      <c r="A985" s="5">
        <v>33</v>
      </c>
      <c r="B985" s="5" t="s">
        <v>5</v>
      </c>
      <c r="C985" s="5" t="s">
        <v>251</v>
      </c>
      <c r="D985" s="5" t="s">
        <v>148</v>
      </c>
      <c r="E985" s="5" t="s">
        <v>148</v>
      </c>
      <c r="F985" s="5" t="s">
        <v>15</v>
      </c>
      <c r="G985" s="5" t="s">
        <v>144</v>
      </c>
      <c r="H985" s="12">
        <v>30405874</v>
      </c>
      <c r="I985" s="42" t="str">
        <f t="shared" si="577"/>
        <v>30405874-EJECUCION</v>
      </c>
      <c r="J985" s="12"/>
      <c r="K985" s="307" t="str">
        <f t="shared" si="578"/>
        <v>30405874</v>
      </c>
      <c r="L985" s="15" t="s">
        <v>103</v>
      </c>
      <c r="M985" s="23">
        <v>413277000</v>
      </c>
      <c r="N985" s="34">
        <v>253421837</v>
      </c>
      <c r="O985" s="34">
        <v>150250575</v>
      </c>
      <c r="P985" s="310">
        <v>0</v>
      </c>
      <c r="Q985" s="34">
        <v>0</v>
      </c>
      <c r="R985" s="308">
        <v>0</v>
      </c>
      <c r="S985" s="34">
        <f t="shared" si="579"/>
        <v>0</v>
      </c>
      <c r="T985" s="34">
        <v>29258000</v>
      </c>
      <c r="U985" s="34">
        <v>26276800</v>
      </c>
      <c r="V985" s="34">
        <f>P985+Q985+R985+T985+U985</f>
        <v>55534800</v>
      </c>
      <c r="W985" s="34">
        <f>O985-V985</f>
        <v>94715775</v>
      </c>
      <c r="X985" s="34">
        <f>M985-(N985+O985)</f>
        <v>9604588</v>
      </c>
      <c r="Y985" s="48" t="s">
        <v>239</v>
      </c>
      <c r="Z985" s="48" t="s">
        <v>8</v>
      </c>
      <c r="AA985" s="2" t="s">
        <v>841</v>
      </c>
      <c r="AB985" s="2" t="e">
        <f>VLOOKUP(H985,#REF!,2,FALSE)</f>
        <v>#REF!</v>
      </c>
      <c r="AC985" s="2" t="e">
        <f>VLOOKUP(I985,#REF!,2,FALSE)</f>
        <v>#REF!</v>
      </c>
      <c r="AD985" s="2" t="e">
        <f>VLOOKUP(H985,#REF!,13,FALSE)</f>
        <v>#REF!</v>
      </c>
      <c r="AE985" s="2" t="e">
        <f>VLOOKUP(I985,#REF!,7,FALSE)</f>
        <v>#REF!</v>
      </c>
      <c r="AG985" s="2" t="e">
        <f>VLOOKUP(H985,#REF!,13,FALSE)</f>
        <v>#REF!</v>
      </c>
      <c r="AH985" s="2" t="e">
        <f>VLOOKUP(I985,#REF!,2,FALSE)</f>
        <v>#REF!</v>
      </c>
      <c r="AJ985" s="185" t="e">
        <f>VLOOKUP(H985,#REF!,3,FALSE)</f>
        <v>#REF!</v>
      </c>
      <c r="AK985" s="185"/>
      <c r="AL985" s="185"/>
      <c r="AM985" s="185" t="e">
        <f>VLOOKUP(CLEAN(H985),#REF!,7,FALSE)</f>
        <v>#REF!</v>
      </c>
      <c r="AN985" s="2" t="e">
        <f>VLOOKUP(H985,#REF!,8,FALSE)</f>
        <v>#REF!</v>
      </c>
      <c r="AO985" s="189" t="e">
        <f>VLOOKUP(H985,#REF!,2,FALSE)</f>
        <v>#REF!</v>
      </c>
      <c r="AP985" s="189" t="e">
        <f>VLOOKUP(H985,#REF!,2,FALSE)</f>
        <v>#REF!</v>
      </c>
      <c r="AQ985" s="189" t="e">
        <f>AO985-AP985</f>
        <v>#REF!</v>
      </c>
      <c r="AR985" s="2" t="e">
        <f>VLOOKUP(CLEAN(H985),#REF!,2,FALSE)</f>
        <v>#REF!</v>
      </c>
      <c r="AT985" s="2" t="e">
        <f>VLOOKUP(H985,#REF!,13,FALSE)</f>
        <v>#REF!</v>
      </c>
      <c r="AU985" s="2" t="e">
        <f>VLOOKUP(H985,#REF!,13,FALSE)</f>
        <v>#REF!</v>
      </c>
      <c r="AV985" s="2" t="e">
        <f>VLOOKUP(H985,#REF!,13,FALSE)</f>
        <v>#REF!</v>
      </c>
      <c r="AW985" s="2" t="e">
        <f>VLOOKUP(H985,#REF!,13,FALSE)</f>
        <v>#REF!</v>
      </c>
      <c r="AX985" s="2" t="e">
        <f>VLOOKUP(H985,#REF!,9,FALSE)</f>
        <v>#REF!</v>
      </c>
      <c r="AZ985" s="189" t="e">
        <f>VLOOKUP(H985,#REF!,2,FALSE)</f>
        <v>#REF!</v>
      </c>
      <c r="BF985" s="189" t="e">
        <f>VLOOKUP(CLEAN(H985),#REF!,2,FALSE)</f>
        <v>#REF!</v>
      </c>
      <c r="BG985" s="189" t="e">
        <f>T985-BF985</f>
        <v>#REF!</v>
      </c>
      <c r="BO985" s="2" t="e">
        <f>VLOOKUP(H985,#REF!,13,FALSE)</f>
        <v>#REF!</v>
      </c>
      <c r="BP985" s="2" t="e">
        <f>VLOOKUP(H985,#REF!,2,FALSE)</f>
        <v>#REF!</v>
      </c>
      <c r="BQ985" s="2" t="e">
        <f>VLOOKUP(H985,#REF!,13,FALSE)</f>
        <v>#REF!</v>
      </c>
      <c r="BR985" s="2" t="e">
        <f>VLOOKUP(H985,#REF!,3,FALSE)</f>
        <v>#REF!</v>
      </c>
    </row>
    <row r="986" spans="1:70" s="2" customFormat="1" ht="15" customHeight="1" outlineLevel="2">
      <c r="A986" s="5">
        <v>33</v>
      </c>
      <c r="B986" s="5" t="s">
        <v>5</v>
      </c>
      <c r="C986" s="5" t="s">
        <v>301</v>
      </c>
      <c r="D986" s="5" t="s">
        <v>148</v>
      </c>
      <c r="E986" s="5" t="s">
        <v>148</v>
      </c>
      <c r="F986" s="5" t="s">
        <v>457</v>
      </c>
      <c r="G986" s="5" t="s">
        <v>144</v>
      </c>
      <c r="H986" s="12">
        <v>30135459</v>
      </c>
      <c r="I986" s="42" t="str">
        <f t="shared" si="577"/>
        <v>30135459-EJECUCION</v>
      </c>
      <c r="J986" s="12"/>
      <c r="K986" s="307" t="str">
        <f t="shared" si="578"/>
        <v>30135459</v>
      </c>
      <c r="L986" s="15" t="s">
        <v>666</v>
      </c>
      <c r="M986" s="23">
        <v>917732000</v>
      </c>
      <c r="N986" s="34">
        <v>772970293</v>
      </c>
      <c r="O986" s="34">
        <v>22087198</v>
      </c>
      <c r="P986" s="310">
        <v>0</v>
      </c>
      <c r="Q986" s="34">
        <v>0</v>
      </c>
      <c r="R986" s="308">
        <v>0</v>
      </c>
      <c r="S986" s="34">
        <f t="shared" si="579"/>
        <v>0</v>
      </c>
      <c r="T986" s="34">
        <v>0</v>
      </c>
      <c r="U986" s="34">
        <v>0</v>
      </c>
      <c r="V986" s="34">
        <f>P986+Q986+R986+T986+U986</f>
        <v>0</v>
      </c>
      <c r="W986" s="34">
        <f>O986-V986</f>
        <v>22087198</v>
      </c>
      <c r="X986" s="34">
        <f>M986-(N986+O986)</f>
        <v>122674509</v>
      </c>
      <c r="Y986" s="48" t="s">
        <v>239</v>
      </c>
      <c r="Z986" s="48" t="s">
        <v>8</v>
      </c>
      <c r="AA986" s="2" t="s">
        <v>841</v>
      </c>
      <c r="AB986" s="2" t="e">
        <f>VLOOKUP(H986,#REF!,2,FALSE)</f>
        <v>#REF!</v>
      </c>
      <c r="AC986" s="2" t="e">
        <f>VLOOKUP(I986,#REF!,2,FALSE)</f>
        <v>#REF!</v>
      </c>
      <c r="AD986" s="2" t="e">
        <f>VLOOKUP(H986,#REF!,13,FALSE)</f>
        <v>#REF!</v>
      </c>
      <c r="AE986" s="177" t="e">
        <f>VLOOKUP(I986,#REF!,7,FALSE)</f>
        <v>#REF!</v>
      </c>
      <c r="AG986" s="2" t="e">
        <f>VLOOKUP(H986,#REF!,13,FALSE)</f>
        <v>#REF!</v>
      </c>
      <c r="AH986" s="2" t="e">
        <f>VLOOKUP(I986,#REF!,2,FALSE)</f>
        <v>#REF!</v>
      </c>
      <c r="AJ986" s="185" t="e">
        <f>VLOOKUP(H986,#REF!,3,FALSE)</f>
        <v>#REF!</v>
      </c>
      <c r="AK986" s="185"/>
      <c r="AL986" s="185"/>
      <c r="AM986" s="185" t="e">
        <f>VLOOKUP(CLEAN(H986),#REF!,7,FALSE)</f>
        <v>#REF!</v>
      </c>
      <c r="AN986" s="2" t="e">
        <f>VLOOKUP(H986,#REF!,8,FALSE)</f>
        <v>#REF!</v>
      </c>
      <c r="AO986" s="189" t="e">
        <f>VLOOKUP(H986,#REF!,2,FALSE)</f>
        <v>#REF!</v>
      </c>
      <c r="AP986" s="189" t="e">
        <f>VLOOKUP(H986,#REF!,2,FALSE)</f>
        <v>#REF!</v>
      </c>
      <c r="AQ986" s="189"/>
      <c r="AR986" s="2" t="e">
        <f>VLOOKUP(CLEAN(H986),#REF!,2,FALSE)</f>
        <v>#REF!</v>
      </c>
      <c r="AT986" s="2" t="e">
        <f>VLOOKUP(H986,#REF!,13,FALSE)</f>
        <v>#REF!</v>
      </c>
      <c r="AU986" s="2" t="e">
        <f>VLOOKUP(H986,#REF!,13,FALSE)</f>
        <v>#REF!</v>
      </c>
      <c r="AV986" s="2" t="e">
        <f>VLOOKUP(H986,#REF!,13,FALSE)</f>
        <v>#REF!</v>
      </c>
      <c r="AW986" s="2" t="e">
        <f>VLOOKUP(H986,#REF!,13,FALSE)</f>
        <v>#REF!</v>
      </c>
      <c r="AX986" s="2" t="e">
        <f>VLOOKUP(H986,#REF!,9,FALSE)</f>
        <v>#REF!</v>
      </c>
      <c r="AZ986" s="2" t="e">
        <f>VLOOKUP(H986,#REF!,2,FALSE)</f>
        <v>#REF!</v>
      </c>
      <c r="BF986" s="189" t="e">
        <f>VLOOKUP(CLEAN(H986),#REF!,2,FALSE)</f>
        <v>#REF!</v>
      </c>
      <c r="BG986" s="189" t="e">
        <f>T986-BF986</f>
        <v>#REF!</v>
      </c>
      <c r="BO986" s="2" t="e">
        <f>VLOOKUP(H986,#REF!,13,FALSE)</f>
        <v>#REF!</v>
      </c>
      <c r="BP986" s="2" t="e">
        <f>VLOOKUP(H986,#REF!,2,FALSE)</f>
        <v>#REF!</v>
      </c>
      <c r="BQ986" s="2" t="e">
        <f>VLOOKUP(H986,#REF!,13,FALSE)</f>
        <v>#REF!</v>
      </c>
      <c r="BR986" s="2" t="e">
        <f>VLOOKUP(H986,#REF!,3,FALSE)</f>
        <v>#REF!</v>
      </c>
    </row>
    <row r="987" spans="1:70" s="2" customFormat="1" ht="15" customHeight="1" outlineLevel="2">
      <c r="A987" s="5">
        <v>33</v>
      </c>
      <c r="B987" s="5" t="s">
        <v>5</v>
      </c>
      <c r="C987" s="5" t="s">
        <v>301</v>
      </c>
      <c r="D987" s="5" t="s">
        <v>148</v>
      </c>
      <c r="E987" s="5" t="s">
        <v>148</v>
      </c>
      <c r="F987" s="5" t="s">
        <v>457</v>
      </c>
      <c r="G987" s="5" t="s">
        <v>144</v>
      </c>
      <c r="H987" s="12">
        <v>30349427</v>
      </c>
      <c r="I987" s="42" t="str">
        <f t="shared" si="577"/>
        <v>30349427-EJECUCION</v>
      </c>
      <c r="J987" s="12"/>
      <c r="K987" s="307" t="str">
        <f t="shared" si="578"/>
        <v>30349427</v>
      </c>
      <c r="L987" s="15" t="s">
        <v>671</v>
      </c>
      <c r="M987" s="23">
        <v>540800000</v>
      </c>
      <c r="N987" s="34">
        <v>211243811</v>
      </c>
      <c r="O987" s="34">
        <v>245544000</v>
      </c>
      <c r="P987" s="310">
        <v>0</v>
      </c>
      <c r="Q987" s="34">
        <v>0</v>
      </c>
      <c r="R987" s="308">
        <v>0</v>
      </c>
      <c r="S987" s="34">
        <f t="shared" si="579"/>
        <v>0</v>
      </c>
      <c r="T987" s="34">
        <v>0</v>
      </c>
      <c r="U987" s="34">
        <v>0</v>
      </c>
      <c r="V987" s="34">
        <f>P987+Q987+R987+T987+U987</f>
        <v>0</v>
      </c>
      <c r="W987" s="34">
        <f>O987-V987</f>
        <v>245544000</v>
      </c>
      <c r="X987" s="34">
        <f>M987-(N987+O987)</f>
        <v>84012189</v>
      </c>
      <c r="Y987" s="48" t="s">
        <v>239</v>
      </c>
      <c r="Z987" s="48" t="s">
        <v>8</v>
      </c>
      <c r="AA987" s="2" t="e">
        <v>#N/A</v>
      </c>
      <c r="AB987" s="2" t="e">
        <f>VLOOKUP(H987,#REF!,2,FALSE)</f>
        <v>#REF!</v>
      </c>
      <c r="AC987" s="2" t="e">
        <f>VLOOKUP(I987,#REF!,2,FALSE)</f>
        <v>#REF!</v>
      </c>
      <c r="AD987" s="2" t="e">
        <f>VLOOKUP(H987,#REF!,13,FALSE)</f>
        <v>#REF!</v>
      </c>
      <c r="AE987" s="177" t="e">
        <f>VLOOKUP(I987,#REF!,7,FALSE)</f>
        <v>#REF!</v>
      </c>
      <c r="AG987" s="2" t="e">
        <f>VLOOKUP(H987,#REF!,13,FALSE)</f>
        <v>#REF!</v>
      </c>
      <c r="AH987" s="2" t="e">
        <f>VLOOKUP(I987,#REF!,2,FALSE)</f>
        <v>#REF!</v>
      </c>
      <c r="AJ987" s="185" t="e">
        <f>VLOOKUP(H987,#REF!,3,FALSE)</f>
        <v>#REF!</v>
      </c>
      <c r="AK987" s="185"/>
      <c r="AL987" s="185"/>
      <c r="AM987" s="185" t="e">
        <f>VLOOKUP(CLEAN(H987),#REF!,7,FALSE)</f>
        <v>#REF!</v>
      </c>
      <c r="AN987" s="2" t="e">
        <f>VLOOKUP(H987,#REF!,8,FALSE)</f>
        <v>#REF!</v>
      </c>
      <c r="AO987" s="189" t="e">
        <f>VLOOKUP(H987,#REF!,2,FALSE)</f>
        <v>#REF!</v>
      </c>
      <c r="AP987" s="189" t="e">
        <f>VLOOKUP(H987,#REF!,2,FALSE)</f>
        <v>#REF!</v>
      </c>
      <c r="AQ987" s="189"/>
      <c r="AR987" s="2" t="e">
        <f>VLOOKUP(CLEAN(H987),#REF!,2,FALSE)</f>
        <v>#REF!</v>
      </c>
      <c r="AT987" s="2" t="e">
        <f>VLOOKUP(H987,#REF!,13,FALSE)</f>
        <v>#REF!</v>
      </c>
      <c r="AU987" s="2" t="e">
        <f>VLOOKUP(H987,#REF!,13,FALSE)</f>
        <v>#REF!</v>
      </c>
      <c r="AV987" s="2" t="e">
        <f>VLOOKUP(H987,#REF!,13,FALSE)</f>
        <v>#REF!</v>
      </c>
      <c r="AW987" s="2" t="e">
        <f>VLOOKUP(H987,#REF!,13,FALSE)</f>
        <v>#REF!</v>
      </c>
      <c r="AX987" s="2" t="e">
        <f>VLOOKUP(H987,#REF!,9,FALSE)</f>
        <v>#REF!</v>
      </c>
      <c r="AZ987" s="189" t="e">
        <f>VLOOKUP(H987,#REF!,2,FALSE)</f>
        <v>#REF!</v>
      </c>
      <c r="BF987" s="189" t="e">
        <f>VLOOKUP(CLEAN(H987),#REF!,2,FALSE)</f>
        <v>#REF!</v>
      </c>
      <c r="BG987" s="189" t="e">
        <f>T987-BF987</f>
        <v>#REF!</v>
      </c>
      <c r="BO987" s="2" t="e">
        <f>VLOOKUP(H987,#REF!,13,FALSE)</f>
        <v>#REF!</v>
      </c>
      <c r="BP987" s="2" t="e">
        <f>VLOOKUP(H987,#REF!,2,FALSE)</f>
        <v>#REF!</v>
      </c>
      <c r="BQ987" s="2" t="e">
        <f>VLOOKUP(H987,#REF!,13,FALSE)</f>
        <v>#REF!</v>
      </c>
      <c r="BR987" s="2" t="e">
        <f>VLOOKUP(H987,#REF!,3,FALSE)</f>
        <v>#REF!</v>
      </c>
    </row>
    <row r="988" spans="1:70" s="2" customFormat="1" ht="15" customHeight="1" outlineLevel="2">
      <c r="A988" s="5">
        <v>33</v>
      </c>
      <c r="B988" s="5" t="s">
        <v>5</v>
      </c>
      <c r="C988" s="5" t="s">
        <v>275</v>
      </c>
      <c r="D988" s="5" t="s">
        <v>148</v>
      </c>
      <c r="E988" s="5" t="s">
        <v>148</v>
      </c>
      <c r="F988" s="5" t="s">
        <v>457</v>
      </c>
      <c r="G988" s="5" t="s">
        <v>144</v>
      </c>
      <c r="H988" s="12">
        <v>30440729</v>
      </c>
      <c r="I988" s="42" t="str">
        <f t="shared" si="577"/>
        <v>30440729-EJECUCION</v>
      </c>
      <c r="J988" s="12"/>
      <c r="K988" s="307" t="str">
        <f t="shared" si="578"/>
        <v>30440729</v>
      </c>
      <c r="L988" s="15" t="s">
        <v>107</v>
      </c>
      <c r="M988" s="23">
        <v>350961000</v>
      </c>
      <c r="N988" s="34">
        <v>166490237</v>
      </c>
      <c r="O988" s="34">
        <v>153510229</v>
      </c>
      <c r="P988" s="310">
        <v>0</v>
      </c>
      <c r="Q988" s="34">
        <v>0</v>
      </c>
      <c r="R988" s="308">
        <v>0</v>
      </c>
      <c r="S988" s="34">
        <f t="shared" si="579"/>
        <v>0</v>
      </c>
      <c r="T988" s="34">
        <v>0</v>
      </c>
      <c r="U988" s="34">
        <v>0</v>
      </c>
      <c r="V988" s="34">
        <f>P988+Q988+R988+T988+U988</f>
        <v>0</v>
      </c>
      <c r="W988" s="34">
        <f>O988-V988</f>
        <v>153510229</v>
      </c>
      <c r="X988" s="34">
        <f>M988-(N988+O988)</f>
        <v>30960534</v>
      </c>
      <c r="Y988" s="48" t="s">
        <v>239</v>
      </c>
      <c r="Z988" s="48" t="s">
        <v>8</v>
      </c>
      <c r="AA988" s="2" t="e">
        <v>#N/A</v>
      </c>
      <c r="AB988" s="2" t="e">
        <f>VLOOKUP(H988,#REF!,2,FALSE)</f>
        <v>#REF!</v>
      </c>
      <c r="AC988" s="2" t="e">
        <f>VLOOKUP(I988,#REF!,2,FALSE)</f>
        <v>#REF!</v>
      </c>
      <c r="AD988" s="2" t="e">
        <f>VLOOKUP(H988,#REF!,13,FALSE)</f>
        <v>#REF!</v>
      </c>
      <c r="AE988" s="2" t="e">
        <f>VLOOKUP(I988,#REF!,7,FALSE)</f>
        <v>#REF!</v>
      </c>
      <c r="AG988" s="2" t="e">
        <f>VLOOKUP(H988,#REF!,13,FALSE)</f>
        <v>#REF!</v>
      </c>
      <c r="AH988" s="2" t="e">
        <f>VLOOKUP(I988,#REF!,2,FALSE)</f>
        <v>#REF!</v>
      </c>
      <c r="AJ988" s="185" t="e">
        <f>VLOOKUP(H988,#REF!,3,FALSE)</f>
        <v>#REF!</v>
      </c>
      <c r="AK988" s="185"/>
      <c r="AL988" s="185"/>
      <c r="AM988" s="185" t="e">
        <f>VLOOKUP(CLEAN(H988),#REF!,7,FALSE)</f>
        <v>#REF!</v>
      </c>
      <c r="AN988" s="2" t="e">
        <f>VLOOKUP(H988,#REF!,8,FALSE)</f>
        <v>#REF!</v>
      </c>
      <c r="AO988" s="189" t="e">
        <f>VLOOKUP(H988,#REF!,2,FALSE)</f>
        <v>#REF!</v>
      </c>
      <c r="AP988" s="189" t="e">
        <f>VLOOKUP(H988,#REF!,2,FALSE)</f>
        <v>#REF!</v>
      </c>
      <c r="AQ988" s="189"/>
      <c r="AR988" s="2" t="e">
        <f>VLOOKUP(CLEAN(H988),#REF!,2,FALSE)</f>
        <v>#REF!</v>
      </c>
      <c r="AT988" s="2" t="e">
        <f>VLOOKUP(H988,#REF!,13,FALSE)</f>
        <v>#REF!</v>
      </c>
      <c r="AU988" s="2" t="e">
        <f>VLOOKUP(H988,#REF!,13,FALSE)</f>
        <v>#REF!</v>
      </c>
      <c r="AV988" s="2" t="e">
        <f>VLOOKUP(H988,#REF!,13,FALSE)</f>
        <v>#REF!</v>
      </c>
      <c r="AW988" s="2" t="e">
        <f>VLOOKUP(H988,#REF!,13,FALSE)</f>
        <v>#REF!</v>
      </c>
      <c r="AX988" s="2" t="e">
        <f>VLOOKUP(H988,#REF!,9,FALSE)</f>
        <v>#REF!</v>
      </c>
      <c r="AZ988" s="189" t="e">
        <f>VLOOKUP(H988,#REF!,2,FALSE)</f>
        <v>#REF!</v>
      </c>
      <c r="BF988" s="189" t="e">
        <f>VLOOKUP(CLEAN(H988),#REF!,2,FALSE)</f>
        <v>#REF!</v>
      </c>
      <c r="BG988" s="189" t="e">
        <f>T988-BF988</f>
        <v>#REF!</v>
      </c>
      <c r="BO988" s="2" t="e">
        <f>VLOOKUP(H988,#REF!,13,FALSE)</f>
        <v>#REF!</v>
      </c>
      <c r="BP988" s="2" t="e">
        <f>VLOOKUP(H988,#REF!,2,FALSE)</f>
        <v>#REF!</v>
      </c>
      <c r="BQ988" s="2" t="e">
        <f>VLOOKUP(H988,#REF!,13,FALSE)</f>
        <v>#REF!</v>
      </c>
      <c r="BR988" s="2" t="e">
        <f>VLOOKUP(H988,#REF!,3,FALSE)</f>
        <v>#REF!</v>
      </c>
    </row>
    <row r="989" spans="1:70" s="2" customFormat="1" ht="15" customHeight="1" outlineLevel="2">
      <c r="A989" s="5">
        <v>33</v>
      </c>
      <c r="B989" s="5" t="s">
        <v>5</v>
      </c>
      <c r="C989" s="5" t="s">
        <v>275</v>
      </c>
      <c r="D989" s="5" t="s">
        <v>148</v>
      </c>
      <c r="E989" s="5" t="s">
        <v>148</v>
      </c>
      <c r="F989" s="5" t="s">
        <v>457</v>
      </c>
      <c r="G989" s="5" t="s">
        <v>144</v>
      </c>
      <c r="H989" s="12">
        <v>30464733</v>
      </c>
      <c r="I989" s="42" t="str">
        <f t="shared" si="577"/>
        <v>30464733-EJECUCION</v>
      </c>
      <c r="J989" s="12"/>
      <c r="K989" s="307" t="str">
        <f t="shared" si="578"/>
        <v>30464733</v>
      </c>
      <c r="L989" s="15" t="s">
        <v>670</v>
      </c>
      <c r="M989" s="23">
        <v>552107000</v>
      </c>
      <c r="N989" s="34">
        <v>491888375</v>
      </c>
      <c r="O989" s="34">
        <v>11525625</v>
      </c>
      <c r="P989" s="310">
        <v>0</v>
      </c>
      <c r="Q989" s="34">
        <v>0</v>
      </c>
      <c r="R989" s="308">
        <v>0</v>
      </c>
      <c r="S989" s="34">
        <f t="shared" si="579"/>
        <v>0</v>
      </c>
      <c r="T989" s="34">
        <v>0</v>
      </c>
      <c r="U989" s="34">
        <v>0</v>
      </c>
      <c r="V989" s="34">
        <f>P989+Q989+R989+T989+U989</f>
        <v>0</v>
      </c>
      <c r="W989" s="34">
        <f>O989-V989</f>
        <v>11525625</v>
      </c>
      <c r="X989" s="34">
        <f>M989-(N989+O989)</f>
        <v>48693000</v>
      </c>
      <c r="Y989" s="48" t="s">
        <v>239</v>
      </c>
      <c r="Z989" s="48" t="s">
        <v>8</v>
      </c>
      <c r="AA989" s="2" t="s">
        <v>841</v>
      </c>
      <c r="AB989" s="2" t="e">
        <f>VLOOKUP(H989,#REF!,2,FALSE)</f>
        <v>#REF!</v>
      </c>
      <c r="AC989" s="2" t="e">
        <f>VLOOKUP(I989,#REF!,2,FALSE)</f>
        <v>#REF!</v>
      </c>
      <c r="AD989" s="2" t="e">
        <f>VLOOKUP(H989,#REF!,13,FALSE)</f>
        <v>#REF!</v>
      </c>
      <c r="AE989" s="177" t="e">
        <f>VLOOKUP(I989,#REF!,7,FALSE)</f>
        <v>#REF!</v>
      </c>
      <c r="AG989" s="2" t="e">
        <f>VLOOKUP(H989,#REF!,13,FALSE)</f>
        <v>#REF!</v>
      </c>
      <c r="AH989" s="2" t="e">
        <f>VLOOKUP(I989,#REF!,2,FALSE)</f>
        <v>#REF!</v>
      </c>
      <c r="AJ989" s="185" t="e">
        <f>VLOOKUP(H989,#REF!,3,FALSE)</f>
        <v>#REF!</v>
      </c>
      <c r="AK989" s="185"/>
      <c r="AL989" s="185"/>
      <c r="AM989" s="185" t="e">
        <f>VLOOKUP(CLEAN(H989),#REF!,7,FALSE)</f>
        <v>#REF!</v>
      </c>
      <c r="AN989" s="2" t="e">
        <f>VLOOKUP(H989,#REF!,8,FALSE)</f>
        <v>#REF!</v>
      </c>
      <c r="AO989" s="189" t="e">
        <f>VLOOKUP(H989,#REF!,2,FALSE)</f>
        <v>#REF!</v>
      </c>
      <c r="AP989" s="189" t="e">
        <f>VLOOKUP(H989,#REF!,2,FALSE)</f>
        <v>#REF!</v>
      </c>
      <c r="AQ989" s="189"/>
      <c r="AR989" s="2" t="e">
        <f>VLOOKUP(CLEAN(H989),#REF!,2,FALSE)</f>
        <v>#REF!</v>
      </c>
      <c r="AT989" s="2" t="e">
        <f>VLOOKUP(H989,#REF!,13,FALSE)</f>
        <v>#REF!</v>
      </c>
      <c r="AU989" s="2" t="e">
        <f>VLOOKUP(H989,#REF!,13,FALSE)</f>
        <v>#REF!</v>
      </c>
      <c r="AV989" s="2" t="e">
        <f>VLOOKUP(H989,#REF!,13,FALSE)</f>
        <v>#REF!</v>
      </c>
      <c r="AW989" s="2" t="e">
        <f>VLOOKUP(H989,#REF!,13,FALSE)</f>
        <v>#REF!</v>
      </c>
      <c r="AX989" s="2" t="e">
        <f>VLOOKUP(H989,#REF!,9,FALSE)</f>
        <v>#REF!</v>
      </c>
      <c r="AZ989" s="2" t="e">
        <f>VLOOKUP(H989,#REF!,2,FALSE)</f>
        <v>#REF!</v>
      </c>
      <c r="BF989" s="189" t="e">
        <f>VLOOKUP(CLEAN(H989),#REF!,2,FALSE)</f>
        <v>#REF!</v>
      </c>
      <c r="BG989" s="189" t="e">
        <f>T989-BF989</f>
        <v>#REF!</v>
      </c>
      <c r="BO989" s="2" t="e">
        <f>VLOOKUP(H989,#REF!,13,FALSE)</f>
        <v>#REF!</v>
      </c>
      <c r="BP989" s="2" t="e">
        <f>VLOOKUP(H989,#REF!,2,FALSE)</f>
        <v>#REF!</v>
      </c>
      <c r="BQ989" s="2" t="e">
        <f>VLOOKUP(H989,#REF!,13,FALSE)</f>
        <v>#REF!</v>
      </c>
      <c r="BR989" s="2" t="e">
        <f>VLOOKUP(H989,#REF!,3,FALSE)</f>
        <v>#REF!</v>
      </c>
    </row>
    <row r="990" spans="1:70" s="2" customFormat="1" ht="15" customHeight="1" outlineLevel="2">
      <c r="A990" s="5">
        <v>33</v>
      </c>
      <c r="B990" s="5" t="s">
        <v>5</v>
      </c>
      <c r="C990" s="5" t="s">
        <v>302</v>
      </c>
      <c r="D990" s="5" t="s">
        <v>148</v>
      </c>
      <c r="E990" s="5" t="s">
        <v>148</v>
      </c>
      <c r="F990" s="5" t="s">
        <v>457</v>
      </c>
      <c r="G990" s="5" t="s">
        <v>144</v>
      </c>
      <c r="H990" s="12">
        <v>30351343</v>
      </c>
      <c r="I990" s="42" t="str">
        <f t="shared" si="577"/>
        <v>30351343-EJECUCION</v>
      </c>
      <c r="J990" s="12"/>
      <c r="K990" s="307" t="str">
        <f t="shared" si="578"/>
        <v>30351343</v>
      </c>
      <c r="L990" s="15" t="s">
        <v>137</v>
      </c>
      <c r="M990" s="23">
        <v>450000000</v>
      </c>
      <c r="N990" s="34">
        <v>20000000</v>
      </c>
      <c r="O990" s="34">
        <v>230000000</v>
      </c>
      <c r="P990" s="310">
        <v>0</v>
      </c>
      <c r="Q990" s="34">
        <v>0</v>
      </c>
      <c r="R990" s="308">
        <v>0</v>
      </c>
      <c r="S990" s="34">
        <f t="shared" si="579"/>
        <v>0</v>
      </c>
      <c r="T990" s="34">
        <v>0</v>
      </c>
      <c r="U990" s="34">
        <v>0</v>
      </c>
      <c r="V990" s="34">
        <f>P990+Q990+R990+T990+U990</f>
        <v>0</v>
      </c>
      <c r="W990" s="34">
        <f>O990-V990</f>
        <v>230000000</v>
      </c>
      <c r="X990" s="34">
        <f>M990-(N990+O990)</f>
        <v>200000000</v>
      </c>
      <c r="Y990" s="48" t="s">
        <v>239</v>
      </c>
      <c r="Z990" s="48" t="s">
        <v>8</v>
      </c>
      <c r="AA990" s="2" t="e">
        <v>#N/A</v>
      </c>
      <c r="AB990" s="2" t="e">
        <f>VLOOKUP(H990,#REF!,2,FALSE)</f>
        <v>#REF!</v>
      </c>
      <c r="AC990" s="2" t="e">
        <f>VLOOKUP(I990,#REF!,2,FALSE)</f>
        <v>#REF!</v>
      </c>
      <c r="AD990" s="2" t="e">
        <f>VLOOKUP(H990,#REF!,13,FALSE)</f>
        <v>#REF!</v>
      </c>
      <c r="AE990" s="2" t="e">
        <f>VLOOKUP(I990,#REF!,7,FALSE)</f>
        <v>#REF!</v>
      </c>
      <c r="AG990" s="2" t="e">
        <f>VLOOKUP(H990,#REF!,13,FALSE)</f>
        <v>#REF!</v>
      </c>
      <c r="AH990" s="2" t="e">
        <f>VLOOKUP(I990,#REF!,2,FALSE)</f>
        <v>#REF!</v>
      </c>
      <c r="AJ990" s="185" t="e">
        <f>VLOOKUP(H990,#REF!,3,FALSE)</f>
        <v>#REF!</v>
      </c>
      <c r="AK990" s="185"/>
      <c r="AL990" s="185"/>
      <c r="AM990" s="185" t="e">
        <f>VLOOKUP(CLEAN(H990),#REF!,7,FALSE)</f>
        <v>#REF!</v>
      </c>
      <c r="AN990" s="2" t="e">
        <f>VLOOKUP(H990,#REF!,8,FALSE)</f>
        <v>#REF!</v>
      </c>
      <c r="AO990" s="189" t="e">
        <f>VLOOKUP(H990,#REF!,2,FALSE)</f>
        <v>#REF!</v>
      </c>
      <c r="AP990" s="189" t="e">
        <f>VLOOKUP(H990,#REF!,2,FALSE)</f>
        <v>#REF!</v>
      </c>
      <c r="AQ990" s="189"/>
      <c r="AR990" s="2" t="e">
        <f>VLOOKUP(CLEAN(H990),#REF!,2,FALSE)</f>
        <v>#REF!</v>
      </c>
      <c r="AT990" s="2" t="e">
        <f>VLOOKUP(H990,#REF!,13,FALSE)</f>
        <v>#REF!</v>
      </c>
      <c r="AU990" s="2" t="e">
        <f>VLOOKUP(H990,#REF!,13,FALSE)</f>
        <v>#REF!</v>
      </c>
      <c r="AV990" s="2" t="e">
        <f>VLOOKUP(H990,#REF!,13,FALSE)</f>
        <v>#REF!</v>
      </c>
      <c r="AW990" s="2" t="e">
        <f>VLOOKUP(H990,#REF!,13,FALSE)</f>
        <v>#REF!</v>
      </c>
      <c r="AX990" s="2" t="e">
        <f>VLOOKUP(H990,#REF!,9,FALSE)</f>
        <v>#REF!</v>
      </c>
      <c r="AZ990" s="2" t="e">
        <f>VLOOKUP(H990,#REF!,2,FALSE)</f>
        <v>#REF!</v>
      </c>
      <c r="BF990" s="189" t="e">
        <f>VLOOKUP(CLEAN(H990),#REF!,2,FALSE)</f>
        <v>#REF!</v>
      </c>
      <c r="BG990" s="189" t="e">
        <f>T990-BF990</f>
        <v>#REF!</v>
      </c>
      <c r="BO990" s="2" t="e">
        <f>VLOOKUP(H990,#REF!,13,FALSE)</f>
        <v>#REF!</v>
      </c>
      <c r="BP990" s="2" t="e">
        <f>VLOOKUP(H990,#REF!,2,FALSE)</f>
        <v>#REF!</v>
      </c>
      <c r="BQ990" s="2" t="e">
        <f>VLOOKUP(H990,#REF!,13,FALSE)</f>
        <v>#REF!</v>
      </c>
      <c r="BR990" s="2" t="e">
        <f>VLOOKUP(H990,#REF!,3,FALSE)</f>
        <v>#REF!</v>
      </c>
    </row>
    <row r="991" spans="1:70" s="2" customFormat="1" ht="15" customHeight="1" outlineLevel="2">
      <c r="A991" s="5">
        <v>33</v>
      </c>
      <c r="B991" s="5" t="s">
        <v>5</v>
      </c>
      <c r="C991" s="5" t="s">
        <v>302</v>
      </c>
      <c r="D991" s="5" t="s">
        <v>148</v>
      </c>
      <c r="E991" s="5" t="s">
        <v>148</v>
      </c>
      <c r="F991" s="5" t="s">
        <v>77</v>
      </c>
      <c r="G991" s="5" t="s">
        <v>144</v>
      </c>
      <c r="H991" s="12">
        <v>30419826</v>
      </c>
      <c r="I991" s="42" t="str">
        <f t="shared" si="577"/>
        <v>30419826-EJECUCION</v>
      </c>
      <c r="J991" s="12"/>
      <c r="K991" s="307" t="str">
        <f t="shared" si="578"/>
        <v>30419826</v>
      </c>
      <c r="L991" s="15" t="s">
        <v>136</v>
      </c>
      <c r="M991" s="23">
        <v>315000000</v>
      </c>
      <c r="N991" s="34">
        <v>49500000</v>
      </c>
      <c r="O991" s="34">
        <v>150000000</v>
      </c>
      <c r="P991" s="310">
        <v>0</v>
      </c>
      <c r="Q991" s="34">
        <v>0</v>
      </c>
      <c r="R991" s="308">
        <v>0</v>
      </c>
      <c r="S991" s="34">
        <f t="shared" si="579"/>
        <v>0</v>
      </c>
      <c r="T991" s="34">
        <v>0</v>
      </c>
      <c r="U991" s="34">
        <v>0</v>
      </c>
      <c r="V991" s="34">
        <f>P991+Q991+R991+T991+U991</f>
        <v>0</v>
      </c>
      <c r="W991" s="34">
        <f>O991-V991</f>
        <v>150000000</v>
      </c>
      <c r="X991" s="34">
        <f>M991-(N991+O991)</f>
        <v>115500000</v>
      </c>
      <c r="Y991" s="48" t="s">
        <v>239</v>
      </c>
      <c r="Z991" s="48" t="s">
        <v>8</v>
      </c>
      <c r="AA991" s="2" t="e">
        <v>#N/A</v>
      </c>
      <c r="AB991" s="2" t="e">
        <f>VLOOKUP(H991,#REF!,2,FALSE)</f>
        <v>#REF!</v>
      </c>
      <c r="AC991" s="2" t="e">
        <f>VLOOKUP(I991,#REF!,2,FALSE)</f>
        <v>#REF!</v>
      </c>
      <c r="AD991" s="2" t="e">
        <f>VLOOKUP(H991,#REF!,13,FALSE)</f>
        <v>#REF!</v>
      </c>
      <c r="AE991" s="2" t="e">
        <f>VLOOKUP(I991,#REF!,7,FALSE)</f>
        <v>#REF!</v>
      </c>
      <c r="AG991" s="2" t="e">
        <f>VLOOKUP(H991,#REF!,13,FALSE)</f>
        <v>#REF!</v>
      </c>
      <c r="AH991" s="2" t="e">
        <f>VLOOKUP(I991,#REF!,2,FALSE)</f>
        <v>#REF!</v>
      </c>
      <c r="AJ991" s="185" t="e">
        <f>VLOOKUP(H991,#REF!,3,FALSE)</f>
        <v>#REF!</v>
      </c>
      <c r="AK991" s="185"/>
      <c r="AL991" s="185"/>
      <c r="AM991" s="185" t="e">
        <f>VLOOKUP(CLEAN(H991),#REF!,7,FALSE)</f>
        <v>#REF!</v>
      </c>
      <c r="AN991" s="2" t="e">
        <f>VLOOKUP(H991,#REF!,8,FALSE)</f>
        <v>#REF!</v>
      </c>
      <c r="AO991" s="189" t="e">
        <f>VLOOKUP(H991,#REF!,2,FALSE)</f>
        <v>#REF!</v>
      </c>
      <c r="AP991" s="189" t="e">
        <f>VLOOKUP(H991,#REF!,2,FALSE)</f>
        <v>#REF!</v>
      </c>
      <c r="AQ991" s="189"/>
      <c r="AR991" s="2" t="e">
        <f>VLOOKUP(CLEAN(H991),#REF!,2,FALSE)</f>
        <v>#REF!</v>
      </c>
      <c r="AT991" s="2" t="e">
        <f>VLOOKUP(H991,#REF!,13,FALSE)</f>
        <v>#REF!</v>
      </c>
      <c r="AU991" s="2" t="e">
        <f>VLOOKUP(H991,#REF!,13,FALSE)</f>
        <v>#REF!</v>
      </c>
      <c r="AV991" s="2" t="e">
        <f>VLOOKUP(H991,#REF!,13,FALSE)</f>
        <v>#REF!</v>
      </c>
      <c r="AW991" s="2" t="e">
        <f>VLOOKUP(H991,#REF!,13,FALSE)</f>
        <v>#REF!</v>
      </c>
      <c r="AX991" s="2" t="e">
        <f>VLOOKUP(H991,#REF!,9,FALSE)</f>
        <v>#REF!</v>
      </c>
      <c r="AZ991" s="2" t="e">
        <f>VLOOKUP(H991,#REF!,2,FALSE)</f>
        <v>#REF!</v>
      </c>
      <c r="BF991" s="189" t="e">
        <f>VLOOKUP(CLEAN(H991),#REF!,2,FALSE)</f>
        <v>#REF!</v>
      </c>
      <c r="BG991" s="189" t="e">
        <f>T991-BF991</f>
        <v>#REF!</v>
      </c>
      <c r="BO991" s="2" t="e">
        <f>VLOOKUP(H991,#REF!,13,FALSE)</f>
        <v>#REF!</v>
      </c>
      <c r="BP991" s="2" t="e">
        <f>VLOOKUP(H991,#REF!,2,FALSE)</f>
        <v>#REF!</v>
      </c>
      <c r="BQ991" s="2" t="e">
        <f>VLOOKUP(H991,#REF!,13,FALSE)</f>
        <v>#REF!</v>
      </c>
      <c r="BR991" s="2" t="e">
        <f>VLOOKUP(H991,#REF!,3,FALSE)</f>
        <v>#REF!</v>
      </c>
    </row>
    <row r="992" spans="1:70" s="2" customFormat="1" ht="15" customHeight="1" outlineLevel="2">
      <c r="A992" s="5">
        <v>33</v>
      </c>
      <c r="B992" s="5" t="s">
        <v>5</v>
      </c>
      <c r="C992" s="5" t="s">
        <v>302</v>
      </c>
      <c r="D992" s="5" t="s">
        <v>148</v>
      </c>
      <c r="E992" s="5" t="s">
        <v>148</v>
      </c>
      <c r="F992" s="5" t="s">
        <v>457</v>
      </c>
      <c r="G992" s="5" t="s">
        <v>144</v>
      </c>
      <c r="H992" s="12">
        <v>30434988</v>
      </c>
      <c r="I992" s="42" t="str">
        <f t="shared" si="577"/>
        <v>30434988-EJECUCION</v>
      </c>
      <c r="J992" s="12"/>
      <c r="K992" s="307" t="str">
        <f t="shared" si="578"/>
        <v>30434988</v>
      </c>
      <c r="L992" s="15" t="s">
        <v>91</v>
      </c>
      <c r="M992" s="23">
        <v>2000000000</v>
      </c>
      <c r="N992" s="34">
        <v>532448249</v>
      </c>
      <c r="O992" s="34">
        <f>700000000-25983682</f>
        <v>674016318</v>
      </c>
      <c r="P992" s="310">
        <v>0</v>
      </c>
      <c r="Q992" s="34">
        <v>0</v>
      </c>
      <c r="R992" s="308">
        <v>3533472</v>
      </c>
      <c r="S992" s="34">
        <f t="shared" si="579"/>
        <v>3533472</v>
      </c>
      <c r="T992" s="34">
        <v>6977085</v>
      </c>
      <c r="U992" s="34">
        <v>2648314</v>
      </c>
      <c r="V992" s="34">
        <f>P992+Q992+R992+T992+U992</f>
        <v>13158871</v>
      </c>
      <c r="W992" s="34">
        <f>O992-V992</f>
        <v>660857447</v>
      </c>
      <c r="X992" s="34">
        <f>M992-(N992+O992)</f>
        <v>793535433</v>
      </c>
      <c r="Y992" s="48" t="s">
        <v>239</v>
      </c>
      <c r="Z992" s="48" t="s">
        <v>8</v>
      </c>
      <c r="AA992" s="2" t="s">
        <v>841</v>
      </c>
      <c r="AB992" s="2" t="e">
        <f>VLOOKUP(H992,#REF!,2,FALSE)</f>
        <v>#REF!</v>
      </c>
      <c r="AC992" s="2" t="e">
        <f>VLOOKUP(I992,#REF!,2,FALSE)</f>
        <v>#REF!</v>
      </c>
      <c r="AD992" s="2" t="e">
        <f>VLOOKUP(H992,#REF!,13,FALSE)</f>
        <v>#REF!</v>
      </c>
      <c r="AE992" s="177" t="e">
        <f>VLOOKUP(I992,#REF!,7,FALSE)</f>
        <v>#REF!</v>
      </c>
      <c r="AG992" s="2" t="e">
        <f>VLOOKUP(H992,#REF!,13,FALSE)</f>
        <v>#REF!</v>
      </c>
      <c r="AH992" s="2" t="e">
        <f>VLOOKUP(I992,#REF!,2,FALSE)</f>
        <v>#REF!</v>
      </c>
      <c r="AJ992" s="185" t="e">
        <f>VLOOKUP(H992,#REF!,3,FALSE)</f>
        <v>#REF!</v>
      </c>
      <c r="AK992" s="185"/>
      <c r="AL992" s="185"/>
      <c r="AM992" s="185" t="e">
        <f>VLOOKUP(CLEAN(H992),#REF!,7,FALSE)</f>
        <v>#REF!</v>
      </c>
      <c r="AN992" s="2" t="e">
        <f>VLOOKUP(H992,#REF!,8,FALSE)</f>
        <v>#REF!</v>
      </c>
      <c r="AO992" s="189" t="e">
        <f>VLOOKUP(H992,#REF!,2,FALSE)</f>
        <v>#REF!</v>
      </c>
      <c r="AP992" s="189" t="e">
        <f>VLOOKUP(H992,#REF!,2,FALSE)</f>
        <v>#REF!</v>
      </c>
      <c r="AQ992" s="189" t="e">
        <f>AO992-AP992</f>
        <v>#REF!</v>
      </c>
      <c r="AR992" s="2" t="e">
        <f>VLOOKUP(CLEAN(H992),#REF!,2,FALSE)</f>
        <v>#REF!</v>
      </c>
      <c r="AT992" s="2" t="e">
        <f>VLOOKUP(H992,#REF!,13,FALSE)</f>
        <v>#REF!</v>
      </c>
      <c r="AU992" s="2" t="e">
        <f>VLOOKUP(H992,#REF!,13,FALSE)</f>
        <v>#REF!</v>
      </c>
      <c r="AV992" s="2" t="e">
        <f>VLOOKUP(H992,#REF!,13,FALSE)</f>
        <v>#REF!</v>
      </c>
      <c r="AW992" s="2" t="e">
        <f>VLOOKUP(H992,#REF!,13,FALSE)</f>
        <v>#REF!</v>
      </c>
      <c r="AX992" s="2" t="e">
        <f>VLOOKUP(H992,#REF!,9,FALSE)</f>
        <v>#REF!</v>
      </c>
      <c r="AZ992" s="189" t="e">
        <f>VLOOKUP(H992,#REF!,2,FALSE)</f>
        <v>#REF!</v>
      </c>
      <c r="BF992" s="189" t="e">
        <f>VLOOKUP(CLEAN(H992),#REF!,2,FALSE)</f>
        <v>#REF!</v>
      </c>
      <c r="BG992" s="189" t="e">
        <f>T992-BF992</f>
        <v>#REF!</v>
      </c>
      <c r="BO992" s="2" t="e">
        <f>VLOOKUP(H992,#REF!,13,FALSE)</f>
        <v>#REF!</v>
      </c>
      <c r="BP992" s="2" t="e">
        <f>VLOOKUP(H992,#REF!,2,FALSE)</f>
        <v>#REF!</v>
      </c>
      <c r="BQ992" s="2" t="e">
        <f>VLOOKUP(H992,#REF!,13,FALSE)</f>
        <v>#REF!</v>
      </c>
      <c r="BR992" s="2" t="e">
        <f>VLOOKUP(H992,#REF!,3,FALSE)</f>
        <v>#REF!</v>
      </c>
    </row>
    <row r="993" spans="1:70" s="2" customFormat="1" ht="15" customHeight="1" outlineLevel="2">
      <c r="A993" s="5">
        <v>33</v>
      </c>
      <c r="B993" s="5" t="s">
        <v>5</v>
      </c>
      <c r="C993" s="5" t="s">
        <v>302</v>
      </c>
      <c r="D993" s="5" t="s">
        <v>148</v>
      </c>
      <c r="E993" s="5" t="s">
        <v>148</v>
      </c>
      <c r="F993" s="5" t="s">
        <v>457</v>
      </c>
      <c r="G993" s="5" t="s">
        <v>144</v>
      </c>
      <c r="H993" s="12">
        <v>30481688</v>
      </c>
      <c r="I993" s="42" t="str">
        <f t="shared" si="577"/>
        <v>30481688-EJECUCION</v>
      </c>
      <c r="J993" s="12"/>
      <c r="K993" s="307" t="str">
        <f t="shared" si="578"/>
        <v>30481688</v>
      </c>
      <c r="L993" s="15" t="s">
        <v>836</v>
      </c>
      <c r="M993" s="23">
        <v>500000000</v>
      </c>
      <c r="N993" s="34">
        <v>57601935</v>
      </c>
      <c r="O993" s="34">
        <v>250000000</v>
      </c>
      <c r="P993" s="310">
        <v>0</v>
      </c>
      <c r="Q993" s="34">
        <v>0</v>
      </c>
      <c r="R993" s="308">
        <v>0</v>
      </c>
      <c r="S993" s="34">
        <f t="shared" si="579"/>
        <v>0</v>
      </c>
      <c r="T993" s="34">
        <v>0</v>
      </c>
      <c r="U993" s="34">
        <v>0</v>
      </c>
      <c r="V993" s="34">
        <f>P993+Q993+R993+T993+U993</f>
        <v>0</v>
      </c>
      <c r="W993" s="34">
        <f>O993-V993</f>
        <v>250000000</v>
      </c>
      <c r="X993" s="34">
        <f>M993-(N993+O993)</f>
        <v>192398065</v>
      </c>
      <c r="Y993" s="48" t="s">
        <v>239</v>
      </c>
      <c r="Z993" s="48" t="s">
        <v>8</v>
      </c>
      <c r="AA993" s="2" t="e">
        <v>#N/A</v>
      </c>
      <c r="AB993" s="2" t="e">
        <f>VLOOKUP(H993,#REF!,2,FALSE)</f>
        <v>#REF!</v>
      </c>
      <c r="AC993" s="2" t="e">
        <f>VLOOKUP(I993,#REF!,2,FALSE)</f>
        <v>#REF!</v>
      </c>
      <c r="AD993" s="2" t="e">
        <f>VLOOKUP(H993,#REF!,13,FALSE)</f>
        <v>#REF!</v>
      </c>
      <c r="AE993" s="2" t="e">
        <f>VLOOKUP(I993,#REF!,7,FALSE)</f>
        <v>#REF!</v>
      </c>
      <c r="AG993" s="2" t="e">
        <f>VLOOKUP(H993,#REF!,13,FALSE)</f>
        <v>#REF!</v>
      </c>
      <c r="AH993" s="2" t="e">
        <f>VLOOKUP(I993,#REF!,2,FALSE)</f>
        <v>#REF!</v>
      </c>
      <c r="AJ993" s="185" t="e">
        <f>VLOOKUP(H993,#REF!,3,FALSE)</f>
        <v>#REF!</v>
      </c>
      <c r="AK993" s="185"/>
      <c r="AL993" s="185"/>
      <c r="AM993" s="185" t="e">
        <f>VLOOKUP(CLEAN(H993),#REF!,7,FALSE)</f>
        <v>#REF!</v>
      </c>
      <c r="AN993" s="2" t="e">
        <f>VLOOKUP(H993,#REF!,8,FALSE)</f>
        <v>#REF!</v>
      </c>
      <c r="AO993" s="189" t="e">
        <f>VLOOKUP(H993,#REF!,2,FALSE)</f>
        <v>#REF!</v>
      </c>
      <c r="AP993" s="189" t="e">
        <f>VLOOKUP(H993,#REF!,2,FALSE)</f>
        <v>#REF!</v>
      </c>
      <c r="AQ993" s="189"/>
      <c r="AR993" s="2" t="e">
        <f>VLOOKUP(CLEAN(H993),#REF!,2,FALSE)</f>
        <v>#REF!</v>
      </c>
      <c r="AT993" s="2" t="e">
        <f>VLOOKUP(H993,#REF!,13,FALSE)</f>
        <v>#REF!</v>
      </c>
      <c r="AU993" s="2" t="e">
        <f>VLOOKUP(H993,#REF!,13,FALSE)</f>
        <v>#REF!</v>
      </c>
      <c r="AV993" s="2" t="e">
        <f>VLOOKUP(H993,#REF!,13,FALSE)</f>
        <v>#REF!</v>
      </c>
      <c r="AW993" s="2" t="e">
        <f>VLOOKUP(H993,#REF!,13,FALSE)</f>
        <v>#REF!</v>
      </c>
      <c r="AX993" s="2" t="e">
        <f>VLOOKUP(H993,#REF!,9,FALSE)</f>
        <v>#REF!</v>
      </c>
      <c r="AZ993" s="2" t="e">
        <f>VLOOKUP(H993,#REF!,2,FALSE)</f>
        <v>#REF!</v>
      </c>
      <c r="BF993" s="189" t="e">
        <f>VLOOKUP(CLEAN(H993),#REF!,2,FALSE)</f>
        <v>#REF!</v>
      </c>
      <c r="BG993" s="189" t="e">
        <f>T993-BF993</f>
        <v>#REF!</v>
      </c>
      <c r="BO993" s="2" t="e">
        <f>VLOOKUP(H993,#REF!,13,FALSE)</f>
        <v>#REF!</v>
      </c>
      <c r="BP993" s="2" t="e">
        <f>VLOOKUP(H993,#REF!,2,FALSE)</f>
        <v>#REF!</v>
      </c>
      <c r="BQ993" s="2" t="e">
        <f>VLOOKUP(H993,#REF!,13,FALSE)</f>
        <v>#REF!</v>
      </c>
      <c r="BR993" s="2" t="e">
        <f>VLOOKUP(H993,#REF!,3,FALSE)</f>
        <v>#REF!</v>
      </c>
    </row>
    <row r="994" spans="1:70" s="2" customFormat="1" ht="15" customHeight="1" outlineLevel="2">
      <c r="A994" s="5">
        <v>33</v>
      </c>
      <c r="B994" s="5" t="s">
        <v>5</v>
      </c>
      <c r="C994" s="5" t="s">
        <v>251</v>
      </c>
      <c r="D994" s="5" t="s">
        <v>148</v>
      </c>
      <c r="E994" s="5" t="s">
        <v>148</v>
      </c>
      <c r="F994" s="5" t="s">
        <v>457</v>
      </c>
      <c r="G994" s="5" t="s">
        <v>144</v>
      </c>
      <c r="H994" s="12">
        <v>30136269</v>
      </c>
      <c r="I994" s="42" t="str">
        <f t="shared" si="577"/>
        <v>30136269-EJECUCION</v>
      </c>
      <c r="J994" s="12"/>
      <c r="K994" s="307" t="str">
        <f t="shared" si="578"/>
        <v>30136269</v>
      </c>
      <c r="L994" s="15" t="s">
        <v>752</v>
      </c>
      <c r="M994" s="23">
        <v>1535160000</v>
      </c>
      <c r="N994" s="34">
        <v>624866319</v>
      </c>
      <c r="O994" s="34">
        <v>375000000</v>
      </c>
      <c r="P994" s="310">
        <v>0</v>
      </c>
      <c r="Q994" s="34">
        <v>0</v>
      </c>
      <c r="R994" s="308">
        <v>0</v>
      </c>
      <c r="S994" s="34">
        <f t="shared" si="579"/>
        <v>0</v>
      </c>
      <c r="T994" s="34">
        <v>0</v>
      </c>
      <c r="U994" s="34">
        <v>0</v>
      </c>
      <c r="V994" s="34">
        <f>P994+Q994+R994+T994+U994</f>
        <v>0</v>
      </c>
      <c r="W994" s="34">
        <f>O994-V994</f>
        <v>375000000</v>
      </c>
      <c r="X994" s="34">
        <f>M994-(N994+O994)</f>
        <v>535293681</v>
      </c>
      <c r="Y994" s="48" t="s">
        <v>239</v>
      </c>
      <c r="Z994" s="48" t="s">
        <v>8</v>
      </c>
      <c r="AA994" s="2" t="s">
        <v>841</v>
      </c>
      <c r="AB994" s="2" t="e">
        <f>VLOOKUP(H994,#REF!,2,FALSE)</f>
        <v>#REF!</v>
      </c>
      <c r="AC994" s="2" t="e">
        <f>VLOOKUP(I994,#REF!,2,FALSE)</f>
        <v>#REF!</v>
      </c>
      <c r="AD994" s="2" t="e">
        <f>VLOOKUP(H994,#REF!,13,FALSE)</f>
        <v>#REF!</v>
      </c>
      <c r="AE994" s="2" t="e">
        <f>VLOOKUP(I994,#REF!,7,FALSE)</f>
        <v>#REF!</v>
      </c>
      <c r="AG994" s="2" t="e">
        <f>VLOOKUP(H994,#REF!,13,FALSE)</f>
        <v>#REF!</v>
      </c>
      <c r="AH994" s="2" t="e">
        <f>VLOOKUP(I994,#REF!,2,FALSE)</f>
        <v>#REF!</v>
      </c>
      <c r="AJ994" s="185" t="e">
        <f>VLOOKUP(H994,#REF!,3,FALSE)</f>
        <v>#REF!</v>
      </c>
      <c r="AK994" s="185"/>
      <c r="AL994" s="185"/>
      <c r="AM994" s="185" t="e">
        <f>VLOOKUP(CLEAN(H994),#REF!,7,FALSE)</f>
        <v>#REF!</v>
      </c>
      <c r="AN994" s="2" t="e">
        <f>VLOOKUP(H994,#REF!,8,FALSE)</f>
        <v>#REF!</v>
      </c>
      <c r="AO994" s="189" t="e">
        <f>VLOOKUP(H994,#REF!,2,FALSE)</f>
        <v>#REF!</v>
      </c>
      <c r="AP994" s="189" t="e">
        <f>VLOOKUP(H994,#REF!,2,FALSE)</f>
        <v>#REF!</v>
      </c>
      <c r="AQ994" s="189"/>
      <c r="AR994" s="2" t="e">
        <f>VLOOKUP(CLEAN(H994),#REF!,2,FALSE)</f>
        <v>#REF!</v>
      </c>
      <c r="AT994" s="2" t="e">
        <f>VLOOKUP(H994,#REF!,13,FALSE)</f>
        <v>#REF!</v>
      </c>
      <c r="AU994" s="2" t="e">
        <f>VLOOKUP(H994,#REF!,13,FALSE)</f>
        <v>#REF!</v>
      </c>
      <c r="AV994" s="2" t="e">
        <f>VLOOKUP(H994,#REF!,13,FALSE)</f>
        <v>#REF!</v>
      </c>
      <c r="AW994" s="2" t="e">
        <f>VLOOKUP(H994,#REF!,13,FALSE)</f>
        <v>#REF!</v>
      </c>
      <c r="AX994" s="2" t="e">
        <f>VLOOKUP(H994,#REF!,9,FALSE)</f>
        <v>#REF!</v>
      </c>
      <c r="AZ994" s="189" t="e">
        <f>VLOOKUP(H994,#REF!,2,FALSE)</f>
        <v>#REF!</v>
      </c>
      <c r="BF994" s="189" t="e">
        <f>VLOOKUP(CLEAN(H994),#REF!,2,FALSE)</f>
        <v>#REF!</v>
      </c>
      <c r="BG994" s="189" t="e">
        <f>T994-BF994</f>
        <v>#REF!</v>
      </c>
      <c r="BO994" s="2" t="e">
        <f>VLOOKUP(H994,#REF!,13,FALSE)</f>
        <v>#REF!</v>
      </c>
      <c r="BP994" s="2" t="e">
        <f>VLOOKUP(H994,#REF!,2,FALSE)</f>
        <v>#REF!</v>
      </c>
      <c r="BQ994" s="2" t="e">
        <f>VLOOKUP(H994,#REF!,13,FALSE)</f>
        <v>#REF!</v>
      </c>
      <c r="BR994" s="2" t="e">
        <f>VLOOKUP(H994,#REF!,3,FALSE)</f>
        <v>#REF!</v>
      </c>
    </row>
    <row r="995" spans="1:70" s="2" customFormat="1" ht="15" customHeight="1" outlineLevel="2">
      <c r="A995" s="5">
        <v>33</v>
      </c>
      <c r="B995" s="5" t="s">
        <v>5</v>
      </c>
      <c r="C995" s="5" t="s">
        <v>251</v>
      </c>
      <c r="D995" s="5" t="s">
        <v>148</v>
      </c>
      <c r="E995" s="5" t="s">
        <v>148</v>
      </c>
      <c r="F995" s="5" t="s">
        <v>457</v>
      </c>
      <c r="G995" s="5" t="s">
        <v>144</v>
      </c>
      <c r="H995" s="12">
        <v>30136293</v>
      </c>
      <c r="I995" s="42" t="str">
        <f t="shared" si="577"/>
        <v>30136293-EJECUCION</v>
      </c>
      <c r="J995" s="12"/>
      <c r="K995" s="307" t="str">
        <f t="shared" si="578"/>
        <v>30136293</v>
      </c>
      <c r="L995" s="15" t="s">
        <v>668</v>
      </c>
      <c r="M995" s="23">
        <v>504919571</v>
      </c>
      <c r="N995" s="34">
        <v>382704098</v>
      </c>
      <c r="O995" s="34">
        <f>117295902+4919571</f>
        <v>122215473</v>
      </c>
      <c r="P995" s="310">
        <v>0</v>
      </c>
      <c r="Q995" s="34">
        <v>0</v>
      </c>
      <c r="R995" s="308">
        <v>51833735</v>
      </c>
      <c r="S995" s="34">
        <f t="shared" si="579"/>
        <v>51833735</v>
      </c>
      <c r="T995" s="34">
        <v>722636</v>
      </c>
      <c r="U995" s="34">
        <v>69659102</v>
      </c>
      <c r="V995" s="34">
        <f>P995+Q995+R995+T995+U995</f>
        <v>122215473</v>
      </c>
      <c r="W995" s="34">
        <f>O995-V995</f>
        <v>0</v>
      </c>
      <c r="X995" s="34">
        <f>M995-(N995+O995)</f>
        <v>0</v>
      </c>
      <c r="Y995" s="48" t="s">
        <v>239</v>
      </c>
      <c r="Z995" s="48" t="s">
        <v>8</v>
      </c>
      <c r="AA995" s="2" t="s">
        <v>841</v>
      </c>
      <c r="AB995" s="2" t="e">
        <f>VLOOKUP(H995,#REF!,2,FALSE)</f>
        <v>#REF!</v>
      </c>
      <c r="AC995" s="2" t="e">
        <f>VLOOKUP(I995,#REF!,2,FALSE)</f>
        <v>#REF!</v>
      </c>
      <c r="AD995" s="2" t="e">
        <f>VLOOKUP(H995,#REF!,13,FALSE)</f>
        <v>#REF!</v>
      </c>
      <c r="AE995" s="2" t="e">
        <f>VLOOKUP(I995,#REF!,7,FALSE)</f>
        <v>#REF!</v>
      </c>
      <c r="AG995" s="2" t="e">
        <f>VLOOKUP(H995,#REF!,13,FALSE)</f>
        <v>#REF!</v>
      </c>
      <c r="AH995" s="2" t="e">
        <f>VLOOKUP(I995,#REF!,2,FALSE)</f>
        <v>#REF!</v>
      </c>
      <c r="AJ995" s="2" t="e">
        <f>VLOOKUP(H995,#REF!,3,FALSE)</f>
        <v>#REF!</v>
      </c>
      <c r="AM995" s="2" t="e">
        <f>VLOOKUP(CLEAN(H995),#REF!,7,FALSE)</f>
        <v>#REF!</v>
      </c>
      <c r="AN995" s="2" t="e">
        <f>VLOOKUP(H995,#REF!,8,FALSE)</f>
        <v>#REF!</v>
      </c>
      <c r="AO995" s="189" t="e">
        <f>VLOOKUP(H995,#REF!,2,FALSE)</f>
        <v>#REF!</v>
      </c>
      <c r="AP995" s="189" t="e">
        <f>VLOOKUP(H995,#REF!,2,FALSE)</f>
        <v>#REF!</v>
      </c>
      <c r="AQ995" s="189" t="e">
        <f t="shared" ref="AQ995:AQ996" si="581">AO995-AP995</f>
        <v>#REF!</v>
      </c>
      <c r="AR995" s="2" t="e">
        <f>VLOOKUP(CLEAN(H995),#REF!,2,FALSE)</f>
        <v>#REF!</v>
      </c>
      <c r="AT995" s="2" t="e">
        <f>VLOOKUP(H995,#REF!,13,FALSE)</f>
        <v>#REF!</v>
      </c>
      <c r="AU995" s="2" t="e">
        <f>VLOOKUP(H995,#REF!,13,FALSE)</f>
        <v>#REF!</v>
      </c>
      <c r="AV995" s="2" t="e">
        <f>VLOOKUP(H995,#REF!,13,FALSE)</f>
        <v>#REF!</v>
      </c>
      <c r="AW995" s="2" t="e">
        <f>VLOOKUP(H995,#REF!,13,FALSE)</f>
        <v>#REF!</v>
      </c>
      <c r="AX995" s="2" t="e">
        <f>VLOOKUP(H995,#REF!,9,FALSE)</f>
        <v>#REF!</v>
      </c>
      <c r="AZ995" s="189" t="e">
        <f>VLOOKUP(H995,#REF!,2,FALSE)</f>
        <v>#REF!</v>
      </c>
      <c r="BF995" s="189" t="e">
        <f>VLOOKUP(CLEAN(H995),#REF!,2,FALSE)</f>
        <v>#REF!</v>
      </c>
      <c r="BG995" s="189" t="e">
        <f>T995-BF995</f>
        <v>#REF!</v>
      </c>
      <c r="BO995" s="2" t="e">
        <f>VLOOKUP(H995,#REF!,13,FALSE)</f>
        <v>#REF!</v>
      </c>
      <c r="BP995" s="2" t="e">
        <f>VLOOKUP(H995,#REF!,2,FALSE)</f>
        <v>#REF!</v>
      </c>
      <c r="BQ995" s="2" t="e">
        <f>VLOOKUP(H995,#REF!,13,FALSE)</f>
        <v>#REF!</v>
      </c>
      <c r="BR995" s="2" t="e">
        <f>VLOOKUP(H995,#REF!,3,FALSE)</f>
        <v>#REF!</v>
      </c>
    </row>
    <row r="996" spans="1:70" s="2" customFormat="1" ht="15" customHeight="1" outlineLevel="2">
      <c r="A996" s="5">
        <v>33</v>
      </c>
      <c r="B996" s="5" t="s">
        <v>5</v>
      </c>
      <c r="C996" s="5" t="s">
        <v>251</v>
      </c>
      <c r="D996" s="5" t="s">
        <v>148</v>
      </c>
      <c r="E996" s="5" t="s">
        <v>148</v>
      </c>
      <c r="F996" s="5" t="s">
        <v>457</v>
      </c>
      <c r="G996" s="5" t="s">
        <v>144</v>
      </c>
      <c r="H996" s="12">
        <v>30136320</v>
      </c>
      <c r="I996" s="42" t="str">
        <f t="shared" si="577"/>
        <v>30136320-EJECUCION</v>
      </c>
      <c r="J996" s="12"/>
      <c r="K996" s="307" t="str">
        <f t="shared" si="578"/>
        <v>30136320</v>
      </c>
      <c r="L996" s="15" t="s">
        <v>672</v>
      </c>
      <c r="M996" s="23">
        <v>688299000</v>
      </c>
      <c r="N996" s="34">
        <v>32047278</v>
      </c>
      <c r="O996" s="34">
        <v>460000000</v>
      </c>
      <c r="P996" s="310">
        <v>0</v>
      </c>
      <c r="Q996" s="34">
        <v>0</v>
      </c>
      <c r="R996" s="308">
        <v>0</v>
      </c>
      <c r="S996" s="34">
        <f t="shared" si="579"/>
        <v>0</v>
      </c>
      <c r="T996" s="34">
        <v>12644</v>
      </c>
      <c r="U996" s="34">
        <v>0</v>
      </c>
      <c r="V996" s="34">
        <f>P996+Q996+R996+T996+U996</f>
        <v>12644</v>
      </c>
      <c r="W996" s="34">
        <f>O996-V996</f>
        <v>459987356</v>
      </c>
      <c r="X996" s="34">
        <f>M996-(N996+O996)</f>
        <v>196251722</v>
      </c>
      <c r="Y996" s="48" t="s">
        <v>239</v>
      </c>
      <c r="Z996" s="48" t="s">
        <v>8</v>
      </c>
      <c r="AA996" s="2" t="s">
        <v>841</v>
      </c>
      <c r="AB996" s="2" t="e">
        <f>VLOOKUP(H996,#REF!,2,FALSE)</f>
        <v>#REF!</v>
      </c>
      <c r="AC996" s="2" t="e">
        <f>VLOOKUP(I996,#REF!,2,FALSE)</f>
        <v>#REF!</v>
      </c>
      <c r="AD996" s="2" t="e">
        <f>VLOOKUP(H996,#REF!,13,FALSE)</f>
        <v>#REF!</v>
      </c>
      <c r="AE996" s="2" t="e">
        <f>VLOOKUP(I996,#REF!,7,FALSE)</f>
        <v>#REF!</v>
      </c>
      <c r="AG996" s="2" t="e">
        <f>VLOOKUP(H996,#REF!,13,FALSE)</f>
        <v>#REF!</v>
      </c>
      <c r="AH996" s="2" t="e">
        <f>VLOOKUP(I996,#REF!,2,FALSE)</f>
        <v>#REF!</v>
      </c>
      <c r="AJ996" s="185" t="e">
        <f>VLOOKUP(H996,#REF!,3,FALSE)</f>
        <v>#REF!</v>
      </c>
      <c r="AK996" s="185"/>
      <c r="AL996" s="185"/>
      <c r="AM996" s="185" t="e">
        <f>VLOOKUP(CLEAN(H996),#REF!,7,FALSE)</f>
        <v>#REF!</v>
      </c>
      <c r="AN996" s="2" t="e">
        <f>VLOOKUP(H996,#REF!,8,FALSE)</f>
        <v>#REF!</v>
      </c>
      <c r="AO996" s="189" t="e">
        <f>VLOOKUP(H996,#REF!,2,FALSE)</f>
        <v>#REF!</v>
      </c>
      <c r="AP996" s="189" t="e">
        <f>VLOOKUP(H996,#REF!,2,FALSE)</f>
        <v>#REF!</v>
      </c>
      <c r="AQ996" s="189" t="e">
        <f t="shared" si="581"/>
        <v>#REF!</v>
      </c>
      <c r="AR996" s="189" t="e">
        <f>VLOOKUP(CLEAN(H996),#REF!,2,FALSE)</f>
        <v>#REF!</v>
      </c>
      <c r="AS996" s="189" t="e">
        <f>T996-AR996</f>
        <v>#REF!</v>
      </c>
      <c r="AT996" s="2" t="e">
        <f>VLOOKUP(H996,#REF!,13,FALSE)</f>
        <v>#REF!</v>
      </c>
      <c r="AU996" s="2" t="e">
        <f>VLOOKUP(H996,#REF!,13,FALSE)</f>
        <v>#REF!</v>
      </c>
      <c r="AV996" s="2" t="e">
        <f>VLOOKUP(H996,#REF!,13,FALSE)</f>
        <v>#REF!</v>
      </c>
      <c r="AW996" s="2" t="e">
        <f>VLOOKUP(H996,#REF!,13,FALSE)</f>
        <v>#REF!</v>
      </c>
      <c r="AX996" s="2" t="e">
        <f>VLOOKUP(H996,#REF!,9,FALSE)</f>
        <v>#REF!</v>
      </c>
      <c r="AZ996" s="189" t="e">
        <f>VLOOKUP(H996,#REF!,2,FALSE)</f>
        <v>#REF!</v>
      </c>
      <c r="BF996" s="189" t="e">
        <f>VLOOKUP(CLEAN(H996),#REF!,2,FALSE)</f>
        <v>#REF!</v>
      </c>
      <c r="BG996" s="189" t="e">
        <f>T996-BF996</f>
        <v>#REF!</v>
      </c>
      <c r="BO996" s="2" t="e">
        <f>VLOOKUP(H996,#REF!,13,FALSE)</f>
        <v>#REF!</v>
      </c>
      <c r="BP996" s="2" t="e">
        <f>VLOOKUP(H996,#REF!,2,FALSE)</f>
        <v>#REF!</v>
      </c>
      <c r="BQ996" s="2" t="e">
        <f>VLOOKUP(H996,#REF!,13,FALSE)</f>
        <v>#REF!</v>
      </c>
      <c r="BR996" s="2" t="e">
        <f>VLOOKUP(H996,#REF!,3,FALSE)</f>
        <v>#REF!</v>
      </c>
    </row>
    <row r="997" spans="1:70" s="2" customFormat="1" ht="15" customHeight="1" outlineLevel="2">
      <c r="A997" s="5">
        <v>33</v>
      </c>
      <c r="B997" s="5" t="s">
        <v>5</v>
      </c>
      <c r="C997" s="5" t="s">
        <v>238</v>
      </c>
      <c r="D997" s="5" t="s">
        <v>148</v>
      </c>
      <c r="E997" s="5" t="s">
        <v>148</v>
      </c>
      <c r="F997" s="5" t="s">
        <v>457</v>
      </c>
      <c r="G997" s="5" t="s">
        <v>144</v>
      </c>
      <c r="H997" s="12">
        <v>30106837</v>
      </c>
      <c r="I997" s="42" t="str">
        <f t="shared" si="577"/>
        <v>30106837-EJECUCION</v>
      </c>
      <c r="J997" s="12"/>
      <c r="K997" s="307" t="str">
        <f t="shared" si="578"/>
        <v>30106837</v>
      </c>
      <c r="L997" s="15" t="s">
        <v>753</v>
      </c>
      <c r="M997" s="23">
        <v>1208000000</v>
      </c>
      <c r="N997" s="34">
        <v>619000000</v>
      </c>
      <c r="O997" s="34">
        <v>389000000</v>
      </c>
      <c r="P997" s="310">
        <v>0</v>
      </c>
      <c r="Q997" s="34">
        <v>0</v>
      </c>
      <c r="R997" s="308">
        <v>0</v>
      </c>
      <c r="S997" s="34">
        <f t="shared" si="579"/>
        <v>0</v>
      </c>
      <c r="T997" s="34">
        <v>0</v>
      </c>
      <c r="U997" s="34">
        <v>0</v>
      </c>
      <c r="V997" s="34">
        <f>P997+Q997+R997+T997+U997</f>
        <v>0</v>
      </c>
      <c r="W997" s="34">
        <f>O997-V997</f>
        <v>389000000</v>
      </c>
      <c r="X997" s="34">
        <f>M997-(N997+O997)</f>
        <v>200000000</v>
      </c>
      <c r="Y997" s="48" t="s">
        <v>239</v>
      </c>
      <c r="Z997" s="48" t="s">
        <v>8</v>
      </c>
      <c r="AA997" s="2" t="s">
        <v>841</v>
      </c>
      <c r="AB997" s="2" t="e">
        <f>VLOOKUP(H997,#REF!,2,FALSE)</f>
        <v>#REF!</v>
      </c>
      <c r="AC997" s="2" t="e">
        <f>VLOOKUP(I997,#REF!,2,FALSE)</f>
        <v>#REF!</v>
      </c>
      <c r="AD997" s="2" t="e">
        <f>VLOOKUP(H997,#REF!,13,FALSE)</f>
        <v>#REF!</v>
      </c>
      <c r="AE997" s="177" t="e">
        <f>VLOOKUP(I997,#REF!,7,FALSE)</f>
        <v>#REF!</v>
      </c>
      <c r="AG997" s="2" t="e">
        <f>VLOOKUP(H997,#REF!,13,FALSE)</f>
        <v>#REF!</v>
      </c>
      <c r="AH997" s="2" t="e">
        <f>VLOOKUP(I997,#REF!,2,FALSE)</f>
        <v>#REF!</v>
      </c>
      <c r="AJ997" s="185" t="e">
        <f>VLOOKUP(H997,#REF!,3,FALSE)</f>
        <v>#REF!</v>
      </c>
      <c r="AK997" s="185"/>
      <c r="AL997" s="185"/>
      <c r="AM997" s="185" t="e">
        <f>VLOOKUP(CLEAN(H997),#REF!,7,FALSE)</f>
        <v>#REF!</v>
      </c>
      <c r="AN997" s="2" t="e">
        <f>VLOOKUP(H997,#REF!,8,FALSE)</f>
        <v>#REF!</v>
      </c>
      <c r="AO997" s="189" t="e">
        <f>VLOOKUP(H997,#REF!,2,FALSE)</f>
        <v>#REF!</v>
      </c>
      <c r="AP997" s="189" t="e">
        <f>VLOOKUP(H997,#REF!,2,FALSE)</f>
        <v>#REF!</v>
      </c>
      <c r="AQ997" s="189"/>
      <c r="AR997" s="2" t="e">
        <f>VLOOKUP(CLEAN(H997),#REF!,2,FALSE)</f>
        <v>#REF!</v>
      </c>
      <c r="AT997" s="2" t="e">
        <f>VLOOKUP(H997,#REF!,13,FALSE)</f>
        <v>#REF!</v>
      </c>
      <c r="AU997" s="2" t="e">
        <f>VLOOKUP(H997,#REF!,13,FALSE)</f>
        <v>#REF!</v>
      </c>
      <c r="AV997" s="2" t="e">
        <f>VLOOKUP(H997,#REF!,13,FALSE)</f>
        <v>#REF!</v>
      </c>
      <c r="AW997" s="2" t="e">
        <f>VLOOKUP(H997,#REF!,13,FALSE)</f>
        <v>#REF!</v>
      </c>
      <c r="AX997" s="2" t="e">
        <f>VLOOKUP(H997,#REF!,9,FALSE)</f>
        <v>#REF!</v>
      </c>
      <c r="AZ997" s="2" t="e">
        <f>VLOOKUP(H997,#REF!,2,FALSE)</f>
        <v>#REF!</v>
      </c>
      <c r="BF997" s="189" t="e">
        <f>VLOOKUP(CLEAN(H997),#REF!,2,FALSE)</f>
        <v>#REF!</v>
      </c>
      <c r="BG997" s="189" t="e">
        <f>T997-BF997</f>
        <v>#REF!</v>
      </c>
      <c r="BO997" s="2" t="e">
        <f>VLOOKUP(H997,#REF!,13,FALSE)</f>
        <v>#REF!</v>
      </c>
      <c r="BP997" s="2" t="e">
        <f>VLOOKUP(H997,#REF!,2,FALSE)</f>
        <v>#REF!</v>
      </c>
      <c r="BQ997" s="2" t="e">
        <f>VLOOKUP(H997,#REF!,13,FALSE)</f>
        <v>#REF!</v>
      </c>
      <c r="BR997" s="2" t="e">
        <f>VLOOKUP(H997,#REF!,3,FALSE)</f>
        <v>#REF!</v>
      </c>
    </row>
    <row r="998" spans="1:70" s="2" customFormat="1" ht="15" customHeight="1" outlineLevel="2">
      <c r="A998" s="5">
        <v>33</v>
      </c>
      <c r="B998" s="5" t="s">
        <v>5</v>
      </c>
      <c r="C998" s="5" t="s">
        <v>238</v>
      </c>
      <c r="D998" s="5" t="s">
        <v>148</v>
      </c>
      <c r="E998" s="5" t="s">
        <v>148</v>
      </c>
      <c r="F998" s="5" t="s">
        <v>457</v>
      </c>
      <c r="G998" s="5" t="s">
        <v>144</v>
      </c>
      <c r="H998" s="12">
        <v>30124775</v>
      </c>
      <c r="I998" s="42" t="str">
        <f t="shared" si="577"/>
        <v>30124775-EJECUCION</v>
      </c>
      <c r="J998" s="12"/>
      <c r="K998" s="307" t="str">
        <f t="shared" si="578"/>
        <v>30124775</v>
      </c>
      <c r="L998" s="15" t="s">
        <v>130</v>
      </c>
      <c r="M998" s="23">
        <v>279511000</v>
      </c>
      <c r="N998" s="34">
        <v>19365000</v>
      </c>
      <c r="O998" s="34">
        <v>260146000</v>
      </c>
      <c r="P998" s="310">
        <v>0</v>
      </c>
      <c r="Q998" s="34">
        <v>0</v>
      </c>
      <c r="R998" s="308">
        <v>0</v>
      </c>
      <c r="S998" s="34">
        <f t="shared" si="579"/>
        <v>0</v>
      </c>
      <c r="T998" s="34">
        <v>0</v>
      </c>
      <c r="U998" s="34">
        <v>0</v>
      </c>
      <c r="V998" s="34">
        <f>P998+Q998+R998+T998+U998</f>
        <v>0</v>
      </c>
      <c r="W998" s="34">
        <f>O998-V998</f>
        <v>260146000</v>
      </c>
      <c r="X998" s="34">
        <f>M998-(N998+O998)</f>
        <v>0</v>
      </c>
      <c r="Y998" s="48" t="s">
        <v>239</v>
      </c>
      <c r="Z998" s="48" t="s">
        <v>8</v>
      </c>
      <c r="AA998" s="2" t="s">
        <v>841</v>
      </c>
      <c r="AB998" s="2" t="e">
        <f>VLOOKUP(H998,#REF!,2,FALSE)</f>
        <v>#REF!</v>
      </c>
      <c r="AC998" s="2" t="e">
        <f>VLOOKUP(I998,#REF!,2,FALSE)</f>
        <v>#REF!</v>
      </c>
      <c r="AD998" s="2" t="e">
        <f>VLOOKUP(H998,#REF!,13,FALSE)</f>
        <v>#REF!</v>
      </c>
      <c r="AE998" s="177" t="e">
        <f>VLOOKUP(I998,#REF!,7,FALSE)</f>
        <v>#REF!</v>
      </c>
      <c r="AG998" s="2" t="e">
        <f>VLOOKUP(H998,#REF!,13,FALSE)</f>
        <v>#REF!</v>
      </c>
      <c r="AH998" s="2" t="e">
        <f>VLOOKUP(I998,#REF!,2,FALSE)</f>
        <v>#REF!</v>
      </c>
      <c r="AJ998" s="185" t="e">
        <f>VLOOKUP(H998,#REF!,3,FALSE)</f>
        <v>#REF!</v>
      </c>
      <c r="AK998" s="185"/>
      <c r="AL998" s="185"/>
      <c r="AM998" s="185" t="e">
        <f>VLOOKUP(CLEAN(H998),#REF!,7,FALSE)</f>
        <v>#REF!</v>
      </c>
      <c r="AN998" s="2" t="e">
        <f>VLOOKUP(H998,#REF!,8,FALSE)</f>
        <v>#REF!</v>
      </c>
      <c r="AO998" s="189" t="e">
        <f>VLOOKUP(H998,#REF!,2,FALSE)</f>
        <v>#REF!</v>
      </c>
      <c r="AP998" s="189" t="e">
        <f>VLOOKUP(H998,#REF!,2,FALSE)</f>
        <v>#REF!</v>
      </c>
      <c r="AQ998" s="189"/>
      <c r="AR998" s="2" t="e">
        <f>VLOOKUP(CLEAN(H998),#REF!,2,FALSE)</f>
        <v>#REF!</v>
      </c>
      <c r="AT998" s="2" t="e">
        <f>VLOOKUP(H998,#REF!,13,FALSE)</f>
        <v>#REF!</v>
      </c>
      <c r="AU998" s="2" t="e">
        <f>VLOOKUP(H998,#REF!,13,FALSE)</f>
        <v>#REF!</v>
      </c>
      <c r="AV998" s="2" t="e">
        <f>VLOOKUP(H998,#REF!,13,FALSE)</f>
        <v>#REF!</v>
      </c>
      <c r="AW998" s="2" t="e">
        <f>VLOOKUP(H998,#REF!,13,FALSE)</f>
        <v>#REF!</v>
      </c>
      <c r="AX998" s="2" t="e">
        <f>VLOOKUP(H998,#REF!,9,FALSE)</f>
        <v>#REF!</v>
      </c>
      <c r="AZ998" s="2" t="e">
        <f>VLOOKUP(H998,#REF!,2,FALSE)</f>
        <v>#REF!</v>
      </c>
      <c r="BF998" s="189" t="e">
        <f>VLOOKUP(CLEAN(H998),#REF!,2,FALSE)</f>
        <v>#REF!</v>
      </c>
      <c r="BG998" s="189" t="e">
        <f>T998-BF998</f>
        <v>#REF!</v>
      </c>
      <c r="BO998" s="2" t="e">
        <f>VLOOKUP(H998,#REF!,13,FALSE)</f>
        <v>#REF!</v>
      </c>
      <c r="BP998" s="2" t="e">
        <f>VLOOKUP(H998,#REF!,2,FALSE)</f>
        <v>#REF!</v>
      </c>
      <c r="BQ998" s="2" t="e">
        <f>VLOOKUP(H998,#REF!,13,FALSE)</f>
        <v>#REF!</v>
      </c>
      <c r="BR998" s="2" t="e">
        <f>VLOOKUP(H998,#REF!,3,FALSE)</f>
        <v>#REF!</v>
      </c>
    </row>
    <row r="999" spans="1:70" s="2" customFormat="1" ht="15" customHeight="1" outlineLevel="2">
      <c r="A999" s="5">
        <v>33</v>
      </c>
      <c r="B999" s="5" t="s">
        <v>5</v>
      </c>
      <c r="C999" s="5" t="s">
        <v>238</v>
      </c>
      <c r="D999" s="5" t="s">
        <v>148</v>
      </c>
      <c r="E999" s="5" t="s">
        <v>148</v>
      </c>
      <c r="F999" s="5" t="s">
        <v>457</v>
      </c>
      <c r="G999" s="5" t="s">
        <v>144</v>
      </c>
      <c r="H999" s="12">
        <v>30124802</v>
      </c>
      <c r="I999" s="42" t="str">
        <f t="shared" si="577"/>
        <v>30124802-EJECUCION</v>
      </c>
      <c r="J999" s="12"/>
      <c r="K999" s="307" t="str">
        <f t="shared" si="578"/>
        <v>30124802</v>
      </c>
      <c r="L999" s="15" t="s">
        <v>121</v>
      </c>
      <c r="M999" s="23">
        <v>389000000</v>
      </c>
      <c r="N999" s="34">
        <v>17450000</v>
      </c>
      <c r="O999" s="34">
        <v>250000000</v>
      </c>
      <c r="P999" s="310">
        <v>0</v>
      </c>
      <c r="Q999" s="34">
        <v>0</v>
      </c>
      <c r="R999" s="308">
        <v>0</v>
      </c>
      <c r="S999" s="34">
        <f t="shared" si="579"/>
        <v>0</v>
      </c>
      <c r="T999" s="34">
        <v>0</v>
      </c>
      <c r="U999" s="34">
        <v>0</v>
      </c>
      <c r="V999" s="34">
        <f>P999+Q999+R999+T999+U999</f>
        <v>0</v>
      </c>
      <c r="W999" s="34">
        <f>O999-V999</f>
        <v>250000000</v>
      </c>
      <c r="X999" s="34">
        <f>M999-(N999+O999)</f>
        <v>121550000</v>
      </c>
      <c r="Y999" s="48" t="s">
        <v>239</v>
      </c>
      <c r="Z999" s="48" t="s">
        <v>8</v>
      </c>
      <c r="AA999" s="2" t="s">
        <v>841</v>
      </c>
      <c r="AB999" s="2" t="e">
        <f>VLOOKUP(H999,#REF!,2,FALSE)</f>
        <v>#REF!</v>
      </c>
      <c r="AC999" s="2" t="e">
        <f>VLOOKUP(I999,#REF!,2,FALSE)</f>
        <v>#REF!</v>
      </c>
      <c r="AD999" s="2" t="e">
        <f>VLOOKUP(H999,#REF!,13,FALSE)</f>
        <v>#REF!</v>
      </c>
      <c r="AE999" s="2" t="e">
        <f>VLOOKUP(I999,#REF!,7,FALSE)</f>
        <v>#REF!</v>
      </c>
      <c r="AG999" s="2" t="e">
        <f>VLOOKUP(H999,#REF!,13,FALSE)</f>
        <v>#REF!</v>
      </c>
      <c r="AH999" s="2" t="e">
        <f>VLOOKUP(I999,#REF!,2,FALSE)</f>
        <v>#REF!</v>
      </c>
      <c r="AJ999" s="185" t="e">
        <f>VLOOKUP(H999,#REF!,3,FALSE)</f>
        <v>#REF!</v>
      </c>
      <c r="AK999" s="185"/>
      <c r="AL999" s="185"/>
      <c r="AM999" s="185" t="e">
        <f>VLOOKUP(CLEAN(H999),#REF!,7,FALSE)</f>
        <v>#REF!</v>
      </c>
      <c r="AN999" s="2" t="e">
        <f>VLOOKUP(H999,#REF!,8,FALSE)</f>
        <v>#REF!</v>
      </c>
      <c r="AO999" s="189" t="e">
        <f>VLOOKUP(H999,#REF!,2,FALSE)</f>
        <v>#REF!</v>
      </c>
      <c r="AP999" s="189" t="e">
        <f>VLOOKUP(H999,#REF!,2,FALSE)</f>
        <v>#REF!</v>
      </c>
      <c r="AQ999" s="189"/>
      <c r="AR999" s="2" t="e">
        <f>VLOOKUP(CLEAN(H999),#REF!,2,FALSE)</f>
        <v>#REF!</v>
      </c>
      <c r="AT999" s="2" t="e">
        <f>VLOOKUP(H999,#REF!,13,FALSE)</f>
        <v>#REF!</v>
      </c>
      <c r="AU999" s="2" t="e">
        <f>VLOOKUP(H999,#REF!,13,FALSE)</f>
        <v>#REF!</v>
      </c>
      <c r="AV999" s="2" t="e">
        <f>VLOOKUP(H999,#REF!,13,FALSE)</f>
        <v>#REF!</v>
      </c>
      <c r="AW999" s="2" t="e">
        <f>VLOOKUP(H999,#REF!,13,FALSE)</f>
        <v>#REF!</v>
      </c>
      <c r="AX999" s="2" t="e">
        <f>VLOOKUP(H999,#REF!,9,FALSE)</f>
        <v>#REF!</v>
      </c>
      <c r="AZ999" s="189" t="e">
        <f>VLOOKUP(H999,#REF!,2,FALSE)</f>
        <v>#REF!</v>
      </c>
      <c r="BF999" s="189" t="e">
        <f>VLOOKUP(CLEAN(H999),#REF!,2,FALSE)</f>
        <v>#REF!</v>
      </c>
      <c r="BG999" s="189" t="e">
        <f>T999-BF999</f>
        <v>#REF!</v>
      </c>
      <c r="BO999" s="2" t="e">
        <f>VLOOKUP(H999,#REF!,13,FALSE)</f>
        <v>#REF!</v>
      </c>
      <c r="BP999" s="2" t="e">
        <f>VLOOKUP(H999,#REF!,2,FALSE)</f>
        <v>#REF!</v>
      </c>
      <c r="BQ999" s="2" t="e">
        <f>VLOOKUP(H999,#REF!,13,FALSE)</f>
        <v>#REF!</v>
      </c>
      <c r="BR999" s="2" t="e">
        <f>VLOOKUP(H999,#REF!,3,FALSE)</f>
        <v>#REF!</v>
      </c>
    </row>
    <row r="1000" spans="1:70" s="2" customFormat="1" ht="15" customHeight="1" outlineLevel="2">
      <c r="A1000" s="5">
        <v>33</v>
      </c>
      <c r="B1000" s="5" t="s">
        <v>5</v>
      </c>
      <c r="C1000" s="5" t="s">
        <v>238</v>
      </c>
      <c r="D1000" s="5" t="s">
        <v>148</v>
      </c>
      <c r="E1000" s="5" t="s">
        <v>148</v>
      </c>
      <c r="F1000" s="5" t="s">
        <v>457</v>
      </c>
      <c r="G1000" s="5" t="s">
        <v>144</v>
      </c>
      <c r="H1000" s="12">
        <v>30129698</v>
      </c>
      <c r="I1000" s="42" t="str">
        <f t="shared" si="577"/>
        <v>30129698-EJECUCION</v>
      </c>
      <c r="J1000" s="12"/>
      <c r="K1000" s="307" t="str">
        <f t="shared" si="578"/>
        <v>30129698</v>
      </c>
      <c r="L1000" s="15" t="s">
        <v>120</v>
      </c>
      <c r="M1000" s="23">
        <v>630000000</v>
      </c>
      <c r="N1000" s="34">
        <v>157500000</v>
      </c>
      <c r="O1000" s="34">
        <v>275000000</v>
      </c>
      <c r="P1000" s="310">
        <v>0</v>
      </c>
      <c r="Q1000" s="34">
        <v>0</v>
      </c>
      <c r="R1000" s="308">
        <v>0</v>
      </c>
      <c r="S1000" s="34">
        <f t="shared" si="579"/>
        <v>0</v>
      </c>
      <c r="T1000" s="34">
        <v>0</v>
      </c>
      <c r="U1000" s="34">
        <v>0</v>
      </c>
      <c r="V1000" s="34">
        <f>P1000+Q1000+R1000+T1000+U1000</f>
        <v>0</v>
      </c>
      <c r="W1000" s="34">
        <f>O1000-V1000</f>
        <v>275000000</v>
      </c>
      <c r="X1000" s="34">
        <f>M1000-(N1000+O1000)</f>
        <v>197500000</v>
      </c>
      <c r="Y1000" s="48" t="s">
        <v>239</v>
      </c>
      <c r="Z1000" s="48" t="s">
        <v>8</v>
      </c>
      <c r="AA1000" s="2" t="s">
        <v>841</v>
      </c>
      <c r="AB1000" s="2" t="e">
        <f>VLOOKUP(H1000,#REF!,2,FALSE)</f>
        <v>#REF!</v>
      </c>
      <c r="AC1000" s="2" t="e">
        <f>VLOOKUP(I1000,#REF!,2,FALSE)</f>
        <v>#REF!</v>
      </c>
      <c r="AD1000" s="2" t="e">
        <f>VLOOKUP(H1000,#REF!,13,FALSE)</f>
        <v>#REF!</v>
      </c>
      <c r="AE1000" s="177" t="e">
        <f>VLOOKUP(I1000,#REF!,7,FALSE)</f>
        <v>#REF!</v>
      </c>
      <c r="AG1000" s="2" t="e">
        <f>VLOOKUP(H1000,#REF!,13,FALSE)</f>
        <v>#REF!</v>
      </c>
      <c r="AH1000" s="2" t="e">
        <f>VLOOKUP(I1000,#REF!,2,FALSE)</f>
        <v>#REF!</v>
      </c>
      <c r="AJ1000" s="185" t="e">
        <f>VLOOKUP(H1000,#REF!,3,FALSE)</f>
        <v>#REF!</v>
      </c>
      <c r="AK1000" s="185"/>
      <c r="AL1000" s="185"/>
      <c r="AM1000" s="185" t="e">
        <f>VLOOKUP(CLEAN(H1000),#REF!,7,FALSE)</f>
        <v>#REF!</v>
      </c>
      <c r="AN1000" s="2" t="e">
        <f>VLOOKUP(H1000,#REF!,8,FALSE)</f>
        <v>#REF!</v>
      </c>
      <c r="AO1000" s="189" t="e">
        <f>VLOOKUP(H1000,#REF!,2,FALSE)</f>
        <v>#REF!</v>
      </c>
      <c r="AP1000" s="189" t="e">
        <f>VLOOKUP(H1000,#REF!,2,FALSE)</f>
        <v>#REF!</v>
      </c>
      <c r="AQ1000" s="189"/>
      <c r="AR1000" s="2" t="e">
        <f>VLOOKUP(CLEAN(H1000),#REF!,2,FALSE)</f>
        <v>#REF!</v>
      </c>
      <c r="AT1000" s="2" t="e">
        <f>VLOOKUP(H1000,#REF!,13,FALSE)</f>
        <v>#REF!</v>
      </c>
      <c r="AU1000" s="2" t="e">
        <f>VLOOKUP(H1000,#REF!,13,FALSE)</f>
        <v>#REF!</v>
      </c>
      <c r="AV1000" s="2" t="e">
        <f>VLOOKUP(H1000,#REF!,13,FALSE)</f>
        <v>#REF!</v>
      </c>
      <c r="AW1000" s="2" t="e">
        <f>VLOOKUP(H1000,#REF!,13,FALSE)</f>
        <v>#REF!</v>
      </c>
      <c r="AX1000" s="2" t="e">
        <f>VLOOKUP(H1000,#REF!,9,FALSE)</f>
        <v>#REF!</v>
      </c>
      <c r="AZ1000" s="2" t="e">
        <f>VLOOKUP(H1000,#REF!,2,FALSE)</f>
        <v>#REF!</v>
      </c>
      <c r="BF1000" s="189" t="e">
        <f>VLOOKUP(CLEAN(H1000),#REF!,2,FALSE)</f>
        <v>#REF!</v>
      </c>
      <c r="BG1000" s="189" t="e">
        <f>T1000-BF1000</f>
        <v>#REF!</v>
      </c>
      <c r="BO1000" s="2" t="e">
        <f>VLOOKUP(H1000,#REF!,13,FALSE)</f>
        <v>#REF!</v>
      </c>
      <c r="BP1000" s="2" t="e">
        <f>VLOOKUP(H1000,#REF!,2,FALSE)</f>
        <v>#REF!</v>
      </c>
      <c r="BQ1000" s="2" t="e">
        <f>VLOOKUP(H1000,#REF!,13,FALSE)</f>
        <v>#REF!</v>
      </c>
      <c r="BR1000" s="2" t="e">
        <f>VLOOKUP(H1000,#REF!,3,FALSE)</f>
        <v>#REF!</v>
      </c>
    </row>
    <row r="1001" spans="1:70" s="2" customFormat="1" ht="15" customHeight="1" outlineLevel="2">
      <c r="A1001" s="5">
        <v>33</v>
      </c>
      <c r="B1001" s="5" t="s">
        <v>5</v>
      </c>
      <c r="C1001" s="5" t="s">
        <v>275</v>
      </c>
      <c r="D1001" s="5" t="s">
        <v>148</v>
      </c>
      <c r="E1001" s="5" t="s">
        <v>148</v>
      </c>
      <c r="F1001" s="5" t="s">
        <v>457</v>
      </c>
      <c r="G1001" s="5" t="s">
        <v>144</v>
      </c>
      <c r="H1001" s="12">
        <v>30342025</v>
      </c>
      <c r="I1001" s="42" t="str">
        <f t="shared" si="577"/>
        <v>30342025-EJECUCION</v>
      </c>
      <c r="J1001" s="12"/>
      <c r="K1001" s="307" t="str">
        <f t="shared" si="578"/>
        <v>30342025</v>
      </c>
      <c r="L1001" s="15" t="s">
        <v>669</v>
      </c>
      <c r="M1001" s="23">
        <v>737376000</v>
      </c>
      <c r="N1001" s="34">
        <v>285768614</v>
      </c>
      <c r="O1001" s="34">
        <v>220000000</v>
      </c>
      <c r="P1001" s="310">
        <v>0</v>
      </c>
      <c r="Q1001" s="34">
        <v>0</v>
      </c>
      <c r="R1001" s="308">
        <v>11274343</v>
      </c>
      <c r="S1001" s="34">
        <f t="shared" si="579"/>
        <v>11274343</v>
      </c>
      <c r="T1001" s="34">
        <v>4591707</v>
      </c>
      <c r="U1001" s="34">
        <v>10479907</v>
      </c>
      <c r="V1001" s="34">
        <f>P1001+Q1001+R1001+T1001+U1001</f>
        <v>26345957</v>
      </c>
      <c r="W1001" s="34">
        <f>O1001-V1001</f>
        <v>193654043</v>
      </c>
      <c r="X1001" s="34">
        <f>M1001-(N1001+O1001)</f>
        <v>231607386</v>
      </c>
      <c r="Y1001" s="48" t="s">
        <v>239</v>
      </c>
      <c r="Z1001" s="48" t="s">
        <v>8</v>
      </c>
      <c r="AA1001" s="2" t="s">
        <v>841</v>
      </c>
      <c r="AB1001" s="2" t="e">
        <f>VLOOKUP(H1001,#REF!,2,FALSE)</f>
        <v>#REF!</v>
      </c>
      <c r="AC1001" s="2" t="e">
        <f>VLOOKUP(I1001,#REF!,2,FALSE)</f>
        <v>#REF!</v>
      </c>
      <c r="AD1001" s="2" t="e">
        <f>VLOOKUP(H1001,#REF!,13,FALSE)</f>
        <v>#REF!</v>
      </c>
      <c r="AE1001" s="2" t="e">
        <f>VLOOKUP(I1001,#REF!,7,FALSE)</f>
        <v>#REF!</v>
      </c>
      <c r="AG1001" s="2" t="e">
        <f>VLOOKUP(H1001,#REF!,13,FALSE)</f>
        <v>#REF!</v>
      </c>
      <c r="AH1001" s="2" t="e">
        <f>VLOOKUP(I1001,#REF!,2,FALSE)</f>
        <v>#REF!</v>
      </c>
      <c r="AJ1001" s="185" t="e">
        <f>VLOOKUP(H1001,#REF!,3,FALSE)</f>
        <v>#REF!</v>
      </c>
      <c r="AK1001" s="185"/>
      <c r="AL1001" s="185"/>
      <c r="AM1001" s="185" t="e">
        <f>VLOOKUP(CLEAN(H1001),#REF!,7,FALSE)</f>
        <v>#REF!</v>
      </c>
      <c r="AN1001" s="2" t="e">
        <f>VLOOKUP(H1001,#REF!,8,FALSE)</f>
        <v>#REF!</v>
      </c>
      <c r="AO1001" s="189" t="e">
        <f>VLOOKUP(H1001,#REF!,2,FALSE)</f>
        <v>#REF!</v>
      </c>
      <c r="AP1001" s="189" t="e">
        <f>VLOOKUP(H1001,#REF!,2,FALSE)</f>
        <v>#REF!</v>
      </c>
      <c r="AQ1001" s="189" t="e">
        <f t="shared" ref="AQ1001:AQ1003" si="582">AO1001-AP1001</f>
        <v>#REF!</v>
      </c>
      <c r="AR1001" s="2" t="e">
        <f>VLOOKUP(CLEAN(H1001),#REF!,2,FALSE)</f>
        <v>#REF!</v>
      </c>
      <c r="AT1001" s="2" t="e">
        <f>VLOOKUP(H1001,#REF!,13,FALSE)</f>
        <v>#REF!</v>
      </c>
      <c r="AU1001" s="2" t="e">
        <f>VLOOKUP(H1001,#REF!,13,FALSE)</f>
        <v>#REF!</v>
      </c>
      <c r="AV1001" s="2" t="e">
        <f>VLOOKUP(H1001,#REF!,13,FALSE)</f>
        <v>#REF!</v>
      </c>
      <c r="AW1001" s="2" t="e">
        <f>VLOOKUP(H1001,#REF!,13,FALSE)</f>
        <v>#REF!</v>
      </c>
      <c r="AX1001" s="2" t="e">
        <f>VLOOKUP(H1001,#REF!,9,FALSE)</f>
        <v>#REF!</v>
      </c>
      <c r="AZ1001" s="189" t="e">
        <f>VLOOKUP(H1001,#REF!,2,FALSE)</f>
        <v>#REF!</v>
      </c>
      <c r="BF1001" s="189" t="e">
        <f>VLOOKUP(CLEAN(H1001),#REF!,2,FALSE)</f>
        <v>#REF!</v>
      </c>
      <c r="BG1001" s="189" t="e">
        <f>T1001-BF1001</f>
        <v>#REF!</v>
      </c>
      <c r="BO1001" s="2" t="e">
        <f>VLOOKUP(H1001,#REF!,13,FALSE)</f>
        <v>#REF!</v>
      </c>
      <c r="BP1001" s="2" t="e">
        <f>VLOOKUP(H1001,#REF!,2,FALSE)</f>
        <v>#REF!</v>
      </c>
      <c r="BQ1001" s="2" t="e">
        <f>VLOOKUP(H1001,#REF!,13,FALSE)</f>
        <v>#REF!</v>
      </c>
      <c r="BR1001" s="2" t="e">
        <f>VLOOKUP(H1001,#REF!,3,FALSE)</f>
        <v>#REF!</v>
      </c>
    </row>
    <row r="1002" spans="1:70" s="2" customFormat="1" ht="15" customHeight="1" outlineLevel="2">
      <c r="A1002" s="5">
        <v>33</v>
      </c>
      <c r="B1002" s="5" t="s">
        <v>5</v>
      </c>
      <c r="C1002" s="5" t="s">
        <v>240</v>
      </c>
      <c r="D1002" s="5" t="s">
        <v>148</v>
      </c>
      <c r="E1002" s="5" t="s">
        <v>148</v>
      </c>
      <c r="F1002" s="5" t="s">
        <v>457</v>
      </c>
      <c r="G1002" s="5" t="s">
        <v>144</v>
      </c>
      <c r="H1002" s="12">
        <v>30135830</v>
      </c>
      <c r="I1002" s="42" t="str">
        <f t="shared" si="577"/>
        <v>30135830-EJECUCION</v>
      </c>
      <c r="J1002" s="12"/>
      <c r="K1002" s="307" t="str">
        <f t="shared" si="578"/>
        <v>30135830</v>
      </c>
      <c r="L1002" s="15" t="s">
        <v>117</v>
      </c>
      <c r="M1002" s="23">
        <v>200089000</v>
      </c>
      <c r="N1002" s="34">
        <v>152279000</v>
      </c>
      <c r="O1002" s="34">
        <v>47810000</v>
      </c>
      <c r="P1002" s="310">
        <v>0</v>
      </c>
      <c r="Q1002" s="34">
        <v>0</v>
      </c>
      <c r="R1002" s="308">
        <v>0</v>
      </c>
      <c r="S1002" s="34">
        <f t="shared" si="579"/>
        <v>0</v>
      </c>
      <c r="T1002" s="34">
        <v>13195000</v>
      </c>
      <c r="U1002" s="34">
        <v>0</v>
      </c>
      <c r="V1002" s="34">
        <f>P1002+Q1002+R1002+T1002+U1002</f>
        <v>13195000</v>
      </c>
      <c r="W1002" s="34">
        <f>O1002-V1002</f>
        <v>34615000</v>
      </c>
      <c r="X1002" s="34">
        <f>M1002-(N1002+O1002)</f>
        <v>0</v>
      </c>
      <c r="Y1002" s="48" t="s">
        <v>239</v>
      </c>
      <c r="Z1002" s="48" t="s">
        <v>8</v>
      </c>
      <c r="AA1002" s="2" t="s">
        <v>841</v>
      </c>
      <c r="AB1002" s="2" t="e">
        <f>VLOOKUP(H1002,#REF!,2,FALSE)</f>
        <v>#REF!</v>
      </c>
      <c r="AC1002" s="2" t="e">
        <f>VLOOKUP(I1002,#REF!,2,FALSE)</f>
        <v>#REF!</v>
      </c>
      <c r="AD1002" s="2" t="e">
        <f>VLOOKUP(H1002,#REF!,13,FALSE)</f>
        <v>#REF!</v>
      </c>
      <c r="AE1002" s="2" t="e">
        <f>VLOOKUP(I1002,#REF!,7,FALSE)</f>
        <v>#REF!</v>
      </c>
      <c r="AG1002" s="2" t="e">
        <f>VLOOKUP(H1002,#REF!,13,FALSE)</f>
        <v>#REF!</v>
      </c>
      <c r="AH1002" s="2" t="e">
        <f>VLOOKUP(I1002,#REF!,2,FALSE)</f>
        <v>#REF!</v>
      </c>
      <c r="AJ1002" s="185" t="e">
        <f>VLOOKUP(H1002,#REF!,3,FALSE)</f>
        <v>#REF!</v>
      </c>
      <c r="AK1002" s="185"/>
      <c r="AL1002" s="185"/>
      <c r="AM1002" s="185" t="e">
        <f>VLOOKUP(CLEAN(H1002),#REF!,7,FALSE)</f>
        <v>#REF!</v>
      </c>
      <c r="AN1002" s="2" t="e">
        <f>VLOOKUP(H1002,#REF!,8,FALSE)</f>
        <v>#REF!</v>
      </c>
      <c r="AO1002" s="189" t="e">
        <f>VLOOKUP(H1002,#REF!,2,FALSE)</f>
        <v>#REF!</v>
      </c>
      <c r="AP1002" s="189" t="e">
        <f>VLOOKUP(H1002,#REF!,2,FALSE)</f>
        <v>#REF!</v>
      </c>
      <c r="AQ1002" s="189" t="e">
        <f t="shared" si="582"/>
        <v>#REF!</v>
      </c>
      <c r="AR1002" s="2" t="e">
        <f>VLOOKUP(CLEAN(H1002),#REF!,2,FALSE)</f>
        <v>#REF!</v>
      </c>
      <c r="AT1002" s="2" t="e">
        <f>VLOOKUP(H1002,#REF!,13,FALSE)</f>
        <v>#REF!</v>
      </c>
      <c r="AU1002" s="2" t="e">
        <f>VLOOKUP(H1002,#REF!,13,FALSE)</f>
        <v>#REF!</v>
      </c>
      <c r="AV1002" s="2" t="e">
        <f>VLOOKUP(H1002,#REF!,13,FALSE)</f>
        <v>#REF!</v>
      </c>
      <c r="AW1002" s="2" t="e">
        <f>VLOOKUP(H1002,#REF!,13,FALSE)</f>
        <v>#REF!</v>
      </c>
      <c r="AX1002" s="2" t="e">
        <f>VLOOKUP(H1002,#REF!,9,FALSE)</f>
        <v>#REF!</v>
      </c>
      <c r="AZ1002" s="189" t="e">
        <f>VLOOKUP(H1002,#REF!,2,FALSE)</f>
        <v>#REF!</v>
      </c>
      <c r="BF1002" s="189" t="e">
        <f>VLOOKUP(CLEAN(H1002),#REF!,2,FALSE)</f>
        <v>#REF!</v>
      </c>
      <c r="BG1002" s="189" t="e">
        <f>T1002-BF1002</f>
        <v>#REF!</v>
      </c>
      <c r="BO1002" s="2" t="e">
        <f>VLOOKUP(H1002,#REF!,13,FALSE)</f>
        <v>#REF!</v>
      </c>
      <c r="BP1002" s="2" t="e">
        <f>VLOOKUP(H1002,#REF!,2,FALSE)</f>
        <v>#REF!</v>
      </c>
      <c r="BQ1002" s="2" t="e">
        <f>VLOOKUP(H1002,#REF!,13,FALSE)</f>
        <v>#REF!</v>
      </c>
      <c r="BR1002" s="2" t="e">
        <f>VLOOKUP(H1002,#REF!,3,FALSE)</f>
        <v>#REF!</v>
      </c>
    </row>
    <row r="1003" spans="1:70" s="2" customFormat="1" ht="15" customHeight="1" outlineLevel="2">
      <c r="A1003" s="5">
        <v>33</v>
      </c>
      <c r="B1003" s="5" t="s">
        <v>5</v>
      </c>
      <c r="C1003" s="5" t="s">
        <v>301</v>
      </c>
      <c r="D1003" s="5" t="s">
        <v>148</v>
      </c>
      <c r="E1003" s="5" t="s">
        <v>148</v>
      </c>
      <c r="F1003" s="5" t="s">
        <v>457</v>
      </c>
      <c r="G1003" s="5" t="s">
        <v>144</v>
      </c>
      <c r="H1003" s="12">
        <v>30343724</v>
      </c>
      <c r="I1003" s="311" t="str">
        <f t="shared" si="577"/>
        <v>30343724-EJECUCION</v>
      </c>
      <c r="J1003" s="190"/>
      <c r="K1003" s="309" t="str">
        <f t="shared" si="578"/>
        <v>30343724</v>
      </c>
      <c r="L1003" s="15" t="s">
        <v>60</v>
      </c>
      <c r="M1003" s="23">
        <v>2368886000</v>
      </c>
      <c r="N1003" s="34">
        <v>1026634914</v>
      </c>
      <c r="O1003" s="34">
        <v>193091811</v>
      </c>
      <c r="P1003" s="310">
        <v>0</v>
      </c>
      <c r="Q1003" s="34">
        <v>0</v>
      </c>
      <c r="R1003" s="308">
        <v>0</v>
      </c>
      <c r="S1003" s="34">
        <f t="shared" si="579"/>
        <v>0</v>
      </c>
      <c r="T1003" s="34">
        <v>112036256</v>
      </c>
      <c r="U1003" s="34">
        <v>54292435</v>
      </c>
      <c r="V1003" s="34">
        <f>P1003+Q1003+R1003+T1003+U1003</f>
        <v>166328691</v>
      </c>
      <c r="W1003" s="34">
        <f>O1003-V1003</f>
        <v>26763120</v>
      </c>
      <c r="X1003" s="34">
        <f>M1003-(N1003+O1003)</f>
        <v>1149159275</v>
      </c>
      <c r="Y1003" s="48" t="s">
        <v>239</v>
      </c>
      <c r="Z1003" s="48" t="s">
        <v>8</v>
      </c>
      <c r="AA1003" s="2" t="s">
        <v>841</v>
      </c>
      <c r="AB1003" s="2" t="e">
        <f>VLOOKUP(H1003,#REF!,2,FALSE)</f>
        <v>#REF!</v>
      </c>
      <c r="AC1003" s="2" t="e">
        <f>VLOOKUP(I1003,#REF!,2,FALSE)</f>
        <v>#REF!</v>
      </c>
      <c r="AD1003" s="2" t="e">
        <f>VLOOKUP(H1003,#REF!,13,FALSE)</f>
        <v>#REF!</v>
      </c>
      <c r="AE1003" s="2" t="e">
        <f>VLOOKUP(I1003,#REF!,7,FALSE)</f>
        <v>#REF!</v>
      </c>
      <c r="AG1003" s="2" t="e">
        <f>VLOOKUP(H1003,#REF!,13,FALSE)</f>
        <v>#REF!</v>
      </c>
      <c r="AH1003" s="2" t="e">
        <f>VLOOKUP(I1003,#REF!,2,FALSE)</f>
        <v>#REF!</v>
      </c>
      <c r="AJ1003" s="185" t="e">
        <f>VLOOKUP(H1003,#REF!,3,FALSE)</f>
        <v>#REF!</v>
      </c>
      <c r="AK1003" s="185"/>
      <c r="AL1003" s="185"/>
      <c r="AM1003" s="185" t="e">
        <f>VLOOKUP(CLEAN(H1003),#REF!,7,FALSE)</f>
        <v>#REF!</v>
      </c>
      <c r="AN1003" s="2" t="e">
        <f>VLOOKUP(H1003,#REF!,8,FALSE)</f>
        <v>#REF!</v>
      </c>
      <c r="AO1003" s="189" t="e">
        <f>VLOOKUP(H1003,#REF!,2,FALSE)</f>
        <v>#REF!</v>
      </c>
      <c r="AP1003" s="189" t="e">
        <f>VLOOKUP(H1003,#REF!,2,FALSE)</f>
        <v>#REF!</v>
      </c>
      <c r="AQ1003" s="189" t="e">
        <f t="shared" si="582"/>
        <v>#REF!</v>
      </c>
      <c r="AR1003" s="2" t="e">
        <f>VLOOKUP(CLEAN(H1003),#REF!,2,FALSE)</f>
        <v>#REF!</v>
      </c>
      <c r="AT1003" s="2" t="e">
        <f>VLOOKUP(H1003,#REF!,13,FALSE)</f>
        <v>#REF!</v>
      </c>
      <c r="AU1003" s="2" t="e">
        <f>VLOOKUP(H1003,#REF!,13,FALSE)</f>
        <v>#REF!</v>
      </c>
      <c r="AV1003" s="2" t="e">
        <f>VLOOKUP(H1003,#REF!,13,FALSE)</f>
        <v>#REF!</v>
      </c>
      <c r="AW1003" s="2" t="e">
        <f>VLOOKUP(H1003,#REF!,13,FALSE)</f>
        <v>#REF!</v>
      </c>
      <c r="AX1003" s="2" t="e">
        <f>VLOOKUP(H1003,#REF!,9,FALSE)</f>
        <v>#REF!</v>
      </c>
      <c r="AZ1003" s="189" t="e">
        <f>VLOOKUP(H1003,#REF!,2,FALSE)</f>
        <v>#REF!</v>
      </c>
      <c r="BF1003" s="189" t="e">
        <f>VLOOKUP(CLEAN(H1003),#REF!,2,FALSE)</f>
        <v>#REF!</v>
      </c>
      <c r="BG1003" s="189" t="e">
        <f>T1003-BF1003</f>
        <v>#REF!</v>
      </c>
      <c r="BO1003" s="2" t="e">
        <f>VLOOKUP(H1003,#REF!,13,FALSE)</f>
        <v>#REF!</v>
      </c>
      <c r="BP1003" s="2" t="e">
        <f>VLOOKUP(H1003,#REF!,2,FALSE)</f>
        <v>#REF!</v>
      </c>
      <c r="BQ1003" s="2" t="e">
        <f>VLOOKUP(H1003,#REF!,13,FALSE)</f>
        <v>#REF!</v>
      </c>
      <c r="BR1003" s="2" t="e">
        <f>VLOOKUP(H1003,#REF!,3,FALSE)</f>
        <v>#REF!</v>
      </c>
    </row>
    <row r="1004" spans="1:70" s="2" customFormat="1" ht="15" customHeight="1" outlineLevel="2">
      <c r="A1004" s="5">
        <v>33</v>
      </c>
      <c r="B1004" s="5" t="s">
        <v>5</v>
      </c>
      <c r="C1004" s="5" t="s">
        <v>301</v>
      </c>
      <c r="D1004" s="5" t="s">
        <v>148</v>
      </c>
      <c r="E1004" s="5" t="s">
        <v>148</v>
      </c>
      <c r="F1004" s="5" t="s">
        <v>457</v>
      </c>
      <c r="G1004" s="5" t="s">
        <v>144</v>
      </c>
      <c r="H1004" s="12">
        <v>30398233</v>
      </c>
      <c r="I1004" s="42" t="str">
        <f t="shared" si="577"/>
        <v>30398233-EJECUCION</v>
      </c>
      <c r="J1004" s="12"/>
      <c r="K1004" s="307" t="str">
        <f t="shared" si="578"/>
        <v>30398233</v>
      </c>
      <c r="L1004" s="15" t="s">
        <v>140</v>
      </c>
      <c r="M1004" s="23">
        <v>900000000</v>
      </c>
      <c r="N1004" s="34">
        <v>1833333</v>
      </c>
      <c r="O1004" s="34">
        <f>500000000-4072034</f>
        <v>495927966</v>
      </c>
      <c r="P1004" s="310">
        <v>0</v>
      </c>
      <c r="Q1004" s="34">
        <v>0</v>
      </c>
      <c r="R1004" s="308">
        <v>0</v>
      </c>
      <c r="S1004" s="34">
        <f t="shared" si="579"/>
        <v>0</v>
      </c>
      <c r="T1004" s="34">
        <v>0</v>
      </c>
      <c r="U1004" s="34">
        <v>194322338</v>
      </c>
      <c r="V1004" s="34">
        <f>P1004+Q1004+R1004+T1004+U1004</f>
        <v>194322338</v>
      </c>
      <c r="W1004" s="34">
        <f>O1004-V1004</f>
        <v>301605628</v>
      </c>
      <c r="X1004" s="34">
        <f>M1004-(N1004+O1004)</f>
        <v>402238701</v>
      </c>
      <c r="Y1004" s="48" t="s">
        <v>239</v>
      </c>
      <c r="Z1004" s="48" t="s">
        <v>8</v>
      </c>
      <c r="AA1004" s="2" t="s">
        <v>841</v>
      </c>
      <c r="AB1004" s="2" t="e">
        <f>VLOOKUP(H1004,#REF!,2,FALSE)</f>
        <v>#REF!</v>
      </c>
      <c r="AC1004" s="2" t="e">
        <f>VLOOKUP(I1004,#REF!,2,FALSE)</f>
        <v>#REF!</v>
      </c>
      <c r="AD1004" s="2" t="e">
        <f>VLOOKUP(H1004,#REF!,13,FALSE)</f>
        <v>#REF!</v>
      </c>
      <c r="AE1004" s="177" t="e">
        <f>VLOOKUP(I1004,#REF!,7,FALSE)</f>
        <v>#REF!</v>
      </c>
      <c r="AG1004" s="2" t="e">
        <f>VLOOKUP(H1004,#REF!,13,FALSE)</f>
        <v>#REF!</v>
      </c>
      <c r="AH1004" s="2" t="e">
        <f>VLOOKUP(I1004,#REF!,2,FALSE)</f>
        <v>#REF!</v>
      </c>
      <c r="AJ1004" s="185" t="e">
        <f>VLOOKUP(H1004,#REF!,3,FALSE)</f>
        <v>#REF!</v>
      </c>
      <c r="AK1004" s="185"/>
      <c r="AL1004" s="185"/>
      <c r="AM1004" s="185" t="e">
        <f>VLOOKUP(CLEAN(H1004),#REF!,7,FALSE)</f>
        <v>#REF!</v>
      </c>
      <c r="AN1004" s="2" t="e">
        <f>VLOOKUP(H1004,#REF!,8,FALSE)</f>
        <v>#REF!</v>
      </c>
      <c r="AO1004" s="189" t="e">
        <f>VLOOKUP(H1004,#REF!,2,FALSE)</f>
        <v>#REF!</v>
      </c>
      <c r="AP1004" s="189" t="e">
        <f>VLOOKUP(H1004,#REF!,2,FALSE)</f>
        <v>#REF!</v>
      </c>
      <c r="AQ1004" s="189"/>
      <c r="AR1004" s="2" t="e">
        <f>VLOOKUP(CLEAN(H1004),#REF!,2,FALSE)</f>
        <v>#REF!</v>
      </c>
      <c r="AT1004" s="2" t="e">
        <f>VLOOKUP(H1004,#REF!,13,FALSE)</f>
        <v>#REF!</v>
      </c>
      <c r="AU1004" s="2" t="e">
        <f>VLOOKUP(H1004,#REF!,13,FALSE)</f>
        <v>#REF!</v>
      </c>
      <c r="AV1004" s="2" t="e">
        <f>VLOOKUP(H1004,#REF!,13,FALSE)</f>
        <v>#REF!</v>
      </c>
      <c r="AW1004" s="2" t="e">
        <f>VLOOKUP(H1004,#REF!,13,FALSE)</f>
        <v>#REF!</v>
      </c>
      <c r="AX1004" s="2" t="e">
        <f>VLOOKUP(H1004,#REF!,9,FALSE)</f>
        <v>#REF!</v>
      </c>
      <c r="AZ1004" s="189" t="e">
        <f>VLOOKUP(H1004,#REF!,2,FALSE)</f>
        <v>#REF!</v>
      </c>
      <c r="BF1004" s="189" t="e">
        <f>VLOOKUP(CLEAN(H1004),#REF!,2,FALSE)</f>
        <v>#REF!</v>
      </c>
      <c r="BG1004" s="189" t="e">
        <f>T1004-BF1004</f>
        <v>#REF!</v>
      </c>
      <c r="BO1004" s="2" t="e">
        <f>VLOOKUP(H1004,#REF!,13,FALSE)</f>
        <v>#REF!</v>
      </c>
      <c r="BP1004" s="2" t="e">
        <f>VLOOKUP(H1004,#REF!,2,FALSE)</f>
        <v>#REF!</v>
      </c>
      <c r="BQ1004" s="2" t="e">
        <f>VLOOKUP(H1004,#REF!,13,FALSE)</f>
        <v>#REF!</v>
      </c>
      <c r="BR1004" s="2" t="e">
        <f>VLOOKUP(H1004,#REF!,3,FALSE)</f>
        <v>#REF!</v>
      </c>
    </row>
    <row r="1005" spans="1:70" ht="15" customHeight="1" outlineLevel="2">
      <c r="A1005" s="7"/>
      <c r="B1005" s="7"/>
      <c r="C1005" s="7"/>
      <c r="D1005" s="7"/>
      <c r="E1005" s="7"/>
      <c r="F1005" s="7"/>
      <c r="G1005" s="7"/>
      <c r="H1005" s="11"/>
      <c r="I1005" s="11"/>
      <c r="J1005" s="11"/>
      <c r="K1005" s="11"/>
      <c r="L1005" s="17" t="s">
        <v>691</v>
      </c>
      <c r="M1005" s="27">
        <f t="shared" ref="M1005:X1005" si="583">SUBTOTAL(9,M958:M1004)</f>
        <v>31434378487</v>
      </c>
      <c r="N1005" s="27">
        <f t="shared" si="583"/>
        <v>12720732706</v>
      </c>
      <c r="O1005" s="27">
        <f t="shared" si="583"/>
        <v>10665710038</v>
      </c>
      <c r="P1005" s="24">
        <f t="shared" si="583"/>
        <v>45024120</v>
      </c>
      <c r="Q1005" s="24">
        <f t="shared" si="583"/>
        <v>0</v>
      </c>
      <c r="R1005" s="24">
        <f t="shared" si="583"/>
        <v>215515197</v>
      </c>
      <c r="S1005" s="27">
        <f t="shared" si="583"/>
        <v>260539317</v>
      </c>
      <c r="T1005" s="27">
        <f t="shared" si="583"/>
        <v>209764069</v>
      </c>
      <c r="U1005" s="27">
        <f t="shared" si="583"/>
        <v>450423027</v>
      </c>
      <c r="V1005" s="27">
        <f t="shared" si="583"/>
        <v>920726413</v>
      </c>
      <c r="W1005" s="27">
        <f t="shared" si="583"/>
        <v>9744983625</v>
      </c>
      <c r="X1005" s="27">
        <f t="shared" si="583"/>
        <v>8047935743</v>
      </c>
      <c r="Y1005" s="47"/>
      <c r="Z1005" s="47"/>
      <c r="AM1005" s="185" t="e">
        <f>VLOOKUP(CLEAN(H1005),#REF!,7,FALSE)</f>
        <v>#REF!</v>
      </c>
      <c r="AO1005"/>
      <c r="AP1005"/>
      <c r="AQ1005"/>
      <c r="AR1005" s="2" t="e">
        <f>VLOOKUP(CLEAN(H1005),#REF!,2,FALSE)</f>
        <v>#REF!</v>
      </c>
      <c r="AZ1005" s="2" t="e">
        <f>VLOOKUP(H1005,#REF!,2,FALSE)</f>
        <v>#REF!</v>
      </c>
      <c r="BO1005" s="2" t="e">
        <f>VLOOKUP(H1005,#REF!,13,FALSE)</f>
        <v>#REF!</v>
      </c>
      <c r="BQ1005" s="2" t="e">
        <f>VLOOKUP(H1005,#REF!,13,FALSE)</f>
        <v>#REF!</v>
      </c>
    </row>
    <row r="1006" spans="1:70" ht="15" customHeight="1" outlineLevel="2">
      <c r="A1006" s="7"/>
      <c r="B1006" s="7"/>
      <c r="C1006" s="7"/>
      <c r="D1006" s="7"/>
      <c r="E1006" s="7"/>
      <c r="F1006" s="7"/>
      <c r="G1006" s="7"/>
      <c r="H1006" s="11"/>
      <c r="I1006" s="11"/>
      <c r="J1006" s="11"/>
      <c r="K1006" s="11"/>
      <c r="L1006" s="292"/>
      <c r="M1006" s="22"/>
      <c r="N1006" s="33"/>
      <c r="O1006" s="33"/>
      <c r="P1006" s="33"/>
      <c r="Q1006" s="33"/>
      <c r="R1006" s="33"/>
      <c r="S1006" s="33"/>
      <c r="T1006" s="33"/>
      <c r="U1006" s="33"/>
      <c r="V1006" s="33"/>
      <c r="W1006" s="33"/>
      <c r="X1006" s="33"/>
      <c r="Y1006" s="47"/>
      <c r="Z1006" s="47"/>
      <c r="AM1006" s="185" t="e">
        <f>VLOOKUP(CLEAN(H1006),#REF!,7,FALSE)</f>
        <v>#REF!</v>
      </c>
      <c r="AO1006"/>
      <c r="AP1006"/>
      <c r="AQ1006"/>
      <c r="AR1006" s="2" t="e">
        <f>VLOOKUP(CLEAN(H1006),#REF!,2,FALSE)</f>
        <v>#REF!</v>
      </c>
      <c r="AZ1006" s="2" t="e">
        <f>VLOOKUP(H1006,#REF!,2,FALSE)</f>
        <v>#REF!</v>
      </c>
      <c r="BO1006" s="2" t="e">
        <f>VLOOKUP(H1006,#REF!,13,FALSE)</f>
        <v>#REF!</v>
      </c>
      <c r="BP1006" s="293"/>
      <c r="BQ1006" s="2" t="e">
        <f>VLOOKUP(H1006,#REF!,13,FALSE)</f>
        <v>#REF!</v>
      </c>
    </row>
    <row r="1007" spans="1:70" ht="15" customHeight="1" outlineLevel="2">
      <c r="A1007" s="7"/>
      <c r="B1007" s="7"/>
      <c r="C1007" s="7"/>
      <c r="D1007" s="7"/>
      <c r="E1007" s="7"/>
      <c r="F1007" s="7"/>
      <c r="G1007" s="7"/>
      <c r="H1007" s="11"/>
      <c r="I1007" s="11"/>
      <c r="J1007" s="11"/>
      <c r="K1007" s="11"/>
      <c r="L1007" s="18" t="s">
        <v>701</v>
      </c>
      <c r="M1007" s="22"/>
      <c r="N1007" s="33"/>
      <c r="O1007" s="33"/>
      <c r="P1007" s="33"/>
      <c r="Q1007" s="33"/>
      <c r="R1007" s="33"/>
      <c r="S1007" s="33"/>
      <c r="T1007" s="33"/>
      <c r="U1007" s="33"/>
      <c r="V1007" s="33"/>
      <c r="W1007" s="33"/>
      <c r="X1007" s="33"/>
      <c r="Y1007" s="47"/>
      <c r="Z1007" s="47"/>
      <c r="AO1007"/>
      <c r="AP1007"/>
      <c r="AQ1007"/>
      <c r="AR1007" s="2"/>
      <c r="AZ1007" s="2"/>
      <c r="BO1007" s="2"/>
      <c r="BQ1007" s="2" t="e">
        <f>VLOOKUP(H1007,#REF!,13,FALSE)</f>
        <v>#REF!</v>
      </c>
    </row>
    <row r="1008" spans="1:70" s="2" customFormat="1" ht="15" customHeight="1" outlineLevel="2">
      <c r="A1008" s="5">
        <v>33</v>
      </c>
      <c r="B1008" s="5" t="s">
        <v>54</v>
      </c>
      <c r="C1008" s="5" t="s">
        <v>275</v>
      </c>
      <c r="D1008" s="5" t="s">
        <v>148</v>
      </c>
      <c r="E1008" s="5" t="s">
        <v>148</v>
      </c>
      <c r="F1008" s="5" t="s">
        <v>457</v>
      </c>
      <c r="G1008" s="5" t="s">
        <v>144</v>
      </c>
      <c r="H1008" s="12">
        <v>30482658</v>
      </c>
      <c r="I1008" s="42" t="str">
        <f>CONCATENATE(H1008,"-",G1008)</f>
        <v>30482658-EJECUCION</v>
      </c>
      <c r="J1008" s="12"/>
      <c r="K1008" s="307" t="str">
        <f>CLEAN(H1008)</f>
        <v>30482658</v>
      </c>
      <c r="L1008" s="15" t="s">
        <v>131</v>
      </c>
      <c r="M1008" s="23">
        <v>230000000</v>
      </c>
      <c r="N1008" s="34">
        <v>0</v>
      </c>
      <c r="O1008" s="34">
        <f>76666666.6666667-4919571</f>
        <v>71747095.666666701</v>
      </c>
      <c r="P1008" s="310">
        <v>0</v>
      </c>
      <c r="Q1008" s="34">
        <v>0</v>
      </c>
      <c r="R1008" s="308">
        <v>0</v>
      </c>
      <c r="S1008" s="34">
        <f>P1008+Q1008+R1008</f>
        <v>0</v>
      </c>
      <c r="T1008" s="34">
        <v>0</v>
      </c>
      <c r="U1008" s="34">
        <v>0</v>
      </c>
      <c r="V1008" s="34">
        <f>P1008+Q1008+R1008+T1008+U1008</f>
        <v>0</v>
      </c>
      <c r="W1008" s="34">
        <f>O1008-V1008</f>
        <v>71747095.666666701</v>
      </c>
      <c r="X1008" s="34">
        <f>M1008-(N1008+O1008)</f>
        <v>158252904.33333331</v>
      </c>
      <c r="Y1008" s="48" t="s">
        <v>418</v>
      </c>
      <c r="Z1008" s="48" t="s">
        <v>8</v>
      </c>
      <c r="AA1008" s="2" t="s">
        <v>841</v>
      </c>
      <c r="AB1008" s="2" t="e">
        <f>VLOOKUP(H1008,#REF!,2,FALSE)</f>
        <v>#REF!</v>
      </c>
      <c r="AC1008" s="2" t="e">
        <f>VLOOKUP(I1008,#REF!,2,FALSE)</f>
        <v>#REF!</v>
      </c>
      <c r="AD1008" s="2" t="e">
        <f>VLOOKUP(H1008,#REF!,13,FALSE)</f>
        <v>#REF!</v>
      </c>
      <c r="AE1008" s="2" t="e">
        <f>VLOOKUP(I1008,#REF!,7,FALSE)</f>
        <v>#REF!</v>
      </c>
      <c r="AG1008" s="2" t="e">
        <f>VLOOKUP(H1008,#REF!,13,FALSE)</f>
        <v>#REF!</v>
      </c>
      <c r="AH1008" s="2" t="e">
        <f>VLOOKUP(I1008,#REF!,2,FALSE)</f>
        <v>#REF!</v>
      </c>
      <c r="AJ1008" s="185" t="e">
        <f>VLOOKUP(H1008,#REF!,3,FALSE)</f>
        <v>#REF!</v>
      </c>
      <c r="AK1008" s="185"/>
      <c r="AL1008" s="185"/>
      <c r="AM1008" s="185" t="e">
        <f>VLOOKUP(CLEAN(H1008),#REF!,7,FALSE)</f>
        <v>#REF!</v>
      </c>
      <c r="AN1008" s="2" t="e">
        <f>VLOOKUP(H1008,#REF!,8,FALSE)</f>
        <v>#REF!</v>
      </c>
      <c r="AO1008" s="189" t="e">
        <f>VLOOKUP(H1008,#REF!,2,FALSE)</f>
        <v>#REF!</v>
      </c>
      <c r="AP1008" s="189" t="e">
        <f>VLOOKUP(H1008,#REF!,2,FALSE)</f>
        <v>#REF!</v>
      </c>
      <c r="AQ1008" s="189"/>
      <c r="AR1008" s="2" t="e">
        <f>VLOOKUP(CLEAN(H1008),#REF!,2,FALSE)</f>
        <v>#REF!</v>
      </c>
      <c r="AT1008" s="2" t="e">
        <f>VLOOKUP(H1008,#REF!,13,FALSE)</f>
        <v>#REF!</v>
      </c>
      <c r="AU1008" s="2" t="e">
        <f>VLOOKUP(H1008,#REF!,13,FALSE)</f>
        <v>#REF!</v>
      </c>
      <c r="AV1008" s="2" t="e">
        <f>VLOOKUP(H1008,#REF!,13,FALSE)</f>
        <v>#REF!</v>
      </c>
      <c r="AW1008" s="2" t="e">
        <f>VLOOKUP(H1008,#REF!,13,FALSE)</f>
        <v>#REF!</v>
      </c>
      <c r="AX1008" s="2" t="e">
        <f>VLOOKUP(H1008,#REF!,9,FALSE)</f>
        <v>#REF!</v>
      </c>
      <c r="AZ1008" s="2" t="e">
        <f>VLOOKUP(H1008,#REF!,2,FALSE)</f>
        <v>#REF!</v>
      </c>
      <c r="BF1008" s="189" t="e">
        <f>VLOOKUP(CLEAN(H1008),#REF!,2,FALSE)</f>
        <v>#REF!</v>
      </c>
      <c r="BG1008" s="189" t="e">
        <f>T1008-BF1008</f>
        <v>#REF!</v>
      </c>
      <c r="BO1008" s="2" t="e">
        <f>VLOOKUP(H1008,#REF!,13,FALSE)</f>
        <v>#REF!</v>
      </c>
      <c r="BP1008" s="2" t="e">
        <f>VLOOKUP(H1008,#REF!,2,FALSE)</f>
        <v>#REF!</v>
      </c>
      <c r="BQ1008" s="2" t="e">
        <f>VLOOKUP(H1008,#REF!,13,FALSE)</f>
        <v>#REF!</v>
      </c>
      <c r="BR1008" s="2" t="e">
        <f>VLOOKUP(H1008,#REF!,3,FALSE)</f>
        <v>#REF!</v>
      </c>
    </row>
    <row r="1009" spans="1:70" ht="15" customHeight="1" outlineLevel="2">
      <c r="A1009" s="7"/>
      <c r="B1009" s="7"/>
      <c r="C1009" s="7"/>
      <c r="D1009" s="7"/>
      <c r="E1009" s="7"/>
      <c r="F1009" s="7"/>
      <c r="G1009" s="7"/>
      <c r="H1009" s="11"/>
      <c r="I1009" s="11"/>
      <c r="J1009" s="11"/>
      <c r="K1009" s="11"/>
      <c r="L1009" s="17" t="s">
        <v>702</v>
      </c>
      <c r="M1009" s="27">
        <f>SUBTOTAL(9,M1008)</f>
        <v>230000000</v>
      </c>
      <c r="N1009" s="27">
        <f t="shared" ref="N1009:O1009" si="584">SUBTOTAL(9,N1008)</f>
        <v>0</v>
      </c>
      <c r="O1009" s="27">
        <f t="shared" si="584"/>
        <v>71747095.666666701</v>
      </c>
      <c r="P1009" s="24">
        <f t="shared" ref="P1009:X1009" si="585">SUBTOTAL(9,P1008)</f>
        <v>0</v>
      </c>
      <c r="Q1009" s="24">
        <f t="shared" si="585"/>
        <v>0</v>
      </c>
      <c r="R1009" s="24">
        <f t="shared" si="585"/>
        <v>0</v>
      </c>
      <c r="S1009" s="27">
        <f t="shared" si="585"/>
        <v>0</v>
      </c>
      <c r="T1009" s="27">
        <f t="shared" si="585"/>
        <v>0</v>
      </c>
      <c r="U1009" s="27">
        <f t="shared" si="585"/>
        <v>0</v>
      </c>
      <c r="V1009" s="27">
        <f t="shared" si="585"/>
        <v>0</v>
      </c>
      <c r="W1009" s="27">
        <f t="shared" si="585"/>
        <v>71747095.666666701</v>
      </c>
      <c r="X1009" s="27">
        <f t="shared" si="585"/>
        <v>158252904.33333331</v>
      </c>
      <c r="Y1009" s="47"/>
      <c r="Z1009" s="47"/>
      <c r="AO1009"/>
      <c r="AP1009"/>
      <c r="AQ1009"/>
      <c r="AR1009" s="2"/>
      <c r="AZ1009" s="2"/>
      <c r="BO1009" s="2"/>
      <c r="BQ1009" s="2" t="e">
        <f>VLOOKUP(H1009,#REF!,13,FALSE)</f>
        <v>#REF!</v>
      </c>
    </row>
    <row r="1010" spans="1:70" ht="15" customHeight="1" outlineLevel="2">
      <c r="A1010" s="7"/>
      <c r="B1010" s="7"/>
      <c r="C1010" s="7"/>
      <c r="D1010" s="7"/>
      <c r="E1010" s="7"/>
      <c r="F1010" s="7"/>
      <c r="G1010" s="7"/>
      <c r="H1010" s="11"/>
      <c r="I1010" s="11"/>
      <c r="J1010" s="11"/>
      <c r="K1010" s="11"/>
      <c r="L1010" s="292"/>
      <c r="M1010" s="22"/>
      <c r="N1010" s="33"/>
      <c r="O1010" s="33"/>
      <c r="P1010" s="33"/>
      <c r="Q1010" s="33"/>
      <c r="R1010" s="33"/>
      <c r="S1010" s="33"/>
      <c r="T1010" s="33"/>
      <c r="U1010" s="33"/>
      <c r="V1010" s="33"/>
      <c r="W1010" s="33"/>
      <c r="X1010" s="33"/>
      <c r="Y1010" s="47"/>
      <c r="Z1010" s="47"/>
      <c r="AO1010"/>
      <c r="AP1010"/>
      <c r="AQ1010"/>
      <c r="AR1010" s="2"/>
      <c r="AZ1010" s="2"/>
      <c r="BO1010" s="2"/>
      <c r="BP1010" s="293"/>
      <c r="BQ1010" s="2" t="e">
        <f>VLOOKUP(H1010,#REF!,13,FALSE)</f>
        <v>#REF!</v>
      </c>
    </row>
    <row r="1011" spans="1:70" ht="15" customHeight="1" outlineLevel="2">
      <c r="A1011" s="7"/>
      <c r="B1011" s="7"/>
      <c r="C1011" s="7"/>
      <c r="D1011" s="7"/>
      <c r="E1011" s="7"/>
      <c r="F1011" s="7"/>
      <c r="G1011" s="7"/>
      <c r="H1011" s="11"/>
      <c r="I1011" s="11"/>
      <c r="J1011" s="11"/>
      <c r="K1011" s="11"/>
      <c r="L1011" s="18" t="s">
        <v>696</v>
      </c>
      <c r="M1011" s="22"/>
      <c r="N1011" s="33"/>
      <c r="O1011" s="33"/>
      <c r="P1011" s="33"/>
      <c r="Q1011" s="33"/>
      <c r="R1011" s="33"/>
      <c r="S1011" s="33"/>
      <c r="T1011" s="33"/>
      <c r="U1011" s="33"/>
      <c r="V1011" s="33"/>
      <c r="W1011" s="33"/>
      <c r="X1011" s="33"/>
      <c r="Y1011" s="47"/>
      <c r="Z1011" s="47"/>
      <c r="AM1011" s="185" t="e">
        <f>VLOOKUP(CLEAN(H1011),#REF!,7,FALSE)</f>
        <v>#REF!</v>
      </c>
      <c r="AO1011"/>
      <c r="AP1011"/>
      <c r="AQ1011"/>
      <c r="AR1011" s="2" t="e">
        <f>VLOOKUP(CLEAN(H1011),#REF!,2,FALSE)</f>
        <v>#REF!</v>
      </c>
      <c r="AZ1011" s="2" t="e">
        <f>VLOOKUP(H1011,#REF!,2,FALSE)</f>
        <v>#REF!</v>
      </c>
      <c r="BO1011" s="2" t="e">
        <f>VLOOKUP(H1011,#REF!,13,FALSE)</f>
        <v>#REF!</v>
      </c>
      <c r="BQ1011" s="2" t="e">
        <f>VLOOKUP(H1011,#REF!,13,FALSE)</f>
        <v>#REF!</v>
      </c>
    </row>
    <row r="1012" spans="1:70" s="2" customFormat="1" ht="15" customHeight="1" outlineLevel="2">
      <c r="A1012" s="5">
        <v>33</v>
      </c>
      <c r="B1012" s="5" t="s">
        <v>54</v>
      </c>
      <c r="C1012" s="5" t="s">
        <v>275</v>
      </c>
      <c r="D1012" s="5" t="s">
        <v>148</v>
      </c>
      <c r="E1012" s="5" t="s">
        <v>148</v>
      </c>
      <c r="F1012" s="5" t="s">
        <v>457</v>
      </c>
      <c r="G1012" s="5" t="s">
        <v>144</v>
      </c>
      <c r="H1012" s="12">
        <v>30484364</v>
      </c>
      <c r="I1012" s="42" t="str">
        <f t="shared" ref="I1012:I1032" si="586">CONCATENATE(H1012,"-",G1012)</f>
        <v>30484364-EJECUCION</v>
      </c>
      <c r="J1012" s="12"/>
      <c r="K1012" s="307" t="str">
        <f t="shared" ref="K1012:K1032" si="587">CLEAN(H1012)</f>
        <v>30484364</v>
      </c>
      <c r="L1012" s="15" t="s">
        <v>147</v>
      </c>
      <c r="M1012" s="23">
        <v>230000000</v>
      </c>
      <c r="N1012" s="34">
        <v>0</v>
      </c>
      <c r="O1012" s="34">
        <v>76666666.666666672</v>
      </c>
      <c r="P1012" s="310">
        <v>0</v>
      </c>
      <c r="Q1012" s="34">
        <v>0</v>
      </c>
      <c r="R1012" s="308">
        <v>0</v>
      </c>
      <c r="S1012" s="34">
        <f t="shared" ref="S1012:S1032" si="588">P1012+Q1012+R1012</f>
        <v>0</v>
      </c>
      <c r="T1012" s="34">
        <v>0</v>
      </c>
      <c r="U1012" s="34">
        <v>0</v>
      </c>
      <c r="V1012" s="34">
        <f>P1012+Q1012+R1012+T1012+U1012</f>
        <v>0</v>
      </c>
      <c r="W1012" s="34">
        <f>O1012-V1012</f>
        <v>76666666.666666672</v>
      </c>
      <c r="X1012" s="34">
        <f>M1012-(N1012+O1012)</f>
        <v>153333333.33333331</v>
      </c>
      <c r="Y1012" s="48" t="s">
        <v>247</v>
      </c>
      <c r="Z1012" s="48" t="s">
        <v>8</v>
      </c>
      <c r="AA1012" s="2" t="s">
        <v>841</v>
      </c>
      <c r="AB1012" s="2" t="e">
        <f>VLOOKUP(H1012,#REF!,2,FALSE)</f>
        <v>#REF!</v>
      </c>
      <c r="AC1012" s="2" t="e">
        <f>VLOOKUP(I1012,#REF!,2,FALSE)</f>
        <v>#REF!</v>
      </c>
      <c r="AD1012" s="2" t="e">
        <f>VLOOKUP(H1012,#REF!,13,FALSE)</f>
        <v>#REF!</v>
      </c>
      <c r="AE1012" s="2" t="e">
        <f>VLOOKUP(I1012,#REF!,7,FALSE)</f>
        <v>#REF!</v>
      </c>
      <c r="AG1012" s="2" t="e">
        <f>VLOOKUP(H1012,#REF!,13,FALSE)</f>
        <v>#REF!</v>
      </c>
      <c r="AH1012" s="2" t="e">
        <f>VLOOKUP(I1012,#REF!,2,FALSE)</f>
        <v>#REF!</v>
      </c>
      <c r="AJ1012" s="185" t="e">
        <f>VLOOKUP(H1012,#REF!,3,FALSE)</f>
        <v>#REF!</v>
      </c>
      <c r="AK1012" s="185"/>
      <c r="AL1012" s="185"/>
      <c r="AM1012" s="185" t="e">
        <f>VLOOKUP(CLEAN(H1012),#REF!,7,FALSE)</f>
        <v>#REF!</v>
      </c>
      <c r="AN1012" s="2" t="e">
        <f>VLOOKUP(H1012,#REF!,8,FALSE)</f>
        <v>#REF!</v>
      </c>
      <c r="AO1012" s="189" t="e">
        <f>VLOOKUP(H1012,#REF!,2,FALSE)</f>
        <v>#REF!</v>
      </c>
      <c r="AP1012" s="189" t="e">
        <f>VLOOKUP(H1012,#REF!,2,FALSE)</f>
        <v>#REF!</v>
      </c>
      <c r="AQ1012" s="189"/>
      <c r="AR1012" s="2" t="e">
        <f>VLOOKUP(CLEAN(H1012),#REF!,2,FALSE)</f>
        <v>#REF!</v>
      </c>
      <c r="AT1012" s="2" t="e">
        <f>VLOOKUP(H1012,#REF!,13,FALSE)</f>
        <v>#REF!</v>
      </c>
      <c r="AU1012" s="2" t="e">
        <f>VLOOKUP(H1012,#REF!,13,FALSE)</f>
        <v>#REF!</v>
      </c>
      <c r="AV1012" s="2" t="e">
        <f>VLOOKUP(H1012,#REF!,13,FALSE)</f>
        <v>#REF!</v>
      </c>
      <c r="AW1012" s="2" t="e">
        <f>VLOOKUP(H1012,#REF!,13,FALSE)</f>
        <v>#REF!</v>
      </c>
      <c r="AX1012" s="2" t="e">
        <f>VLOOKUP(H1012,#REF!,9,FALSE)</f>
        <v>#REF!</v>
      </c>
      <c r="AZ1012" s="2" t="e">
        <f>VLOOKUP(H1012,#REF!,2,FALSE)</f>
        <v>#REF!</v>
      </c>
      <c r="BF1012" s="189" t="e">
        <f>VLOOKUP(CLEAN(H1012),#REF!,2,FALSE)</f>
        <v>#REF!</v>
      </c>
      <c r="BG1012" s="189" t="e">
        <f>T1012-BF1012</f>
        <v>#REF!</v>
      </c>
      <c r="BO1012" s="2" t="e">
        <f>VLOOKUP(H1012,#REF!,13,FALSE)</f>
        <v>#REF!</v>
      </c>
      <c r="BP1012" s="2" t="e">
        <f>VLOOKUP(H1012,#REF!,2,FALSE)</f>
        <v>#REF!</v>
      </c>
      <c r="BQ1012" s="2" t="e">
        <f>VLOOKUP(H1012,#REF!,13,FALSE)</f>
        <v>#REF!</v>
      </c>
      <c r="BR1012" s="2" t="e">
        <f>VLOOKUP(H1012,#REF!,3,FALSE)</f>
        <v>#REF!</v>
      </c>
    </row>
    <row r="1013" spans="1:70" s="2" customFormat="1" ht="15" customHeight="1" outlineLevel="2">
      <c r="A1013" s="5">
        <v>33</v>
      </c>
      <c r="B1013" s="5" t="s">
        <v>5</v>
      </c>
      <c r="C1013" s="5" t="s">
        <v>275</v>
      </c>
      <c r="D1013" s="5" t="s">
        <v>148</v>
      </c>
      <c r="E1013" s="5" t="s">
        <v>148</v>
      </c>
      <c r="F1013" s="5" t="s">
        <v>457</v>
      </c>
      <c r="G1013" s="5" t="s">
        <v>144</v>
      </c>
      <c r="H1013" s="12">
        <v>30399283</v>
      </c>
      <c r="I1013" s="42" t="str">
        <f t="shared" si="586"/>
        <v>30399283-EJECUCION</v>
      </c>
      <c r="J1013" s="12"/>
      <c r="K1013" s="307" t="str">
        <f t="shared" si="587"/>
        <v>30399283</v>
      </c>
      <c r="L1013" s="15" t="s">
        <v>769</v>
      </c>
      <c r="M1013" s="23">
        <v>12000000</v>
      </c>
      <c r="N1013" s="34">
        <v>0</v>
      </c>
      <c r="O1013" s="34">
        <v>0</v>
      </c>
      <c r="P1013" s="310">
        <v>0</v>
      </c>
      <c r="Q1013" s="34">
        <v>0</v>
      </c>
      <c r="R1013" s="308">
        <v>0</v>
      </c>
      <c r="S1013" s="34">
        <f t="shared" si="588"/>
        <v>0</v>
      </c>
      <c r="T1013" s="34">
        <v>0</v>
      </c>
      <c r="U1013" s="34">
        <v>0</v>
      </c>
      <c r="V1013" s="34">
        <f>P1013+Q1013+R1013+T1013+U1013</f>
        <v>0</v>
      </c>
      <c r="W1013" s="34">
        <f>O1013-V1013</f>
        <v>0</v>
      </c>
      <c r="X1013" s="34">
        <f>M1013-(N1013+O1013)</f>
        <v>12000000</v>
      </c>
      <c r="Y1013" s="48" t="s">
        <v>247</v>
      </c>
      <c r="Z1013" s="48" t="s">
        <v>12</v>
      </c>
      <c r="AA1013" s="2" t="e">
        <v>#N/A</v>
      </c>
      <c r="AB1013" s="2" t="e">
        <f>VLOOKUP(H1013,#REF!,2,FALSE)</f>
        <v>#REF!</v>
      </c>
      <c r="AC1013" s="2" t="e">
        <f>VLOOKUP(I1013,#REF!,2,FALSE)</f>
        <v>#REF!</v>
      </c>
      <c r="AD1013" s="2" t="e">
        <f>VLOOKUP(H1013,#REF!,13,FALSE)</f>
        <v>#REF!</v>
      </c>
      <c r="AE1013" s="177" t="e">
        <f>VLOOKUP(I1013,#REF!,7,FALSE)</f>
        <v>#REF!</v>
      </c>
      <c r="AG1013" s="2" t="e">
        <f>VLOOKUP(H1013,#REF!,13,FALSE)</f>
        <v>#REF!</v>
      </c>
      <c r="AH1013" s="2" t="e">
        <f>VLOOKUP(I1013,#REF!,2,FALSE)</f>
        <v>#REF!</v>
      </c>
      <c r="AJ1013" s="185" t="e">
        <f>VLOOKUP(H1013,#REF!,3,FALSE)</f>
        <v>#REF!</v>
      </c>
      <c r="AK1013" s="185"/>
      <c r="AL1013" s="185"/>
      <c r="AM1013" s="185" t="e">
        <f>VLOOKUP(CLEAN(H1013),#REF!,7,FALSE)</f>
        <v>#REF!</v>
      </c>
      <c r="AN1013" s="2" t="e">
        <f>VLOOKUP(H1013,#REF!,8,FALSE)</f>
        <v>#REF!</v>
      </c>
      <c r="AO1013" s="189" t="e">
        <f>VLOOKUP(H1013,#REF!,2,FALSE)</f>
        <v>#REF!</v>
      </c>
      <c r="AP1013" s="189" t="e">
        <f>VLOOKUP(H1013,#REF!,2,FALSE)</f>
        <v>#REF!</v>
      </c>
      <c r="AQ1013" s="189"/>
      <c r="AR1013" s="2" t="e">
        <f>VLOOKUP(CLEAN(H1013),#REF!,2,FALSE)</f>
        <v>#REF!</v>
      </c>
      <c r="AT1013" s="2" t="e">
        <f>VLOOKUP(H1013,#REF!,13,FALSE)</f>
        <v>#REF!</v>
      </c>
      <c r="AU1013" s="2" t="e">
        <f>VLOOKUP(H1013,#REF!,13,FALSE)</f>
        <v>#REF!</v>
      </c>
      <c r="AV1013" s="2" t="e">
        <f>VLOOKUP(H1013,#REF!,13,FALSE)</f>
        <v>#REF!</v>
      </c>
      <c r="AW1013" s="2" t="e">
        <f>VLOOKUP(H1013,#REF!,13,FALSE)</f>
        <v>#REF!</v>
      </c>
      <c r="AX1013" s="2" t="e">
        <f>VLOOKUP(H1013,#REF!,9,FALSE)</f>
        <v>#REF!</v>
      </c>
      <c r="AZ1013" s="2" t="e">
        <f>VLOOKUP(H1013,#REF!,2,FALSE)</f>
        <v>#REF!</v>
      </c>
      <c r="BF1013" s="189" t="e">
        <f>VLOOKUP(CLEAN(H1013),#REF!,2,FALSE)</f>
        <v>#REF!</v>
      </c>
      <c r="BG1013" s="189" t="e">
        <f>T1013-BF1013</f>
        <v>#REF!</v>
      </c>
      <c r="BO1013" s="2" t="e">
        <f>VLOOKUP(H1013,#REF!,13,FALSE)</f>
        <v>#REF!</v>
      </c>
      <c r="BP1013" s="2" t="e">
        <f>VLOOKUP(H1013,#REF!,2,FALSE)</f>
        <v>#REF!</v>
      </c>
      <c r="BQ1013" s="2" t="e">
        <f>VLOOKUP(H1013,#REF!,13,FALSE)</f>
        <v>#REF!</v>
      </c>
      <c r="BR1013" s="2" t="e">
        <f>VLOOKUP(H1013,#REF!,3,FALSE)</f>
        <v>#REF!</v>
      </c>
    </row>
    <row r="1014" spans="1:70" s="2" customFormat="1" ht="15" customHeight="1" outlineLevel="2">
      <c r="A1014" s="5">
        <v>33</v>
      </c>
      <c r="B1014" s="5" t="s">
        <v>5</v>
      </c>
      <c r="C1014" s="5" t="s">
        <v>301</v>
      </c>
      <c r="D1014" s="5" t="s">
        <v>148</v>
      </c>
      <c r="E1014" s="5" t="s">
        <v>148</v>
      </c>
      <c r="F1014" s="5" t="s">
        <v>457</v>
      </c>
      <c r="G1014" s="5" t="s">
        <v>144</v>
      </c>
      <c r="H1014" s="12">
        <v>30398277</v>
      </c>
      <c r="I1014" s="42" t="str">
        <f t="shared" si="586"/>
        <v>30398277-EJECUCION</v>
      </c>
      <c r="J1014" s="12"/>
      <c r="K1014" s="307" t="str">
        <f t="shared" si="587"/>
        <v>30398277</v>
      </c>
      <c r="L1014" s="15" t="s">
        <v>139</v>
      </c>
      <c r="M1014" s="23">
        <v>394000000</v>
      </c>
      <c r="N1014" s="34">
        <v>0</v>
      </c>
      <c r="O1014" s="34">
        <f>120000000-37865135</f>
        <v>82134865</v>
      </c>
      <c r="P1014" s="310">
        <v>0</v>
      </c>
      <c r="Q1014" s="34">
        <v>0</v>
      </c>
      <c r="R1014" s="308">
        <v>0</v>
      </c>
      <c r="S1014" s="34">
        <f t="shared" si="588"/>
        <v>0</v>
      </c>
      <c r="T1014" s="34">
        <v>0</v>
      </c>
      <c r="U1014" s="34">
        <v>0</v>
      </c>
      <c r="V1014" s="34">
        <f>P1014+Q1014+R1014+T1014+U1014</f>
        <v>0</v>
      </c>
      <c r="W1014" s="34">
        <f>O1014-V1014</f>
        <v>82134865</v>
      </c>
      <c r="X1014" s="34">
        <f>M1014-(N1014+O1014)</f>
        <v>311865135</v>
      </c>
      <c r="Y1014" s="48" t="s">
        <v>247</v>
      </c>
      <c r="Z1014" s="48" t="s">
        <v>8</v>
      </c>
      <c r="AA1014" s="2" t="s">
        <v>841</v>
      </c>
      <c r="AB1014" s="2" t="e">
        <f>VLOOKUP(H1014,#REF!,2,FALSE)</f>
        <v>#REF!</v>
      </c>
      <c r="AC1014" s="2" t="e">
        <f>VLOOKUP(I1014,#REF!,2,FALSE)</f>
        <v>#REF!</v>
      </c>
      <c r="AD1014" s="2" t="e">
        <f>VLOOKUP(H1014,#REF!,13,FALSE)</f>
        <v>#REF!</v>
      </c>
      <c r="AE1014" s="2" t="e">
        <f>VLOOKUP(I1014,#REF!,7,FALSE)</f>
        <v>#REF!</v>
      </c>
      <c r="AG1014" s="2" t="e">
        <f>VLOOKUP(H1014,#REF!,13,FALSE)</f>
        <v>#REF!</v>
      </c>
      <c r="AH1014" s="2" t="e">
        <f>VLOOKUP(I1014,#REF!,2,FALSE)</f>
        <v>#REF!</v>
      </c>
      <c r="AJ1014" s="185" t="e">
        <f>VLOOKUP(H1014,#REF!,3,FALSE)</f>
        <v>#REF!</v>
      </c>
      <c r="AK1014" s="185"/>
      <c r="AL1014" s="185"/>
      <c r="AM1014" s="185" t="e">
        <f>VLOOKUP(CLEAN(H1014),#REF!,7,FALSE)</f>
        <v>#REF!</v>
      </c>
      <c r="AN1014" s="2" t="e">
        <f>VLOOKUP(H1014,#REF!,8,FALSE)</f>
        <v>#REF!</v>
      </c>
      <c r="AO1014" s="189" t="e">
        <f>VLOOKUP(H1014,#REF!,2,FALSE)</f>
        <v>#REF!</v>
      </c>
      <c r="AP1014" s="189" t="e">
        <f>VLOOKUP(H1014,#REF!,2,FALSE)</f>
        <v>#REF!</v>
      </c>
      <c r="AQ1014" s="189"/>
      <c r="AR1014" s="2" t="e">
        <f>VLOOKUP(CLEAN(H1014),#REF!,2,FALSE)</f>
        <v>#REF!</v>
      </c>
      <c r="AT1014" s="2" t="e">
        <f>VLOOKUP(H1014,#REF!,13,FALSE)</f>
        <v>#REF!</v>
      </c>
      <c r="AU1014" s="2" t="e">
        <f>VLOOKUP(H1014,#REF!,13,FALSE)</f>
        <v>#REF!</v>
      </c>
      <c r="AV1014" s="2" t="e">
        <f>VLOOKUP(H1014,#REF!,13,FALSE)</f>
        <v>#REF!</v>
      </c>
      <c r="AW1014" s="2" t="e">
        <f>VLOOKUP(H1014,#REF!,13,FALSE)</f>
        <v>#REF!</v>
      </c>
      <c r="AX1014" s="2" t="e">
        <f>VLOOKUP(H1014,#REF!,9,FALSE)</f>
        <v>#REF!</v>
      </c>
      <c r="AZ1014" s="2" t="e">
        <f>VLOOKUP(H1014,#REF!,2,FALSE)</f>
        <v>#REF!</v>
      </c>
      <c r="BF1014" s="189" t="e">
        <f>VLOOKUP(CLEAN(H1014),#REF!,2,FALSE)</f>
        <v>#REF!</v>
      </c>
      <c r="BG1014" s="189" t="e">
        <f>T1014-BF1014</f>
        <v>#REF!</v>
      </c>
      <c r="BO1014" s="2" t="e">
        <f>VLOOKUP(H1014,#REF!,13,FALSE)</f>
        <v>#REF!</v>
      </c>
      <c r="BP1014" s="2" t="e">
        <f>VLOOKUP(H1014,#REF!,2,FALSE)</f>
        <v>#REF!</v>
      </c>
      <c r="BQ1014" s="2" t="e">
        <f>VLOOKUP(H1014,#REF!,13,FALSE)</f>
        <v>#REF!</v>
      </c>
      <c r="BR1014" s="2" t="e">
        <f>VLOOKUP(H1014,#REF!,3,FALSE)</f>
        <v>#REF!</v>
      </c>
    </row>
    <row r="1015" spans="1:70" s="2" customFormat="1" ht="15" customHeight="1" outlineLevel="2">
      <c r="A1015" s="5">
        <v>33</v>
      </c>
      <c r="B1015" s="5" t="s">
        <v>11</v>
      </c>
      <c r="C1015" s="5" t="s">
        <v>301</v>
      </c>
      <c r="D1015" s="5" t="s">
        <v>148</v>
      </c>
      <c r="E1015" s="5" t="s">
        <v>148</v>
      </c>
      <c r="F1015" s="5" t="s">
        <v>457</v>
      </c>
      <c r="G1015" s="5" t="s">
        <v>144</v>
      </c>
      <c r="H1015" s="12">
        <v>30485060</v>
      </c>
      <c r="I1015" s="42" t="str">
        <f t="shared" si="586"/>
        <v>30485060-EJECUCION</v>
      </c>
      <c r="J1015" s="12"/>
      <c r="K1015" s="307" t="str">
        <f t="shared" si="587"/>
        <v>30485060</v>
      </c>
      <c r="L1015" s="15" t="s">
        <v>224</v>
      </c>
      <c r="M1015" s="23">
        <v>500000000</v>
      </c>
      <c r="N1015" s="34">
        <v>0</v>
      </c>
      <c r="O1015" s="34">
        <v>35000000</v>
      </c>
      <c r="P1015" s="310">
        <v>0</v>
      </c>
      <c r="Q1015" s="34">
        <v>0</v>
      </c>
      <c r="R1015" s="308">
        <v>0</v>
      </c>
      <c r="S1015" s="34">
        <f t="shared" si="588"/>
        <v>0</v>
      </c>
      <c r="T1015" s="34">
        <v>0</v>
      </c>
      <c r="U1015" s="34">
        <v>0</v>
      </c>
      <c r="V1015" s="34">
        <f>P1015+Q1015+R1015+T1015+U1015</f>
        <v>0</v>
      </c>
      <c r="W1015" s="34">
        <f>O1015-V1015</f>
        <v>35000000</v>
      </c>
      <c r="X1015" s="34">
        <f>M1015-(N1015+O1015)</f>
        <v>465000000</v>
      </c>
      <c r="Y1015" s="48" t="s">
        <v>246</v>
      </c>
      <c r="Z1015" s="48" t="s">
        <v>357</v>
      </c>
      <c r="AA1015" s="2" t="e">
        <v>#N/A</v>
      </c>
      <c r="AB1015" s="2" t="e">
        <f>VLOOKUP(H1015,#REF!,2,FALSE)</f>
        <v>#REF!</v>
      </c>
      <c r="AC1015" s="2" t="e">
        <f>VLOOKUP(I1015,#REF!,2,FALSE)</f>
        <v>#REF!</v>
      </c>
      <c r="AD1015" s="2" t="e">
        <f>VLOOKUP(H1015,#REF!,13,FALSE)</f>
        <v>#REF!</v>
      </c>
      <c r="AE1015" s="2" t="e">
        <f>VLOOKUP(I1015,#REF!,7,FALSE)</f>
        <v>#REF!</v>
      </c>
      <c r="AG1015" s="2" t="e">
        <f>VLOOKUP(H1015,#REF!,13,FALSE)</f>
        <v>#REF!</v>
      </c>
      <c r="AH1015" s="2" t="e">
        <f>VLOOKUP(I1015,#REF!,2,FALSE)</f>
        <v>#REF!</v>
      </c>
      <c r="AJ1015" s="185" t="e">
        <f>VLOOKUP(H1015,#REF!,3,FALSE)</f>
        <v>#REF!</v>
      </c>
      <c r="AK1015" s="185"/>
      <c r="AL1015" s="185"/>
      <c r="AM1015" s="185" t="e">
        <f>VLOOKUP(CLEAN(H1015),#REF!,7,FALSE)</f>
        <v>#REF!</v>
      </c>
      <c r="AN1015" s="2" t="e">
        <f>VLOOKUP(H1015,#REF!,8,FALSE)</f>
        <v>#REF!</v>
      </c>
      <c r="AO1015" s="189" t="e">
        <f>VLOOKUP(H1015,#REF!,2,FALSE)</f>
        <v>#REF!</v>
      </c>
      <c r="AP1015" s="189" t="e">
        <f>VLOOKUP(H1015,#REF!,2,FALSE)</f>
        <v>#REF!</v>
      </c>
      <c r="AQ1015" s="189"/>
      <c r="AR1015" s="2" t="e">
        <f>VLOOKUP(CLEAN(H1015),#REF!,2,FALSE)</f>
        <v>#REF!</v>
      </c>
      <c r="AT1015" s="2" t="e">
        <f>VLOOKUP(H1015,#REF!,13,FALSE)</f>
        <v>#REF!</v>
      </c>
      <c r="AU1015" s="2" t="e">
        <f>VLOOKUP(H1015,#REF!,13,FALSE)</f>
        <v>#REF!</v>
      </c>
      <c r="AV1015" s="2" t="e">
        <f>VLOOKUP(H1015,#REF!,13,FALSE)</f>
        <v>#REF!</v>
      </c>
      <c r="AW1015" s="2" t="e">
        <f>VLOOKUP(H1015,#REF!,13,FALSE)</f>
        <v>#REF!</v>
      </c>
      <c r="AX1015" s="2" t="e">
        <f>VLOOKUP(H1015,#REF!,9,FALSE)</f>
        <v>#REF!</v>
      </c>
      <c r="AZ1015" s="2" t="e">
        <f>VLOOKUP(H1015,#REF!,2,FALSE)</f>
        <v>#REF!</v>
      </c>
      <c r="BF1015" s="189" t="e">
        <f>VLOOKUP(CLEAN(H1015),#REF!,2,FALSE)</f>
        <v>#REF!</v>
      </c>
      <c r="BG1015" s="189" t="e">
        <f>T1015-BF1015</f>
        <v>#REF!</v>
      </c>
      <c r="BO1015" s="2" t="e">
        <f>VLOOKUP(H1015,#REF!,13,FALSE)</f>
        <v>#REF!</v>
      </c>
      <c r="BP1015" s="2" t="e">
        <f>VLOOKUP(H1015,#REF!,2,FALSE)</f>
        <v>#REF!</v>
      </c>
      <c r="BQ1015" s="2" t="e">
        <f>VLOOKUP(H1015,#REF!,13,FALSE)</f>
        <v>#REF!</v>
      </c>
      <c r="BR1015" s="2" t="e">
        <f>VLOOKUP(H1015,#REF!,3,FALSE)</f>
        <v>#REF!</v>
      </c>
    </row>
    <row r="1016" spans="1:70" s="2" customFormat="1" ht="15" customHeight="1" outlineLevel="2">
      <c r="A1016" s="5">
        <v>33</v>
      </c>
      <c r="B1016" s="5" t="s">
        <v>11</v>
      </c>
      <c r="C1016" s="5" t="s">
        <v>275</v>
      </c>
      <c r="D1016" s="5" t="s">
        <v>148</v>
      </c>
      <c r="E1016" s="5" t="s">
        <v>48</v>
      </c>
      <c r="F1016" s="5" t="s">
        <v>457</v>
      </c>
      <c r="G1016" s="5" t="s">
        <v>144</v>
      </c>
      <c r="H1016" s="12">
        <v>30485426</v>
      </c>
      <c r="I1016" s="42" t="str">
        <f t="shared" si="586"/>
        <v>30485426-EJECUCION</v>
      </c>
      <c r="J1016" s="12"/>
      <c r="K1016" s="307" t="str">
        <f t="shared" si="587"/>
        <v>30485426</v>
      </c>
      <c r="L1016" s="15" t="s">
        <v>516</v>
      </c>
      <c r="M1016" s="23">
        <v>2000000000</v>
      </c>
      <c r="N1016" s="34">
        <v>0</v>
      </c>
      <c r="O1016" s="34">
        <v>20000000</v>
      </c>
      <c r="P1016" s="310">
        <v>0</v>
      </c>
      <c r="Q1016" s="34">
        <v>0</v>
      </c>
      <c r="R1016" s="308">
        <v>0</v>
      </c>
      <c r="S1016" s="34">
        <f t="shared" si="588"/>
        <v>0</v>
      </c>
      <c r="T1016" s="34">
        <v>0</v>
      </c>
      <c r="U1016" s="34">
        <v>0</v>
      </c>
      <c r="V1016" s="34">
        <f>P1016+Q1016+R1016+T1016+U1016</f>
        <v>0</v>
      </c>
      <c r="W1016" s="34">
        <f>O1016-V1016</f>
        <v>20000000</v>
      </c>
      <c r="X1016" s="34">
        <f>M1016-(N1016+O1016)</f>
        <v>1980000000</v>
      </c>
      <c r="Y1016" s="48" t="s">
        <v>246</v>
      </c>
      <c r="Z1016" s="48" t="s">
        <v>357</v>
      </c>
      <c r="AA1016" s="2" t="e">
        <v>#N/A</v>
      </c>
      <c r="AB1016" s="2" t="e">
        <f>VLOOKUP(H1016,#REF!,2,FALSE)</f>
        <v>#REF!</v>
      </c>
      <c r="AC1016" s="2" t="e">
        <f>VLOOKUP(I1016,#REF!,2,FALSE)</f>
        <v>#REF!</v>
      </c>
      <c r="AD1016" s="2" t="e">
        <f>VLOOKUP(H1016,#REF!,13,FALSE)</f>
        <v>#REF!</v>
      </c>
      <c r="AE1016" s="2" t="e">
        <f>VLOOKUP(I1016,#REF!,7,FALSE)</f>
        <v>#REF!</v>
      </c>
      <c r="AG1016" s="2" t="e">
        <f>VLOOKUP(H1016,#REF!,13,FALSE)</f>
        <v>#REF!</v>
      </c>
      <c r="AH1016" s="2" t="e">
        <f>VLOOKUP(I1016,#REF!,2,FALSE)</f>
        <v>#REF!</v>
      </c>
      <c r="AJ1016" s="185" t="e">
        <f>VLOOKUP(H1016,#REF!,3,FALSE)</f>
        <v>#REF!</v>
      </c>
      <c r="AK1016" s="185"/>
      <c r="AL1016" s="185"/>
      <c r="AM1016" s="185" t="e">
        <f>VLOOKUP(CLEAN(H1016),#REF!,7,FALSE)</f>
        <v>#REF!</v>
      </c>
      <c r="AN1016" s="2" t="e">
        <f>VLOOKUP(H1016,#REF!,8,FALSE)</f>
        <v>#REF!</v>
      </c>
      <c r="AO1016" s="189" t="e">
        <f>VLOOKUP(H1016,#REF!,2,FALSE)</f>
        <v>#REF!</v>
      </c>
      <c r="AP1016" s="189" t="e">
        <f>VLOOKUP(H1016,#REF!,2,FALSE)</f>
        <v>#REF!</v>
      </c>
      <c r="AQ1016" s="189"/>
      <c r="AR1016" s="2" t="e">
        <f>VLOOKUP(CLEAN(H1016),#REF!,2,FALSE)</f>
        <v>#REF!</v>
      </c>
      <c r="AT1016" s="2" t="e">
        <f>VLOOKUP(H1016,#REF!,13,FALSE)</f>
        <v>#REF!</v>
      </c>
      <c r="AU1016" s="2" t="e">
        <f>VLOOKUP(H1016,#REF!,13,FALSE)</f>
        <v>#REF!</v>
      </c>
      <c r="AV1016" s="2" t="e">
        <f>VLOOKUP(H1016,#REF!,13,FALSE)</f>
        <v>#REF!</v>
      </c>
      <c r="AW1016" s="2" t="e">
        <f>VLOOKUP(H1016,#REF!,13,FALSE)</f>
        <v>#REF!</v>
      </c>
      <c r="AX1016" s="2" t="e">
        <f>VLOOKUP(H1016,#REF!,9,FALSE)</f>
        <v>#REF!</v>
      </c>
      <c r="AZ1016" s="2" t="e">
        <f>VLOOKUP(H1016,#REF!,2,FALSE)</f>
        <v>#REF!</v>
      </c>
      <c r="BF1016" s="189" t="e">
        <f>VLOOKUP(CLEAN(H1016),#REF!,2,FALSE)</f>
        <v>#REF!</v>
      </c>
      <c r="BG1016" s="189" t="e">
        <f>T1016-BF1016</f>
        <v>#REF!</v>
      </c>
      <c r="BO1016" s="2" t="e">
        <f>VLOOKUP(H1016,#REF!,13,FALSE)</f>
        <v>#REF!</v>
      </c>
      <c r="BP1016" s="2" t="e">
        <f>VLOOKUP(H1016,#REF!,2,FALSE)</f>
        <v>#REF!</v>
      </c>
      <c r="BQ1016" s="2" t="e">
        <f>VLOOKUP(H1016,#REF!,13,FALSE)</f>
        <v>#REF!</v>
      </c>
      <c r="BR1016" s="2" t="e">
        <f>VLOOKUP(H1016,#REF!,3,FALSE)</f>
        <v>#REF!</v>
      </c>
    </row>
    <row r="1017" spans="1:70" s="2" customFormat="1" ht="15" customHeight="1" outlineLevel="2">
      <c r="A1017" s="5">
        <v>33</v>
      </c>
      <c r="B1017" s="5" t="s">
        <v>11</v>
      </c>
      <c r="C1017" s="5" t="s">
        <v>275</v>
      </c>
      <c r="D1017" s="5" t="s">
        <v>148</v>
      </c>
      <c r="E1017" s="5" t="s">
        <v>125</v>
      </c>
      <c r="F1017" s="5" t="s">
        <v>457</v>
      </c>
      <c r="G1017" s="5" t="s">
        <v>144</v>
      </c>
      <c r="H1017" s="12">
        <v>30479944</v>
      </c>
      <c r="I1017" s="42" t="str">
        <f t="shared" si="586"/>
        <v>30479944-EJECUCION</v>
      </c>
      <c r="J1017" s="12"/>
      <c r="K1017" s="307" t="str">
        <f t="shared" si="587"/>
        <v>30479944</v>
      </c>
      <c r="L1017" s="15" t="s">
        <v>521</v>
      </c>
      <c r="M1017" s="23">
        <v>514632000</v>
      </c>
      <c r="N1017" s="34">
        <v>0</v>
      </c>
      <c r="O1017" s="34">
        <f>25731600+9881825</f>
        <v>35613425</v>
      </c>
      <c r="P1017" s="310">
        <v>0</v>
      </c>
      <c r="Q1017" s="34">
        <v>0</v>
      </c>
      <c r="R1017" s="308">
        <v>0</v>
      </c>
      <c r="S1017" s="34">
        <f t="shared" si="588"/>
        <v>0</v>
      </c>
      <c r="T1017" s="34">
        <v>0</v>
      </c>
      <c r="U1017" s="34">
        <v>0</v>
      </c>
      <c r="V1017" s="34">
        <f>P1017+Q1017+R1017+T1017+U1017</f>
        <v>0</v>
      </c>
      <c r="W1017" s="34">
        <f>O1017-V1017</f>
        <v>35613425</v>
      </c>
      <c r="X1017" s="34">
        <f>M1017-(N1017+O1017)</f>
        <v>479018575</v>
      </c>
      <c r="Y1017" s="48" t="s">
        <v>246</v>
      </c>
      <c r="Z1017" s="48" t="s">
        <v>357</v>
      </c>
      <c r="AA1017" s="2" t="e">
        <v>#N/A</v>
      </c>
      <c r="AB1017" s="2" t="e">
        <f>VLOOKUP(H1017,#REF!,2,FALSE)</f>
        <v>#REF!</v>
      </c>
      <c r="AC1017" s="2" t="e">
        <f>VLOOKUP(I1017,#REF!,2,FALSE)</f>
        <v>#REF!</v>
      </c>
      <c r="AD1017" s="2" t="e">
        <f>VLOOKUP(H1017,#REF!,13,FALSE)</f>
        <v>#REF!</v>
      </c>
      <c r="AE1017" s="2" t="e">
        <f>VLOOKUP(I1017,#REF!,7,FALSE)</f>
        <v>#REF!</v>
      </c>
      <c r="AG1017" s="2" t="e">
        <f>VLOOKUP(H1017,#REF!,13,FALSE)</f>
        <v>#REF!</v>
      </c>
      <c r="AH1017" s="2" t="e">
        <f>VLOOKUP(I1017,#REF!,2,FALSE)</f>
        <v>#REF!</v>
      </c>
      <c r="AJ1017" s="185" t="e">
        <f>VLOOKUP(H1017,#REF!,3,FALSE)</f>
        <v>#REF!</v>
      </c>
      <c r="AK1017" s="185"/>
      <c r="AL1017" s="185"/>
      <c r="AM1017" s="185" t="e">
        <f>VLOOKUP(CLEAN(H1017),#REF!,7,FALSE)</f>
        <v>#REF!</v>
      </c>
      <c r="AN1017" s="2" t="e">
        <f>VLOOKUP(H1017,#REF!,8,FALSE)</f>
        <v>#REF!</v>
      </c>
      <c r="AO1017" s="189" t="e">
        <f>VLOOKUP(H1017,#REF!,2,FALSE)</f>
        <v>#REF!</v>
      </c>
      <c r="AP1017" s="189" t="e">
        <f>VLOOKUP(H1017,#REF!,2,FALSE)</f>
        <v>#REF!</v>
      </c>
      <c r="AQ1017" s="189"/>
      <c r="AR1017" s="2" t="e">
        <f>VLOOKUP(CLEAN(H1017),#REF!,2,FALSE)</f>
        <v>#REF!</v>
      </c>
      <c r="AT1017" s="2" t="e">
        <f>VLOOKUP(H1017,#REF!,13,FALSE)</f>
        <v>#REF!</v>
      </c>
      <c r="AU1017" s="2" t="e">
        <f>VLOOKUP(H1017,#REF!,13,FALSE)</f>
        <v>#REF!</v>
      </c>
      <c r="AV1017" s="2" t="e">
        <f>VLOOKUP(H1017,#REF!,13,FALSE)</f>
        <v>#REF!</v>
      </c>
      <c r="AW1017" s="2" t="e">
        <f>VLOOKUP(H1017,#REF!,13,FALSE)</f>
        <v>#REF!</v>
      </c>
      <c r="AX1017" s="2" t="e">
        <f>VLOOKUP(H1017,#REF!,9,FALSE)</f>
        <v>#REF!</v>
      </c>
      <c r="AZ1017" s="2" t="e">
        <f>VLOOKUP(H1017,#REF!,2,FALSE)</f>
        <v>#REF!</v>
      </c>
      <c r="BF1017" s="189" t="e">
        <f>VLOOKUP(CLEAN(H1017),#REF!,2,FALSE)</f>
        <v>#REF!</v>
      </c>
      <c r="BG1017" s="189" t="e">
        <f>T1017-BF1017</f>
        <v>#REF!</v>
      </c>
      <c r="BO1017" s="2" t="e">
        <f>VLOOKUP(H1017,#REF!,13,FALSE)</f>
        <v>#REF!</v>
      </c>
      <c r="BP1017" s="2" t="e">
        <f>VLOOKUP(H1017,#REF!,2,FALSE)</f>
        <v>#REF!</v>
      </c>
      <c r="BQ1017" s="2" t="e">
        <f>VLOOKUP(H1017,#REF!,13,FALSE)</f>
        <v>#REF!</v>
      </c>
      <c r="BR1017" s="2" t="e">
        <f>VLOOKUP(H1017,#REF!,3,FALSE)</f>
        <v>#REF!</v>
      </c>
    </row>
    <row r="1018" spans="1:70" s="2" customFormat="1" ht="15" customHeight="1" outlineLevel="2">
      <c r="A1018" s="5">
        <v>33</v>
      </c>
      <c r="B1018" s="5" t="s">
        <v>11</v>
      </c>
      <c r="C1018" s="5" t="s">
        <v>275</v>
      </c>
      <c r="D1018" s="5" t="s">
        <v>148</v>
      </c>
      <c r="E1018" s="9" t="s">
        <v>42</v>
      </c>
      <c r="F1018" s="5" t="s">
        <v>457</v>
      </c>
      <c r="G1018" s="5" t="s">
        <v>144</v>
      </c>
      <c r="H1018" s="12">
        <v>30485206</v>
      </c>
      <c r="I1018" s="42" t="str">
        <f t="shared" si="586"/>
        <v>30485206-EJECUCION</v>
      </c>
      <c r="J1018" s="12"/>
      <c r="K1018" s="307" t="str">
        <f t="shared" si="587"/>
        <v>30485206</v>
      </c>
      <c r="L1018" s="15" t="s">
        <v>234</v>
      </c>
      <c r="M1018" s="23">
        <v>450000000</v>
      </c>
      <c r="N1018" s="34">
        <v>0</v>
      </c>
      <c r="O1018" s="34">
        <v>22500000</v>
      </c>
      <c r="P1018" s="310">
        <v>0</v>
      </c>
      <c r="Q1018" s="34">
        <v>0</v>
      </c>
      <c r="R1018" s="308">
        <v>0</v>
      </c>
      <c r="S1018" s="34">
        <f t="shared" si="588"/>
        <v>0</v>
      </c>
      <c r="T1018" s="34">
        <v>0</v>
      </c>
      <c r="U1018" s="34">
        <v>0</v>
      </c>
      <c r="V1018" s="34">
        <f>P1018+Q1018+R1018+T1018+U1018</f>
        <v>0</v>
      </c>
      <c r="W1018" s="34">
        <f>O1018-V1018</f>
        <v>22500000</v>
      </c>
      <c r="X1018" s="34">
        <f>M1018-(N1018+O1018)</f>
        <v>427500000</v>
      </c>
      <c r="Y1018" s="48" t="s">
        <v>246</v>
      </c>
      <c r="Z1018" s="48" t="s">
        <v>357</v>
      </c>
      <c r="AA1018" s="2" t="e">
        <v>#N/A</v>
      </c>
      <c r="AB1018" s="2" t="e">
        <f>VLOOKUP(H1018,#REF!,2,FALSE)</f>
        <v>#REF!</v>
      </c>
      <c r="AC1018" s="2" t="e">
        <f>VLOOKUP(I1018,#REF!,2,FALSE)</f>
        <v>#REF!</v>
      </c>
      <c r="AD1018" s="2" t="e">
        <f>VLOOKUP(H1018,#REF!,13,FALSE)</f>
        <v>#REF!</v>
      </c>
      <c r="AE1018" s="2" t="e">
        <f>VLOOKUP(I1018,#REF!,7,FALSE)</f>
        <v>#REF!</v>
      </c>
      <c r="AG1018" s="2" t="e">
        <f>VLOOKUP(H1018,#REF!,13,FALSE)</f>
        <v>#REF!</v>
      </c>
      <c r="AH1018" s="2" t="e">
        <f>VLOOKUP(I1018,#REF!,2,FALSE)</f>
        <v>#REF!</v>
      </c>
      <c r="AJ1018" s="185" t="e">
        <f>VLOOKUP(H1018,#REF!,3,FALSE)</f>
        <v>#REF!</v>
      </c>
      <c r="AK1018" s="185"/>
      <c r="AL1018" s="185"/>
      <c r="AM1018" s="185" t="e">
        <f>VLOOKUP(CLEAN(H1018),#REF!,7,FALSE)</f>
        <v>#REF!</v>
      </c>
      <c r="AN1018" s="2" t="e">
        <f>VLOOKUP(H1018,#REF!,8,FALSE)</f>
        <v>#REF!</v>
      </c>
      <c r="AO1018" s="189" t="e">
        <f>VLOOKUP(H1018,#REF!,2,FALSE)</f>
        <v>#REF!</v>
      </c>
      <c r="AP1018" s="189" t="e">
        <f>VLOOKUP(H1018,#REF!,2,FALSE)</f>
        <v>#REF!</v>
      </c>
      <c r="AQ1018" s="189"/>
      <c r="AR1018" s="2" t="e">
        <f>VLOOKUP(CLEAN(H1018),#REF!,2,FALSE)</f>
        <v>#REF!</v>
      </c>
      <c r="AT1018" s="2" t="e">
        <f>VLOOKUP(H1018,#REF!,13,FALSE)</f>
        <v>#REF!</v>
      </c>
      <c r="AU1018" s="2" t="e">
        <f>VLOOKUP(H1018,#REF!,13,FALSE)</f>
        <v>#REF!</v>
      </c>
      <c r="AV1018" s="2" t="e">
        <f>VLOOKUP(H1018,#REF!,13,FALSE)</f>
        <v>#REF!</v>
      </c>
      <c r="AW1018" s="2" t="e">
        <f>VLOOKUP(H1018,#REF!,13,FALSE)</f>
        <v>#REF!</v>
      </c>
      <c r="AX1018" s="2" t="e">
        <f>VLOOKUP(H1018,#REF!,9,FALSE)</f>
        <v>#REF!</v>
      </c>
      <c r="AZ1018" s="2" t="e">
        <f>VLOOKUP(H1018,#REF!,2,FALSE)</f>
        <v>#REF!</v>
      </c>
      <c r="BF1018" s="189" t="e">
        <f>VLOOKUP(CLEAN(H1018),#REF!,2,FALSE)</f>
        <v>#REF!</v>
      </c>
      <c r="BG1018" s="189" t="e">
        <f>T1018-BF1018</f>
        <v>#REF!</v>
      </c>
      <c r="BO1018" s="2" t="e">
        <f>VLOOKUP(H1018,#REF!,13,FALSE)</f>
        <v>#REF!</v>
      </c>
      <c r="BP1018" s="2" t="e">
        <f>VLOOKUP(H1018,#REF!,2,FALSE)</f>
        <v>#REF!</v>
      </c>
      <c r="BQ1018" s="2" t="e">
        <f>VLOOKUP(H1018,#REF!,13,FALSE)</f>
        <v>#REF!</v>
      </c>
      <c r="BR1018" s="2" t="e">
        <f>VLOOKUP(H1018,#REF!,3,FALSE)</f>
        <v>#REF!</v>
      </c>
    </row>
    <row r="1019" spans="1:70" s="2" customFormat="1" ht="15" customHeight="1" outlineLevel="2">
      <c r="A1019" s="5">
        <v>33</v>
      </c>
      <c r="B1019" s="5" t="s">
        <v>11</v>
      </c>
      <c r="C1019" s="5" t="s">
        <v>251</v>
      </c>
      <c r="D1019" s="5" t="s">
        <v>148</v>
      </c>
      <c r="E1019" s="5" t="s">
        <v>44</v>
      </c>
      <c r="F1019" s="5" t="s">
        <v>457</v>
      </c>
      <c r="G1019" s="5" t="s">
        <v>144</v>
      </c>
      <c r="H1019" s="12">
        <v>30461825</v>
      </c>
      <c r="I1019" s="42" t="str">
        <f t="shared" si="586"/>
        <v>30461825-EJECUCION</v>
      </c>
      <c r="J1019" s="12"/>
      <c r="K1019" s="307" t="str">
        <f t="shared" si="587"/>
        <v>30461825</v>
      </c>
      <c r="L1019" s="15" t="s">
        <v>225</v>
      </c>
      <c r="M1019" s="23">
        <v>172834000</v>
      </c>
      <c r="N1019" s="34">
        <v>0</v>
      </c>
      <c r="O1019" s="34">
        <v>30000000</v>
      </c>
      <c r="P1019" s="310">
        <v>0</v>
      </c>
      <c r="Q1019" s="34">
        <v>0</v>
      </c>
      <c r="R1019" s="308">
        <v>0</v>
      </c>
      <c r="S1019" s="34">
        <f t="shared" si="588"/>
        <v>0</v>
      </c>
      <c r="T1019" s="34">
        <v>0</v>
      </c>
      <c r="U1019" s="34">
        <v>0</v>
      </c>
      <c r="V1019" s="34">
        <f>P1019+Q1019+R1019+T1019+U1019</f>
        <v>0</v>
      </c>
      <c r="W1019" s="34">
        <f>O1019-V1019</f>
        <v>30000000</v>
      </c>
      <c r="X1019" s="34">
        <f>M1019-(N1019+O1019)</f>
        <v>142834000</v>
      </c>
      <c r="Y1019" s="48" t="s">
        <v>246</v>
      </c>
      <c r="Z1019" s="48" t="s">
        <v>357</v>
      </c>
      <c r="AA1019" s="2" t="e">
        <v>#N/A</v>
      </c>
      <c r="AB1019" s="2" t="e">
        <f>VLOOKUP(H1019,#REF!,2,FALSE)</f>
        <v>#REF!</v>
      </c>
      <c r="AC1019" s="2" t="e">
        <f>VLOOKUP(I1019,#REF!,2,FALSE)</f>
        <v>#REF!</v>
      </c>
      <c r="AD1019" s="2" t="e">
        <f>VLOOKUP(H1019,#REF!,13,FALSE)</f>
        <v>#REF!</v>
      </c>
      <c r="AE1019" s="2" t="e">
        <f>VLOOKUP(I1019,#REF!,7,FALSE)</f>
        <v>#REF!</v>
      </c>
      <c r="AG1019" s="2" t="e">
        <f>VLOOKUP(H1019,#REF!,13,FALSE)</f>
        <v>#REF!</v>
      </c>
      <c r="AH1019" s="2" t="e">
        <f>VLOOKUP(I1019,#REF!,2,FALSE)</f>
        <v>#REF!</v>
      </c>
      <c r="AJ1019" s="185" t="e">
        <f>VLOOKUP(H1019,#REF!,3,FALSE)</f>
        <v>#REF!</v>
      </c>
      <c r="AK1019" s="185"/>
      <c r="AL1019" s="185"/>
      <c r="AM1019" s="185" t="e">
        <f>VLOOKUP(CLEAN(H1019),#REF!,7,FALSE)</f>
        <v>#REF!</v>
      </c>
      <c r="AN1019" s="2" t="e">
        <f>VLOOKUP(H1019,#REF!,8,FALSE)</f>
        <v>#REF!</v>
      </c>
      <c r="AO1019" s="189" t="e">
        <f>VLOOKUP(H1019,#REF!,2,FALSE)</f>
        <v>#REF!</v>
      </c>
      <c r="AP1019" s="189" t="e">
        <f>VLOOKUP(H1019,#REF!,2,FALSE)</f>
        <v>#REF!</v>
      </c>
      <c r="AQ1019" s="189"/>
      <c r="AR1019" s="2" t="e">
        <f>VLOOKUP(CLEAN(H1019),#REF!,2,FALSE)</f>
        <v>#REF!</v>
      </c>
      <c r="AT1019" s="2" t="e">
        <f>VLOOKUP(H1019,#REF!,13,FALSE)</f>
        <v>#REF!</v>
      </c>
      <c r="AU1019" s="2" t="e">
        <f>VLOOKUP(H1019,#REF!,13,FALSE)</f>
        <v>#REF!</v>
      </c>
      <c r="AV1019" s="2" t="e">
        <f>VLOOKUP(H1019,#REF!,13,FALSE)</f>
        <v>#REF!</v>
      </c>
      <c r="AW1019" s="2" t="e">
        <f>VLOOKUP(H1019,#REF!,13,FALSE)</f>
        <v>#REF!</v>
      </c>
      <c r="AX1019" s="2" t="e">
        <f>VLOOKUP(H1019,#REF!,9,FALSE)</f>
        <v>#REF!</v>
      </c>
      <c r="AZ1019" s="2" t="e">
        <f>VLOOKUP(H1019,#REF!,2,FALSE)</f>
        <v>#REF!</v>
      </c>
      <c r="BF1019" s="189" t="e">
        <f>VLOOKUP(CLEAN(H1019),#REF!,2,FALSE)</f>
        <v>#REF!</v>
      </c>
      <c r="BG1019" s="189" t="e">
        <f>T1019-BF1019</f>
        <v>#REF!</v>
      </c>
      <c r="BO1019" s="2" t="e">
        <f>VLOOKUP(H1019,#REF!,13,FALSE)</f>
        <v>#REF!</v>
      </c>
      <c r="BP1019" s="2" t="e">
        <f>VLOOKUP(H1019,#REF!,2,FALSE)</f>
        <v>#REF!</v>
      </c>
      <c r="BQ1019" s="2" t="e">
        <f>VLOOKUP(H1019,#REF!,13,FALSE)</f>
        <v>#REF!</v>
      </c>
      <c r="BR1019" s="2" t="e">
        <f>VLOOKUP(H1019,#REF!,3,FALSE)</f>
        <v>#REF!</v>
      </c>
    </row>
    <row r="1020" spans="1:70" s="2" customFormat="1" ht="15" customHeight="1" outlineLevel="2">
      <c r="A1020" s="5">
        <v>33</v>
      </c>
      <c r="B1020" s="5" t="s">
        <v>11</v>
      </c>
      <c r="C1020" s="5" t="s">
        <v>301</v>
      </c>
      <c r="D1020" s="5" t="s">
        <v>148</v>
      </c>
      <c r="E1020" s="5" t="s">
        <v>148</v>
      </c>
      <c r="F1020" s="5" t="s">
        <v>457</v>
      </c>
      <c r="G1020" s="5" t="s">
        <v>144</v>
      </c>
      <c r="H1020" s="12">
        <v>30485056</v>
      </c>
      <c r="I1020" s="42" t="str">
        <f t="shared" si="586"/>
        <v>30485056-EJECUCION</v>
      </c>
      <c r="J1020" s="12"/>
      <c r="K1020" s="307" t="str">
        <f t="shared" si="587"/>
        <v>30485056</v>
      </c>
      <c r="L1020" s="15" t="s">
        <v>519</v>
      </c>
      <c r="M1020" s="23">
        <v>300000000</v>
      </c>
      <c r="N1020" s="34">
        <v>0</v>
      </c>
      <c r="O1020" s="34">
        <v>30000000</v>
      </c>
      <c r="P1020" s="310">
        <v>0</v>
      </c>
      <c r="Q1020" s="34">
        <v>0</v>
      </c>
      <c r="R1020" s="308">
        <v>0</v>
      </c>
      <c r="S1020" s="34">
        <f t="shared" si="588"/>
        <v>0</v>
      </c>
      <c r="T1020" s="34">
        <v>0</v>
      </c>
      <c r="U1020" s="34">
        <v>0</v>
      </c>
      <c r="V1020" s="34">
        <f>P1020+Q1020+R1020+T1020+U1020</f>
        <v>0</v>
      </c>
      <c r="W1020" s="34">
        <f>O1020-V1020</f>
        <v>30000000</v>
      </c>
      <c r="X1020" s="34">
        <f>M1020-(N1020+O1020)</f>
        <v>270000000</v>
      </c>
      <c r="Y1020" s="48" t="s">
        <v>246</v>
      </c>
      <c r="Z1020" s="48" t="s">
        <v>357</v>
      </c>
      <c r="AA1020" s="2" t="e">
        <v>#N/A</v>
      </c>
      <c r="AB1020" s="2" t="e">
        <f>VLOOKUP(H1020,#REF!,2,FALSE)</f>
        <v>#REF!</v>
      </c>
      <c r="AC1020" s="2" t="e">
        <f>VLOOKUP(I1020,#REF!,2,FALSE)</f>
        <v>#REF!</v>
      </c>
      <c r="AD1020" s="2" t="e">
        <f>VLOOKUP(H1020,#REF!,13,FALSE)</f>
        <v>#REF!</v>
      </c>
      <c r="AE1020" s="2" t="e">
        <f>VLOOKUP(I1020,#REF!,7,FALSE)</f>
        <v>#REF!</v>
      </c>
      <c r="AG1020" s="2" t="e">
        <f>VLOOKUP(H1020,#REF!,13,FALSE)</f>
        <v>#REF!</v>
      </c>
      <c r="AH1020" s="2" t="e">
        <f>VLOOKUP(I1020,#REF!,2,FALSE)</f>
        <v>#REF!</v>
      </c>
      <c r="AJ1020" s="185" t="e">
        <f>VLOOKUP(H1020,#REF!,3,FALSE)</f>
        <v>#REF!</v>
      </c>
      <c r="AK1020" s="185"/>
      <c r="AL1020" s="185"/>
      <c r="AM1020" s="185" t="e">
        <f>VLOOKUP(CLEAN(H1020),#REF!,7,FALSE)</f>
        <v>#REF!</v>
      </c>
      <c r="AN1020" s="2" t="e">
        <f>VLOOKUP(H1020,#REF!,8,FALSE)</f>
        <v>#REF!</v>
      </c>
      <c r="AO1020" s="189" t="e">
        <f>VLOOKUP(H1020,#REF!,2,FALSE)</f>
        <v>#REF!</v>
      </c>
      <c r="AP1020" s="189" t="e">
        <f>VLOOKUP(H1020,#REF!,2,FALSE)</f>
        <v>#REF!</v>
      </c>
      <c r="AQ1020" s="189"/>
      <c r="AR1020" s="2" t="e">
        <f>VLOOKUP(CLEAN(H1020),#REF!,2,FALSE)</f>
        <v>#REF!</v>
      </c>
      <c r="AT1020" s="2" t="e">
        <f>VLOOKUP(H1020,#REF!,13,FALSE)</f>
        <v>#REF!</v>
      </c>
      <c r="AU1020" s="2" t="e">
        <f>VLOOKUP(H1020,#REF!,13,FALSE)</f>
        <v>#REF!</v>
      </c>
      <c r="AV1020" s="2" t="e">
        <f>VLOOKUP(H1020,#REF!,13,FALSE)</f>
        <v>#REF!</v>
      </c>
      <c r="AW1020" s="2" t="e">
        <f>VLOOKUP(H1020,#REF!,13,FALSE)</f>
        <v>#REF!</v>
      </c>
      <c r="AX1020" s="2" t="e">
        <f>VLOOKUP(H1020,#REF!,9,FALSE)</f>
        <v>#REF!</v>
      </c>
      <c r="AZ1020" s="2" t="e">
        <f>VLOOKUP(H1020,#REF!,2,FALSE)</f>
        <v>#REF!</v>
      </c>
      <c r="BF1020" s="189" t="e">
        <f>VLOOKUP(CLEAN(H1020),#REF!,2,FALSE)</f>
        <v>#REF!</v>
      </c>
      <c r="BG1020" s="189" t="e">
        <f>T1020-BF1020</f>
        <v>#REF!</v>
      </c>
      <c r="BO1020" s="2" t="e">
        <f>VLOOKUP(H1020,#REF!,13,FALSE)</f>
        <v>#REF!</v>
      </c>
      <c r="BP1020" s="2" t="e">
        <f>VLOOKUP(H1020,#REF!,2,FALSE)</f>
        <v>#REF!</v>
      </c>
      <c r="BQ1020" s="2" t="e">
        <f>VLOOKUP(H1020,#REF!,13,FALSE)</f>
        <v>#REF!</v>
      </c>
      <c r="BR1020" s="2" t="e">
        <f>VLOOKUP(H1020,#REF!,3,FALSE)</f>
        <v>#REF!</v>
      </c>
    </row>
    <row r="1021" spans="1:70" s="2" customFormat="1" ht="15" customHeight="1" outlineLevel="2">
      <c r="A1021" s="5">
        <v>33</v>
      </c>
      <c r="B1021" s="5" t="s">
        <v>11</v>
      </c>
      <c r="C1021" s="5" t="s">
        <v>301</v>
      </c>
      <c r="D1021" s="5" t="s">
        <v>148</v>
      </c>
      <c r="E1021" s="5" t="s">
        <v>148</v>
      </c>
      <c r="F1021" s="5" t="s">
        <v>457</v>
      </c>
      <c r="G1021" s="5" t="s">
        <v>144</v>
      </c>
      <c r="H1021" s="12">
        <v>30485055</v>
      </c>
      <c r="I1021" s="42" t="str">
        <f t="shared" si="586"/>
        <v>30485055-EJECUCION</v>
      </c>
      <c r="J1021" s="12"/>
      <c r="K1021" s="307" t="str">
        <f t="shared" si="587"/>
        <v>30485055</v>
      </c>
      <c r="L1021" s="15" t="s">
        <v>518</v>
      </c>
      <c r="M1021" s="23">
        <v>300000000</v>
      </c>
      <c r="N1021" s="34">
        <v>0</v>
      </c>
      <c r="O1021" s="34">
        <v>30000000</v>
      </c>
      <c r="P1021" s="310">
        <v>0</v>
      </c>
      <c r="Q1021" s="34">
        <v>0</v>
      </c>
      <c r="R1021" s="308">
        <v>0</v>
      </c>
      <c r="S1021" s="34">
        <f t="shared" si="588"/>
        <v>0</v>
      </c>
      <c r="T1021" s="34">
        <v>0</v>
      </c>
      <c r="U1021" s="34">
        <v>0</v>
      </c>
      <c r="V1021" s="34">
        <f>P1021+Q1021+R1021+T1021+U1021</f>
        <v>0</v>
      </c>
      <c r="W1021" s="34">
        <f>O1021-V1021</f>
        <v>30000000</v>
      </c>
      <c r="X1021" s="34">
        <f>M1021-(N1021+O1021)</f>
        <v>270000000</v>
      </c>
      <c r="Y1021" s="48" t="s">
        <v>246</v>
      </c>
      <c r="Z1021" s="48" t="s">
        <v>357</v>
      </c>
      <c r="AA1021" s="2" t="e">
        <v>#N/A</v>
      </c>
      <c r="AB1021" s="2" t="e">
        <f>VLOOKUP(H1021,#REF!,2,FALSE)</f>
        <v>#REF!</v>
      </c>
      <c r="AC1021" s="2" t="e">
        <f>VLOOKUP(I1021,#REF!,2,FALSE)</f>
        <v>#REF!</v>
      </c>
      <c r="AD1021" s="2" t="e">
        <f>VLOOKUP(H1021,#REF!,13,FALSE)</f>
        <v>#REF!</v>
      </c>
      <c r="AE1021" s="2" t="e">
        <f>VLOOKUP(I1021,#REF!,7,FALSE)</f>
        <v>#REF!</v>
      </c>
      <c r="AG1021" s="2" t="e">
        <f>VLOOKUP(H1021,#REF!,13,FALSE)</f>
        <v>#REF!</v>
      </c>
      <c r="AH1021" s="2" t="e">
        <f>VLOOKUP(I1021,#REF!,2,FALSE)</f>
        <v>#REF!</v>
      </c>
      <c r="AJ1021" s="185" t="e">
        <f>VLOOKUP(H1021,#REF!,3,FALSE)</f>
        <v>#REF!</v>
      </c>
      <c r="AK1021" s="185"/>
      <c r="AL1021" s="185"/>
      <c r="AM1021" s="185" t="e">
        <f>VLOOKUP(CLEAN(H1021),#REF!,7,FALSE)</f>
        <v>#REF!</v>
      </c>
      <c r="AN1021" s="2" t="e">
        <f>VLOOKUP(H1021,#REF!,8,FALSE)</f>
        <v>#REF!</v>
      </c>
      <c r="AO1021" s="189" t="e">
        <f>VLOOKUP(H1021,#REF!,2,FALSE)</f>
        <v>#REF!</v>
      </c>
      <c r="AP1021" s="189" t="e">
        <f>VLOOKUP(H1021,#REF!,2,FALSE)</f>
        <v>#REF!</v>
      </c>
      <c r="AQ1021" s="189"/>
      <c r="AR1021" s="2" t="e">
        <f>VLOOKUP(CLEAN(H1021),#REF!,2,FALSE)</f>
        <v>#REF!</v>
      </c>
      <c r="AT1021" s="2" t="e">
        <f>VLOOKUP(H1021,#REF!,13,FALSE)</f>
        <v>#REF!</v>
      </c>
      <c r="AU1021" s="2" t="e">
        <f>VLOOKUP(H1021,#REF!,13,FALSE)</f>
        <v>#REF!</v>
      </c>
      <c r="AV1021" s="2" t="e">
        <f>VLOOKUP(H1021,#REF!,13,FALSE)</f>
        <v>#REF!</v>
      </c>
      <c r="AW1021" s="2" t="e">
        <f>VLOOKUP(H1021,#REF!,13,FALSE)</f>
        <v>#REF!</v>
      </c>
      <c r="AX1021" s="2" t="e">
        <f>VLOOKUP(H1021,#REF!,9,FALSE)</f>
        <v>#REF!</v>
      </c>
      <c r="AZ1021" s="2" t="e">
        <f>VLOOKUP(H1021,#REF!,2,FALSE)</f>
        <v>#REF!</v>
      </c>
      <c r="BF1021" s="189" t="e">
        <f>VLOOKUP(CLEAN(H1021),#REF!,2,FALSE)</f>
        <v>#REF!</v>
      </c>
      <c r="BG1021" s="189" t="e">
        <f>T1021-BF1021</f>
        <v>#REF!</v>
      </c>
      <c r="BO1021" s="2" t="e">
        <f>VLOOKUP(H1021,#REF!,13,FALSE)</f>
        <v>#REF!</v>
      </c>
      <c r="BP1021" s="2" t="e">
        <f>VLOOKUP(H1021,#REF!,2,FALSE)</f>
        <v>#REF!</v>
      </c>
      <c r="BQ1021" s="2" t="e">
        <f>VLOOKUP(H1021,#REF!,13,FALSE)</f>
        <v>#REF!</v>
      </c>
      <c r="BR1021" s="2" t="e">
        <f>VLOOKUP(H1021,#REF!,3,FALSE)</f>
        <v>#REF!</v>
      </c>
    </row>
    <row r="1022" spans="1:70" s="2" customFormat="1" ht="15" customHeight="1" outlineLevel="2">
      <c r="A1022" s="5">
        <v>33</v>
      </c>
      <c r="B1022" s="5" t="s">
        <v>11</v>
      </c>
      <c r="C1022" s="5" t="s">
        <v>275</v>
      </c>
      <c r="D1022" s="5" t="s">
        <v>148</v>
      </c>
      <c r="E1022" s="5" t="s">
        <v>148</v>
      </c>
      <c r="F1022" s="5" t="s">
        <v>457</v>
      </c>
      <c r="G1022" s="5" t="s">
        <v>144</v>
      </c>
      <c r="H1022" s="12">
        <v>30485183</v>
      </c>
      <c r="I1022" s="42" t="str">
        <f t="shared" si="586"/>
        <v>30485183-EJECUCION</v>
      </c>
      <c r="J1022" s="12"/>
      <c r="K1022" s="307" t="str">
        <f t="shared" si="587"/>
        <v>30485183</v>
      </c>
      <c r="L1022" s="15" t="s">
        <v>780</v>
      </c>
      <c r="M1022" s="23">
        <v>200000000</v>
      </c>
      <c r="N1022" s="34">
        <v>0</v>
      </c>
      <c r="O1022" s="34">
        <v>30000000</v>
      </c>
      <c r="P1022" s="310">
        <v>0</v>
      </c>
      <c r="Q1022" s="34">
        <v>0</v>
      </c>
      <c r="R1022" s="308">
        <v>0</v>
      </c>
      <c r="S1022" s="34">
        <f t="shared" si="588"/>
        <v>0</v>
      </c>
      <c r="T1022" s="34">
        <v>0</v>
      </c>
      <c r="U1022" s="34">
        <v>0</v>
      </c>
      <c r="V1022" s="34">
        <f>P1022+Q1022+R1022+T1022+U1022</f>
        <v>0</v>
      </c>
      <c r="W1022" s="34">
        <f>O1022-V1022</f>
        <v>30000000</v>
      </c>
      <c r="X1022" s="34">
        <f>M1022-(N1022+O1022)</f>
        <v>170000000</v>
      </c>
      <c r="Y1022" s="48" t="s">
        <v>246</v>
      </c>
      <c r="Z1022" s="48" t="s">
        <v>357</v>
      </c>
      <c r="AA1022" s="2" t="e">
        <v>#N/A</v>
      </c>
      <c r="AB1022" s="2" t="e">
        <f>VLOOKUP(H1022,#REF!,2,FALSE)</f>
        <v>#REF!</v>
      </c>
      <c r="AC1022" s="2" t="e">
        <f>VLOOKUP(I1022,#REF!,2,FALSE)</f>
        <v>#REF!</v>
      </c>
      <c r="AD1022" s="2" t="e">
        <f>VLOOKUP(H1022,#REF!,13,FALSE)</f>
        <v>#REF!</v>
      </c>
      <c r="AE1022" s="2" t="e">
        <f>VLOOKUP(I1022,#REF!,7,FALSE)</f>
        <v>#REF!</v>
      </c>
      <c r="AG1022" s="2" t="e">
        <f>VLOOKUP(H1022,#REF!,13,FALSE)</f>
        <v>#REF!</v>
      </c>
      <c r="AH1022" s="2" t="e">
        <f>VLOOKUP(I1022,#REF!,2,FALSE)</f>
        <v>#REF!</v>
      </c>
      <c r="AJ1022" s="185" t="e">
        <f>VLOOKUP(H1022,#REF!,3,FALSE)</f>
        <v>#REF!</v>
      </c>
      <c r="AK1022" s="185"/>
      <c r="AL1022" s="185"/>
      <c r="AM1022" s="185" t="e">
        <f>VLOOKUP(CLEAN(H1022),#REF!,7,FALSE)</f>
        <v>#REF!</v>
      </c>
      <c r="AN1022" s="2" t="e">
        <f>VLOOKUP(H1022,#REF!,8,FALSE)</f>
        <v>#REF!</v>
      </c>
      <c r="AO1022" s="189" t="e">
        <f>VLOOKUP(H1022,#REF!,2,FALSE)</f>
        <v>#REF!</v>
      </c>
      <c r="AP1022" s="189" t="e">
        <f>VLOOKUP(H1022,#REF!,2,FALSE)</f>
        <v>#REF!</v>
      </c>
      <c r="AQ1022" s="189"/>
      <c r="AR1022" s="2" t="e">
        <f>VLOOKUP(CLEAN(H1022),#REF!,2,FALSE)</f>
        <v>#REF!</v>
      </c>
      <c r="AT1022" s="2" t="e">
        <f>VLOOKUP(H1022,#REF!,13,FALSE)</f>
        <v>#REF!</v>
      </c>
      <c r="AU1022" s="2" t="e">
        <f>VLOOKUP(H1022,#REF!,13,FALSE)</f>
        <v>#REF!</v>
      </c>
      <c r="AV1022" s="2" t="e">
        <f>VLOOKUP(H1022,#REF!,13,FALSE)</f>
        <v>#REF!</v>
      </c>
      <c r="AW1022" s="2" t="e">
        <f>VLOOKUP(H1022,#REF!,13,FALSE)</f>
        <v>#REF!</v>
      </c>
      <c r="AX1022" s="2" t="e">
        <f>VLOOKUP(H1022,#REF!,9,FALSE)</f>
        <v>#REF!</v>
      </c>
      <c r="AZ1022" s="2" t="e">
        <f>VLOOKUP(H1022,#REF!,2,FALSE)</f>
        <v>#REF!</v>
      </c>
      <c r="BF1022" s="189" t="e">
        <f>VLOOKUP(CLEAN(H1022),#REF!,2,FALSE)</f>
        <v>#REF!</v>
      </c>
      <c r="BG1022" s="189" t="e">
        <f>T1022-BF1022</f>
        <v>#REF!</v>
      </c>
      <c r="BO1022" s="2" t="e">
        <f>VLOOKUP(H1022,#REF!,13,FALSE)</f>
        <v>#REF!</v>
      </c>
      <c r="BP1022" s="2" t="e">
        <f>VLOOKUP(H1022,#REF!,2,FALSE)</f>
        <v>#REF!</v>
      </c>
      <c r="BQ1022" s="2" t="e">
        <f>VLOOKUP(H1022,#REF!,13,FALSE)</f>
        <v>#REF!</v>
      </c>
      <c r="BR1022" s="2" t="e">
        <f>VLOOKUP(H1022,#REF!,3,FALSE)</f>
        <v>#REF!</v>
      </c>
    </row>
    <row r="1023" spans="1:70" s="2" customFormat="1" ht="15" customHeight="1" outlineLevel="2">
      <c r="A1023" s="5">
        <v>33</v>
      </c>
      <c r="B1023" s="5" t="s">
        <v>11</v>
      </c>
      <c r="C1023" s="5" t="s">
        <v>302</v>
      </c>
      <c r="D1023" s="5" t="s">
        <v>148</v>
      </c>
      <c r="E1023" s="5" t="s">
        <v>148</v>
      </c>
      <c r="F1023" s="5" t="s">
        <v>457</v>
      </c>
      <c r="G1023" s="5" t="s">
        <v>144</v>
      </c>
      <c r="H1023" s="12">
        <v>30400100</v>
      </c>
      <c r="I1023" s="42" t="str">
        <f t="shared" si="586"/>
        <v>30400100-EJECUCION</v>
      </c>
      <c r="J1023" s="12"/>
      <c r="K1023" s="307" t="str">
        <f t="shared" si="587"/>
        <v>30400100</v>
      </c>
      <c r="L1023" s="15" t="s">
        <v>770</v>
      </c>
      <c r="M1023" s="23">
        <v>950008000</v>
      </c>
      <c r="N1023" s="34">
        <v>0</v>
      </c>
      <c r="O1023" s="34">
        <v>30000000</v>
      </c>
      <c r="P1023" s="310">
        <v>0</v>
      </c>
      <c r="Q1023" s="34">
        <v>0</v>
      </c>
      <c r="R1023" s="308">
        <v>0</v>
      </c>
      <c r="S1023" s="34">
        <f t="shared" si="588"/>
        <v>0</v>
      </c>
      <c r="T1023" s="34">
        <v>0</v>
      </c>
      <c r="U1023" s="34">
        <v>0</v>
      </c>
      <c r="V1023" s="34">
        <f>P1023+Q1023+R1023+T1023+U1023</f>
        <v>0</v>
      </c>
      <c r="W1023" s="34">
        <f>O1023-V1023</f>
        <v>30000000</v>
      </c>
      <c r="X1023" s="34">
        <f>M1023-(N1023+O1023)</f>
        <v>920008000</v>
      </c>
      <c r="Y1023" s="48" t="s">
        <v>246</v>
      </c>
      <c r="Z1023" s="48" t="s">
        <v>357</v>
      </c>
      <c r="AA1023" s="2" t="e">
        <v>#N/A</v>
      </c>
      <c r="AB1023" s="2" t="e">
        <f>VLOOKUP(H1023,#REF!,2,FALSE)</f>
        <v>#REF!</v>
      </c>
      <c r="AC1023" s="2" t="e">
        <f>VLOOKUP(I1023,#REF!,2,FALSE)</f>
        <v>#REF!</v>
      </c>
      <c r="AD1023" s="2" t="e">
        <f>VLOOKUP(H1023,#REF!,13,FALSE)</f>
        <v>#REF!</v>
      </c>
      <c r="AE1023" s="2" t="e">
        <f>VLOOKUP(I1023,#REF!,7,FALSE)</f>
        <v>#REF!</v>
      </c>
      <c r="AG1023" s="2" t="e">
        <f>VLOOKUP(H1023,#REF!,13,FALSE)</f>
        <v>#REF!</v>
      </c>
      <c r="AH1023" s="2" t="e">
        <f>VLOOKUP(I1023,#REF!,2,FALSE)</f>
        <v>#REF!</v>
      </c>
      <c r="AJ1023" s="185" t="e">
        <f>VLOOKUP(H1023,#REF!,3,FALSE)</f>
        <v>#REF!</v>
      </c>
      <c r="AK1023" s="185"/>
      <c r="AL1023" s="185"/>
      <c r="AM1023" s="185" t="e">
        <f>VLOOKUP(CLEAN(H1023),#REF!,7,FALSE)</f>
        <v>#REF!</v>
      </c>
      <c r="AN1023" s="2" t="e">
        <f>VLOOKUP(H1023,#REF!,8,FALSE)</f>
        <v>#REF!</v>
      </c>
      <c r="AO1023" s="189" t="e">
        <f>VLOOKUP(H1023,#REF!,2,FALSE)</f>
        <v>#REF!</v>
      </c>
      <c r="AP1023" s="189" t="e">
        <f>VLOOKUP(H1023,#REF!,2,FALSE)</f>
        <v>#REF!</v>
      </c>
      <c r="AQ1023" s="189"/>
      <c r="AR1023" s="2" t="e">
        <f>VLOOKUP(CLEAN(H1023),#REF!,2,FALSE)</f>
        <v>#REF!</v>
      </c>
      <c r="AT1023" s="2" t="e">
        <f>VLOOKUP(H1023,#REF!,13,FALSE)</f>
        <v>#REF!</v>
      </c>
      <c r="AU1023" s="2" t="e">
        <f>VLOOKUP(H1023,#REF!,13,FALSE)</f>
        <v>#REF!</v>
      </c>
      <c r="AV1023" s="2" t="e">
        <f>VLOOKUP(H1023,#REF!,13,FALSE)</f>
        <v>#REF!</v>
      </c>
      <c r="AW1023" s="2" t="e">
        <f>VLOOKUP(H1023,#REF!,13,FALSE)</f>
        <v>#REF!</v>
      </c>
      <c r="AX1023" s="2" t="e">
        <f>VLOOKUP(H1023,#REF!,9,FALSE)</f>
        <v>#REF!</v>
      </c>
      <c r="AZ1023" s="2" t="e">
        <f>VLOOKUP(H1023,#REF!,2,FALSE)</f>
        <v>#REF!</v>
      </c>
      <c r="BF1023" s="189" t="e">
        <f>VLOOKUP(CLEAN(H1023),#REF!,2,FALSE)</f>
        <v>#REF!</v>
      </c>
      <c r="BG1023" s="189" t="e">
        <f>T1023-BF1023</f>
        <v>#REF!</v>
      </c>
      <c r="BO1023" s="2" t="e">
        <f>VLOOKUP(H1023,#REF!,13,FALSE)</f>
        <v>#REF!</v>
      </c>
      <c r="BP1023" s="2" t="e">
        <f>VLOOKUP(H1023,#REF!,2,FALSE)</f>
        <v>#REF!</v>
      </c>
      <c r="BQ1023" s="2" t="e">
        <f>VLOOKUP(H1023,#REF!,13,FALSE)</f>
        <v>#REF!</v>
      </c>
      <c r="BR1023" s="2" t="e">
        <f>VLOOKUP(H1023,#REF!,3,FALSE)</f>
        <v>#REF!</v>
      </c>
    </row>
    <row r="1024" spans="1:70" s="2" customFormat="1" ht="15" customHeight="1" outlineLevel="2">
      <c r="A1024" s="5">
        <v>33</v>
      </c>
      <c r="B1024" s="5" t="s">
        <v>11</v>
      </c>
      <c r="C1024" s="5" t="s">
        <v>302</v>
      </c>
      <c r="D1024" s="5" t="s">
        <v>148</v>
      </c>
      <c r="E1024" s="5" t="s">
        <v>148</v>
      </c>
      <c r="F1024" s="5" t="s">
        <v>457</v>
      </c>
      <c r="G1024" s="5" t="s">
        <v>144</v>
      </c>
      <c r="H1024" s="12">
        <v>30485196</v>
      </c>
      <c r="I1024" s="42" t="str">
        <f t="shared" si="586"/>
        <v>30485196-EJECUCION</v>
      </c>
      <c r="J1024" s="12"/>
      <c r="K1024" s="307" t="str">
        <f t="shared" si="587"/>
        <v>30485196</v>
      </c>
      <c r="L1024" s="15" t="s">
        <v>233</v>
      </c>
      <c r="M1024" s="23">
        <v>350000000</v>
      </c>
      <c r="N1024" s="34">
        <v>0</v>
      </c>
      <c r="O1024" s="34">
        <f>40000000-7658620</f>
        <v>32341380</v>
      </c>
      <c r="P1024" s="310">
        <v>0</v>
      </c>
      <c r="Q1024" s="34">
        <v>0</v>
      </c>
      <c r="R1024" s="308">
        <v>0</v>
      </c>
      <c r="S1024" s="34">
        <f t="shared" si="588"/>
        <v>0</v>
      </c>
      <c r="T1024" s="34">
        <v>0</v>
      </c>
      <c r="U1024" s="34">
        <v>0</v>
      </c>
      <c r="V1024" s="34">
        <f>P1024+Q1024+R1024+T1024+U1024</f>
        <v>0</v>
      </c>
      <c r="W1024" s="34">
        <f>O1024-V1024</f>
        <v>32341380</v>
      </c>
      <c r="X1024" s="34">
        <f>M1024-(N1024+O1024)</f>
        <v>317658620</v>
      </c>
      <c r="Y1024" s="48" t="s">
        <v>246</v>
      </c>
      <c r="Z1024" s="48" t="s">
        <v>357</v>
      </c>
      <c r="AA1024" s="2" t="e">
        <v>#N/A</v>
      </c>
      <c r="AB1024" s="2" t="e">
        <f>VLOOKUP(H1024,#REF!,2,FALSE)</f>
        <v>#REF!</v>
      </c>
      <c r="AC1024" s="2" t="e">
        <f>VLOOKUP(I1024,#REF!,2,FALSE)</f>
        <v>#REF!</v>
      </c>
      <c r="AD1024" s="2" t="e">
        <f>VLOOKUP(H1024,#REF!,13,FALSE)</f>
        <v>#REF!</v>
      </c>
      <c r="AE1024" s="2" t="e">
        <f>VLOOKUP(I1024,#REF!,7,FALSE)</f>
        <v>#REF!</v>
      </c>
      <c r="AG1024" s="2" t="e">
        <f>VLOOKUP(H1024,#REF!,13,FALSE)</f>
        <v>#REF!</v>
      </c>
      <c r="AH1024" s="2" t="e">
        <f>VLOOKUP(I1024,#REF!,2,FALSE)</f>
        <v>#REF!</v>
      </c>
      <c r="AJ1024" s="185" t="e">
        <f>VLOOKUP(H1024,#REF!,3,FALSE)</f>
        <v>#REF!</v>
      </c>
      <c r="AK1024" s="185"/>
      <c r="AL1024" s="185"/>
      <c r="AM1024" s="185" t="e">
        <f>VLOOKUP(CLEAN(H1024),#REF!,7,FALSE)</f>
        <v>#REF!</v>
      </c>
      <c r="AN1024" s="2" t="e">
        <f>VLOOKUP(H1024,#REF!,8,FALSE)</f>
        <v>#REF!</v>
      </c>
      <c r="AO1024" s="189" t="e">
        <f>VLOOKUP(H1024,#REF!,2,FALSE)</f>
        <v>#REF!</v>
      </c>
      <c r="AP1024" s="189" t="e">
        <f>VLOOKUP(H1024,#REF!,2,FALSE)</f>
        <v>#REF!</v>
      </c>
      <c r="AQ1024" s="189"/>
      <c r="AR1024" s="2" t="e">
        <f>VLOOKUP(CLEAN(H1024),#REF!,2,FALSE)</f>
        <v>#REF!</v>
      </c>
      <c r="AT1024" s="2" t="e">
        <f>VLOOKUP(H1024,#REF!,13,FALSE)</f>
        <v>#REF!</v>
      </c>
      <c r="AU1024" s="2" t="e">
        <f>VLOOKUP(H1024,#REF!,13,FALSE)</f>
        <v>#REF!</v>
      </c>
      <c r="AV1024" s="2" t="e">
        <f>VLOOKUP(H1024,#REF!,13,FALSE)</f>
        <v>#REF!</v>
      </c>
      <c r="AW1024" s="2" t="e">
        <f>VLOOKUP(H1024,#REF!,13,FALSE)</f>
        <v>#REF!</v>
      </c>
      <c r="AX1024" s="2" t="e">
        <f>VLOOKUP(H1024,#REF!,9,FALSE)</f>
        <v>#REF!</v>
      </c>
      <c r="AZ1024" s="2" t="e">
        <f>VLOOKUP(H1024,#REF!,2,FALSE)</f>
        <v>#REF!</v>
      </c>
      <c r="BF1024" s="189" t="e">
        <f>VLOOKUP(CLEAN(H1024),#REF!,2,FALSE)</f>
        <v>#REF!</v>
      </c>
      <c r="BG1024" s="189" t="e">
        <f>T1024-BF1024</f>
        <v>#REF!</v>
      </c>
      <c r="BO1024" s="2" t="e">
        <f>VLOOKUP(H1024,#REF!,13,FALSE)</f>
        <v>#REF!</v>
      </c>
      <c r="BP1024" s="2" t="e">
        <f>VLOOKUP(H1024,#REF!,2,FALSE)</f>
        <v>#REF!</v>
      </c>
      <c r="BQ1024" s="2" t="e">
        <f>VLOOKUP(H1024,#REF!,13,FALSE)</f>
        <v>#REF!</v>
      </c>
      <c r="BR1024" s="2" t="e">
        <f>VLOOKUP(H1024,#REF!,3,FALSE)</f>
        <v>#REF!</v>
      </c>
    </row>
    <row r="1025" spans="1:70" s="2" customFormat="1" ht="15" customHeight="1" outlineLevel="2">
      <c r="A1025" s="5">
        <v>33</v>
      </c>
      <c r="B1025" s="5" t="s">
        <v>11</v>
      </c>
      <c r="C1025" s="5" t="s">
        <v>275</v>
      </c>
      <c r="D1025" s="5" t="s">
        <v>148</v>
      </c>
      <c r="E1025" s="9" t="s">
        <v>42</v>
      </c>
      <c r="F1025" s="5" t="s">
        <v>457</v>
      </c>
      <c r="G1025" s="5" t="s">
        <v>144</v>
      </c>
      <c r="H1025" s="12">
        <v>40000631</v>
      </c>
      <c r="I1025" s="42" t="str">
        <f t="shared" si="586"/>
        <v>40000631-EJECUCION</v>
      </c>
      <c r="J1025" s="12"/>
      <c r="K1025" s="307" t="str">
        <f t="shared" si="587"/>
        <v>40000631</v>
      </c>
      <c r="L1025" s="15" t="s">
        <v>387</v>
      </c>
      <c r="M1025" s="23">
        <v>200000000</v>
      </c>
      <c r="N1025" s="34">
        <v>0</v>
      </c>
      <c r="O1025" s="34">
        <v>30000000</v>
      </c>
      <c r="P1025" s="310">
        <v>0</v>
      </c>
      <c r="Q1025" s="34">
        <v>0</v>
      </c>
      <c r="R1025" s="308">
        <v>0</v>
      </c>
      <c r="S1025" s="34">
        <f t="shared" si="588"/>
        <v>0</v>
      </c>
      <c r="T1025" s="34">
        <v>0</v>
      </c>
      <c r="U1025" s="34">
        <v>0</v>
      </c>
      <c r="V1025" s="34">
        <f>P1025+Q1025+R1025+T1025+U1025</f>
        <v>0</v>
      </c>
      <c r="W1025" s="34">
        <f>O1025-V1025</f>
        <v>30000000</v>
      </c>
      <c r="X1025" s="34">
        <f>M1025-(N1025+O1025)</f>
        <v>170000000</v>
      </c>
      <c r="Y1025" s="48" t="s">
        <v>246</v>
      </c>
      <c r="Z1025" s="48" t="s">
        <v>357</v>
      </c>
      <c r="AA1025" s="2" t="e">
        <v>#N/A</v>
      </c>
      <c r="AB1025" s="2" t="e">
        <f>VLOOKUP(H1025,#REF!,2,FALSE)</f>
        <v>#REF!</v>
      </c>
      <c r="AC1025" s="2" t="e">
        <f>VLOOKUP(I1025,#REF!,2,FALSE)</f>
        <v>#REF!</v>
      </c>
      <c r="AD1025" s="2" t="e">
        <f>VLOOKUP(H1025,#REF!,13,FALSE)</f>
        <v>#REF!</v>
      </c>
      <c r="AE1025" s="2" t="e">
        <f>VLOOKUP(I1025,#REF!,7,FALSE)</f>
        <v>#REF!</v>
      </c>
      <c r="AG1025" s="2" t="e">
        <f>VLOOKUP(H1025,#REF!,13,FALSE)</f>
        <v>#REF!</v>
      </c>
      <c r="AH1025" s="2" t="e">
        <f>VLOOKUP(I1025,#REF!,2,FALSE)</f>
        <v>#REF!</v>
      </c>
      <c r="AJ1025" s="185" t="e">
        <f>VLOOKUP(H1025,#REF!,3,FALSE)</f>
        <v>#REF!</v>
      </c>
      <c r="AK1025" s="185"/>
      <c r="AL1025" s="185"/>
      <c r="AM1025" s="185" t="e">
        <f>VLOOKUP(CLEAN(H1025),#REF!,7,FALSE)</f>
        <v>#REF!</v>
      </c>
      <c r="AN1025" s="2" t="e">
        <f>VLOOKUP(H1025,#REF!,8,FALSE)</f>
        <v>#REF!</v>
      </c>
      <c r="AO1025" s="189" t="e">
        <f>VLOOKUP(H1025,#REF!,2,FALSE)</f>
        <v>#REF!</v>
      </c>
      <c r="AP1025" s="189" t="e">
        <f>VLOOKUP(H1025,#REF!,2,FALSE)</f>
        <v>#REF!</v>
      </c>
      <c r="AQ1025" s="189"/>
      <c r="AR1025" s="2" t="e">
        <f>VLOOKUP(CLEAN(H1025),#REF!,2,FALSE)</f>
        <v>#REF!</v>
      </c>
      <c r="AT1025" s="2" t="e">
        <f>VLOOKUP(H1025,#REF!,13,FALSE)</f>
        <v>#REF!</v>
      </c>
      <c r="AU1025" s="2" t="e">
        <f>VLOOKUP(H1025,#REF!,13,FALSE)</f>
        <v>#REF!</v>
      </c>
      <c r="AV1025" s="2" t="e">
        <f>VLOOKUP(H1025,#REF!,13,FALSE)</f>
        <v>#REF!</v>
      </c>
      <c r="AW1025" s="2" t="e">
        <f>VLOOKUP(H1025,#REF!,13,FALSE)</f>
        <v>#REF!</v>
      </c>
      <c r="AX1025" s="2" t="e">
        <f>VLOOKUP(H1025,#REF!,9,FALSE)</f>
        <v>#REF!</v>
      </c>
      <c r="AZ1025" s="2" t="e">
        <f>VLOOKUP(H1025,#REF!,2,FALSE)</f>
        <v>#REF!</v>
      </c>
      <c r="BF1025" s="189" t="e">
        <f>VLOOKUP(CLEAN(H1025),#REF!,2,FALSE)</f>
        <v>#REF!</v>
      </c>
      <c r="BG1025" s="189" t="e">
        <f>T1025-BF1025</f>
        <v>#REF!</v>
      </c>
      <c r="BO1025" s="2" t="e">
        <f>VLOOKUP(H1025,#REF!,13,FALSE)</f>
        <v>#REF!</v>
      </c>
      <c r="BP1025" s="2" t="e">
        <f>VLOOKUP(H1025,#REF!,2,FALSE)</f>
        <v>#REF!</v>
      </c>
      <c r="BQ1025" s="2" t="e">
        <f>VLOOKUP(H1025,#REF!,13,FALSE)</f>
        <v>#REF!</v>
      </c>
      <c r="BR1025" s="2" t="e">
        <f>VLOOKUP(H1025,#REF!,3,FALSE)</f>
        <v>#REF!</v>
      </c>
    </row>
    <row r="1026" spans="1:70" s="2" customFormat="1" ht="15" customHeight="1" outlineLevel="2">
      <c r="A1026" s="5">
        <v>33</v>
      </c>
      <c r="B1026" s="5" t="s">
        <v>11</v>
      </c>
      <c r="C1026" s="5" t="s">
        <v>275</v>
      </c>
      <c r="D1026" s="5" t="s">
        <v>148</v>
      </c>
      <c r="E1026" s="5" t="s">
        <v>48</v>
      </c>
      <c r="F1026" s="5" t="s">
        <v>457</v>
      </c>
      <c r="G1026" s="5" t="s">
        <v>144</v>
      </c>
      <c r="H1026" s="12">
        <v>40001173</v>
      </c>
      <c r="I1026" s="42" t="str">
        <f t="shared" si="586"/>
        <v>40001173-EJECUCION</v>
      </c>
      <c r="J1026" s="12"/>
      <c r="K1026" s="307" t="str">
        <f t="shared" si="587"/>
        <v>40001173</v>
      </c>
      <c r="L1026" s="15" t="s">
        <v>429</v>
      </c>
      <c r="M1026" s="23">
        <v>120000000</v>
      </c>
      <c r="N1026" s="34">
        <v>0</v>
      </c>
      <c r="O1026" s="34">
        <v>10000000</v>
      </c>
      <c r="P1026" s="310">
        <v>0</v>
      </c>
      <c r="Q1026" s="34">
        <v>0</v>
      </c>
      <c r="R1026" s="308">
        <v>0</v>
      </c>
      <c r="S1026" s="34">
        <f t="shared" si="588"/>
        <v>0</v>
      </c>
      <c r="T1026" s="34">
        <v>0</v>
      </c>
      <c r="U1026" s="34">
        <v>0</v>
      </c>
      <c r="V1026" s="34">
        <f>P1026+Q1026+R1026+T1026+U1026</f>
        <v>0</v>
      </c>
      <c r="W1026" s="34">
        <f>O1026-V1026</f>
        <v>10000000</v>
      </c>
      <c r="X1026" s="34">
        <f>M1026-(N1026+O1026)</f>
        <v>110000000</v>
      </c>
      <c r="Y1026" s="48" t="s">
        <v>431</v>
      </c>
      <c r="Z1026" s="48" t="s">
        <v>357</v>
      </c>
      <c r="AA1026" s="2" t="e">
        <v>#N/A</v>
      </c>
      <c r="AB1026" s="2" t="e">
        <f>VLOOKUP(H1026,#REF!,2,FALSE)</f>
        <v>#REF!</v>
      </c>
      <c r="AC1026" s="2" t="e">
        <f>VLOOKUP(I1026,#REF!,2,FALSE)</f>
        <v>#REF!</v>
      </c>
      <c r="AD1026" s="2" t="e">
        <f>VLOOKUP(H1026,#REF!,13,FALSE)</f>
        <v>#REF!</v>
      </c>
      <c r="AE1026" s="2" t="e">
        <f>VLOOKUP(I1026,#REF!,7,FALSE)</f>
        <v>#REF!</v>
      </c>
      <c r="AG1026" s="2" t="e">
        <f>VLOOKUP(H1026,#REF!,13,FALSE)</f>
        <v>#REF!</v>
      </c>
      <c r="AH1026" s="2" t="e">
        <f>VLOOKUP(I1026,#REF!,2,FALSE)</f>
        <v>#REF!</v>
      </c>
      <c r="AJ1026" s="185" t="e">
        <f>VLOOKUP(H1026,#REF!,3,FALSE)</f>
        <v>#REF!</v>
      </c>
      <c r="AK1026" s="185"/>
      <c r="AL1026" s="185"/>
      <c r="AM1026" s="185" t="e">
        <f>VLOOKUP(CLEAN(H1026),#REF!,7,FALSE)</f>
        <v>#REF!</v>
      </c>
      <c r="AN1026" s="2" t="e">
        <f>VLOOKUP(H1026,#REF!,8,FALSE)</f>
        <v>#REF!</v>
      </c>
      <c r="AO1026" s="189" t="e">
        <f>VLOOKUP(H1026,#REF!,2,FALSE)</f>
        <v>#REF!</v>
      </c>
      <c r="AP1026" s="189" t="e">
        <f>VLOOKUP(H1026,#REF!,2,FALSE)</f>
        <v>#REF!</v>
      </c>
      <c r="AQ1026" s="189"/>
      <c r="AR1026" s="2" t="e">
        <f>VLOOKUP(CLEAN(H1026),#REF!,2,FALSE)</f>
        <v>#REF!</v>
      </c>
      <c r="AT1026" s="2" t="e">
        <f>VLOOKUP(H1026,#REF!,13,FALSE)</f>
        <v>#REF!</v>
      </c>
      <c r="AU1026" s="2" t="e">
        <f>VLOOKUP(H1026,#REF!,13,FALSE)</f>
        <v>#REF!</v>
      </c>
      <c r="AV1026" s="2" t="e">
        <f>VLOOKUP(H1026,#REF!,13,FALSE)</f>
        <v>#REF!</v>
      </c>
      <c r="AW1026" s="2" t="e">
        <f>VLOOKUP(H1026,#REF!,13,FALSE)</f>
        <v>#REF!</v>
      </c>
      <c r="AX1026" s="2" t="e">
        <f>VLOOKUP(H1026,#REF!,9,FALSE)</f>
        <v>#REF!</v>
      </c>
      <c r="AZ1026" s="2" t="e">
        <f>VLOOKUP(H1026,#REF!,2,FALSE)</f>
        <v>#REF!</v>
      </c>
      <c r="BF1026" s="189" t="e">
        <f>VLOOKUP(CLEAN(H1026),#REF!,2,FALSE)</f>
        <v>#REF!</v>
      </c>
      <c r="BG1026" s="189" t="e">
        <f>T1026-BF1026</f>
        <v>#REF!</v>
      </c>
      <c r="BO1026" s="2" t="e">
        <f>VLOOKUP(H1026,#REF!,13,FALSE)</f>
        <v>#REF!</v>
      </c>
      <c r="BP1026" s="2" t="e">
        <f>VLOOKUP(H1026,#REF!,2,FALSE)</f>
        <v>#REF!</v>
      </c>
      <c r="BQ1026" s="2" t="e">
        <f>VLOOKUP(H1026,#REF!,13,FALSE)</f>
        <v>#REF!</v>
      </c>
      <c r="BR1026" s="2" t="e">
        <f>VLOOKUP(H1026,#REF!,3,FALSE)</f>
        <v>#REF!</v>
      </c>
    </row>
    <row r="1027" spans="1:70" s="2" customFormat="1" ht="15" customHeight="1" outlineLevel="2">
      <c r="A1027" s="5">
        <v>33</v>
      </c>
      <c r="B1027" s="5" t="s">
        <v>11</v>
      </c>
      <c r="C1027" s="5" t="s">
        <v>301</v>
      </c>
      <c r="D1027" s="5" t="s">
        <v>148</v>
      </c>
      <c r="E1027" s="5" t="s">
        <v>48</v>
      </c>
      <c r="F1027" s="5" t="s">
        <v>457</v>
      </c>
      <c r="G1027" s="5" t="s">
        <v>144</v>
      </c>
      <c r="H1027" s="12" t="s">
        <v>223</v>
      </c>
      <c r="I1027" s="42" t="str">
        <f t="shared" si="586"/>
        <v>S/C-EJECUCION</v>
      </c>
      <c r="J1027" s="12"/>
      <c r="K1027" s="307" t="str">
        <f t="shared" si="587"/>
        <v>S/C</v>
      </c>
      <c r="L1027" s="15" t="s">
        <v>515</v>
      </c>
      <c r="M1027" s="23">
        <v>301766000</v>
      </c>
      <c r="N1027" s="34">
        <v>0</v>
      </c>
      <c r="O1027" s="34">
        <v>10000000</v>
      </c>
      <c r="P1027" s="310">
        <v>0</v>
      </c>
      <c r="Q1027" s="34">
        <v>0</v>
      </c>
      <c r="R1027" s="308">
        <v>0</v>
      </c>
      <c r="S1027" s="34">
        <f t="shared" si="588"/>
        <v>0</v>
      </c>
      <c r="T1027" s="34">
        <v>0</v>
      </c>
      <c r="U1027" s="34">
        <v>0</v>
      </c>
      <c r="V1027" s="34">
        <f>P1027+Q1027+R1027+T1027+U1027</f>
        <v>0</v>
      </c>
      <c r="W1027" s="34">
        <f>O1027-V1027</f>
        <v>10000000</v>
      </c>
      <c r="X1027" s="34">
        <f>M1027-(N1027+O1027)</f>
        <v>291766000</v>
      </c>
      <c r="Y1027" s="48" t="s">
        <v>431</v>
      </c>
      <c r="Z1027" s="48" t="s">
        <v>357</v>
      </c>
      <c r="AA1027" s="2" t="e">
        <v>#N/A</v>
      </c>
      <c r="AB1027" s="2" t="e">
        <f>VLOOKUP(H1027,#REF!,2,FALSE)</f>
        <v>#REF!</v>
      </c>
      <c r="AC1027" s="2" t="e">
        <f>VLOOKUP(I1027,#REF!,2,FALSE)</f>
        <v>#REF!</v>
      </c>
      <c r="AD1027" s="2" t="e">
        <f>VLOOKUP(H1027,#REF!,13,FALSE)</f>
        <v>#REF!</v>
      </c>
      <c r="AE1027" s="2" t="e">
        <f>VLOOKUP(I1027,#REF!,7,FALSE)</f>
        <v>#REF!</v>
      </c>
      <c r="AG1027" s="2" t="e">
        <f>VLOOKUP(H1027,#REF!,13,FALSE)</f>
        <v>#REF!</v>
      </c>
      <c r="AH1027" s="2" t="e">
        <f>VLOOKUP(I1027,#REF!,2,FALSE)</f>
        <v>#REF!</v>
      </c>
      <c r="AJ1027" s="185" t="e">
        <f>VLOOKUP(H1027,#REF!,3,FALSE)</f>
        <v>#REF!</v>
      </c>
      <c r="AK1027" s="185"/>
      <c r="AL1027" s="185"/>
      <c r="AM1027" s="185" t="e">
        <f>VLOOKUP(CLEAN(H1027),#REF!,7,FALSE)</f>
        <v>#REF!</v>
      </c>
      <c r="AN1027" s="2" t="e">
        <f>VLOOKUP(H1027,#REF!,8,FALSE)</f>
        <v>#REF!</v>
      </c>
      <c r="AO1027" s="189" t="e">
        <f>VLOOKUP(H1027,#REF!,2,FALSE)</f>
        <v>#REF!</v>
      </c>
      <c r="AP1027" s="189" t="e">
        <f>VLOOKUP(H1027,#REF!,2,FALSE)</f>
        <v>#REF!</v>
      </c>
      <c r="AQ1027" s="189"/>
      <c r="AR1027" s="2" t="e">
        <f>VLOOKUP(CLEAN(H1027),#REF!,2,FALSE)</f>
        <v>#REF!</v>
      </c>
      <c r="AT1027" s="2" t="e">
        <f>VLOOKUP(H1027,#REF!,13,FALSE)</f>
        <v>#REF!</v>
      </c>
      <c r="AU1027" s="2" t="e">
        <f>VLOOKUP(H1027,#REF!,13,FALSE)</f>
        <v>#REF!</v>
      </c>
      <c r="AV1027" s="2" t="e">
        <f>VLOOKUP(H1027,#REF!,13,FALSE)</f>
        <v>#REF!</v>
      </c>
      <c r="AW1027" s="2" t="e">
        <f>VLOOKUP(H1027,#REF!,13,FALSE)</f>
        <v>#REF!</v>
      </c>
      <c r="AX1027" s="2" t="e">
        <f>VLOOKUP(H1027,#REF!,9,FALSE)</f>
        <v>#REF!</v>
      </c>
      <c r="AZ1027" s="2" t="e">
        <f>VLOOKUP(H1027,#REF!,2,FALSE)</f>
        <v>#REF!</v>
      </c>
      <c r="BF1027" s="189" t="e">
        <f>VLOOKUP(CLEAN(H1027),#REF!,2,FALSE)</f>
        <v>#REF!</v>
      </c>
      <c r="BG1027" s="189" t="e">
        <f>T1027-BF1027</f>
        <v>#REF!</v>
      </c>
      <c r="BO1027" s="2" t="e">
        <f>VLOOKUP(H1027,#REF!,13,FALSE)</f>
        <v>#REF!</v>
      </c>
      <c r="BP1027" s="2" t="e">
        <f>VLOOKUP(H1027,#REF!,2,FALSE)</f>
        <v>#REF!</v>
      </c>
      <c r="BQ1027" s="2" t="e">
        <f>VLOOKUP(H1027,#REF!,13,FALSE)</f>
        <v>#REF!</v>
      </c>
      <c r="BR1027" s="2" t="e">
        <f>VLOOKUP(H1027,#REF!,3,FALSE)</f>
        <v>#REF!</v>
      </c>
    </row>
    <row r="1028" spans="1:70" s="2" customFormat="1" ht="15" customHeight="1" outlineLevel="2">
      <c r="A1028" s="5">
        <v>33</v>
      </c>
      <c r="B1028" s="5" t="s">
        <v>11</v>
      </c>
      <c r="C1028" s="5" t="s">
        <v>301</v>
      </c>
      <c r="D1028" s="5" t="s">
        <v>148</v>
      </c>
      <c r="E1028" s="5" t="s">
        <v>48</v>
      </c>
      <c r="F1028" s="5" t="s">
        <v>457</v>
      </c>
      <c r="G1028" s="5" t="s">
        <v>144</v>
      </c>
      <c r="H1028" s="12" t="s">
        <v>223</v>
      </c>
      <c r="I1028" s="42" t="str">
        <f t="shared" si="586"/>
        <v>S/C-EJECUCION</v>
      </c>
      <c r="J1028" s="12"/>
      <c r="K1028" s="307" t="str">
        <f t="shared" si="587"/>
        <v>S/C</v>
      </c>
      <c r="L1028" s="15" t="s">
        <v>514</v>
      </c>
      <c r="M1028" s="23">
        <v>408440000</v>
      </c>
      <c r="N1028" s="34">
        <v>0</v>
      </c>
      <c r="O1028" s="34">
        <v>10000000</v>
      </c>
      <c r="P1028" s="310">
        <v>0</v>
      </c>
      <c r="Q1028" s="34">
        <v>0</v>
      </c>
      <c r="R1028" s="308">
        <v>0</v>
      </c>
      <c r="S1028" s="34">
        <f t="shared" si="588"/>
        <v>0</v>
      </c>
      <c r="T1028" s="34">
        <v>0</v>
      </c>
      <c r="U1028" s="34">
        <v>0</v>
      </c>
      <c r="V1028" s="34">
        <f>P1028+Q1028+R1028+T1028+U1028</f>
        <v>0</v>
      </c>
      <c r="W1028" s="34">
        <f>O1028-V1028</f>
        <v>10000000</v>
      </c>
      <c r="X1028" s="34">
        <f>M1028-(N1028+O1028)</f>
        <v>398440000</v>
      </c>
      <c r="Y1028" s="48" t="s">
        <v>431</v>
      </c>
      <c r="Z1028" s="48" t="s">
        <v>357</v>
      </c>
      <c r="AA1028" s="2" t="e">
        <v>#N/A</v>
      </c>
      <c r="AB1028" s="2" t="e">
        <f>VLOOKUP(H1028,#REF!,2,FALSE)</f>
        <v>#REF!</v>
      </c>
      <c r="AC1028" s="2" t="e">
        <f>VLOOKUP(I1028,#REF!,2,FALSE)</f>
        <v>#REF!</v>
      </c>
      <c r="AD1028" s="2" t="e">
        <f>VLOOKUP(H1028,#REF!,13,FALSE)</f>
        <v>#REF!</v>
      </c>
      <c r="AE1028" s="2" t="e">
        <f>VLOOKUP(I1028,#REF!,7,FALSE)</f>
        <v>#REF!</v>
      </c>
      <c r="AG1028" s="2" t="e">
        <f>VLOOKUP(H1028,#REF!,13,FALSE)</f>
        <v>#REF!</v>
      </c>
      <c r="AH1028" s="2" t="e">
        <f>VLOOKUP(I1028,#REF!,2,FALSE)</f>
        <v>#REF!</v>
      </c>
      <c r="AJ1028" s="185" t="e">
        <f>VLOOKUP(H1028,#REF!,3,FALSE)</f>
        <v>#REF!</v>
      </c>
      <c r="AK1028" s="185"/>
      <c r="AL1028" s="185"/>
      <c r="AM1028" s="185" t="e">
        <f>VLOOKUP(CLEAN(H1028),#REF!,7,FALSE)</f>
        <v>#REF!</v>
      </c>
      <c r="AN1028" s="2" t="e">
        <f>VLOOKUP(H1028,#REF!,8,FALSE)</f>
        <v>#REF!</v>
      </c>
      <c r="AO1028" s="189" t="e">
        <f>VLOOKUP(H1028,#REF!,2,FALSE)</f>
        <v>#REF!</v>
      </c>
      <c r="AP1028" s="189" t="e">
        <f>VLOOKUP(H1028,#REF!,2,FALSE)</f>
        <v>#REF!</v>
      </c>
      <c r="AQ1028" s="189"/>
      <c r="AR1028" s="2" t="e">
        <f>VLOOKUP(CLEAN(H1028),#REF!,2,FALSE)</f>
        <v>#REF!</v>
      </c>
      <c r="AT1028" s="2" t="e">
        <f>VLOOKUP(H1028,#REF!,13,FALSE)</f>
        <v>#REF!</v>
      </c>
      <c r="AU1028" s="2" t="e">
        <f>VLOOKUP(H1028,#REF!,13,FALSE)</f>
        <v>#REF!</v>
      </c>
      <c r="AV1028" s="2" t="e">
        <f>VLOOKUP(H1028,#REF!,13,FALSE)</f>
        <v>#REF!</v>
      </c>
      <c r="AW1028" s="2" t="e">
        <f>VLOOKUP(H1028,#REF!,13,FALSE)</f>
        <v>#REF!</v>
      </c>
      <c r="AX1028" s="2" t="e">
        <f>VLOOKUP(H1028,#REF!,9,FALSE)</f>
        <v>#REF!</v>
      </c>
      <c r="AZ1028" s="2" t="e">
        <f>VLOOKUP(H1028,#REF!,2,FALSE)</f>
        <v>#REF!</v>
      </c>
      <c r="BF1028" s="189" t="e">
        <f>VLOOKUP(CLEAN(H1028),#REF!,2,FALSE)</f>
        <v>#REF!</v>
      </c>
      <c r="BG1028" s="189" t="e">
        <f>T1028-BF1028</f>
        <v>#REF!</v>
      </c>
      <c r="BO1028" s="2" t="e">
        <f>VLOOKUP(H1028,#REF!,13,FALSE)</f>
        <v>#REF!</v>
      </c>
      <c r="BP1028" s="2" t="e">
        <f>VLOOKUP(H1028,#REF!,2,FALSE)</f>
        <v>#REF!</v>
      </c>
      <c r="BQ1028" s="2" t="e">
        <f>VLOOKUP(H1028,#REF!,13,FALSE)</f>
        <v>#REF!</v>
      </c>
      <c r="BR1028" s="2" t="e">
        <f>VLOOKUP(H1028,#REF!,3,FALSE)</f>
        <v>#REF!</v>
      </c>
    </row>
    <row r="1029" spans="1:70" s="2" customFormat="1" ht="15" customHeight="1" outlineLevel="2">
      <c r="A1029" s="5">
        <v>33</v>
      </c>
      <c r="B1029" s="5" t="s">
        <v>11</v>
      </c>
      <c r="C1029" s="5" t="s">
        <v>301</v>
      </c>
      <c r="D1029" s="5" t="s">
        <v>148</v>
      </c>
      <c r="E1029" s="5" t="s">
        <v>48</v>
      </c>
      <c r="F1029" s="5" t="s">
        <v>15</v>
      </c>
      <c r="G1029" s="5" t="s">
        <v>144</v>
      </c>
      <c r="H1029" s="12">
        <v>40000965</v>
      </c>
      <c r="I1029" s="42" t="str">
        <f t="shared" si="586"/>
        <v>40000965-EJECUCION</v>
      </c>
      <c r="J1029" s="12"/>
      <c r="K1029" s="307" t="str">
        <f t="shared" si="587"/>
        <v>40000965</v>
      </c>
      <c r="L1029" s="15" t="s">
        <v>430</v>
      </c>
      <c r="M1029" s="23">
        <v>109650000</v>
      </c>
      <c r="N1029" s="34">
        <v>0</v>
      </c>
      <c r="O1029" s="34">
        <f>70000000-33770963</f>
        <v>36229037</v>
      </c>
      <c r="P1029" s="310">
        <v>0</v>
      </c>
      <c r="Q1029" s="34">
        <v>0</v>
      </c>
      <c r="R1029" s="308">
        <v>0</v>
      </c>
      <c r="S1029" s="34">
        <f t="shared" si="588"/>
        <v>0</v>
      </c>
      <c r="T1029" s="34">
        <v>0</v>
      </c>
      <c r="U1029" s="34">
        <v>0</v>
      </c>
      <c r="V1029" s="34">
        <f>P1029+Q1029+R1029+T1029+U1029</f>
        <v>0</v>
      </c>
      <c r="W1029" s="34">
        <f>O1029-V1029</f>
        <v>36229037</v>
      </c>
      <c r="X1029" s="34">
        <f>M1029-(N1029+O1029)</f>
        <v>73420963</v>
      </c>
      <c r="Y1029" s="48" t="s">
        <v>431</v>
      </c>
      <c r="Z1029" s="48" t="s">
        <v>357</v>
      </c>
      <c r="AA1029" s="2" t="e">
        <v>#N/A</v>
      </c>
      <c r="AB1029" s="2" t="e">
        <f>VLOOKUP(H1029,#REF!,2,FALSE)</f>
        <v>#REF!</v>
      </c>
      <c r="AC1029" s="2" t="e">
        <f>VLOOKUP(I1029,#REF!,2,FALSE)</f>
        <v>#REF!</v>
      </c>
      <c r="AD1029" s="2" t="e">
        <f>VLOOKUP(H1029,#REF!,13,FALSE)</f>
        <v>#REF!</v>
      </c>
      <c r="AE1029" s="2" t="e">
        <f>VLOOKUP(I1029,#REF!,7,FALSE)</f>
        <v>#REF!</v>
      </c>
      <c r="AG1029" s="2" t="e">
        <f>VLOOKUP(H1029,#REF!,13,FALSE)</f>
        <v>#REF!</v>
      </c>
      <c r="AH1029" s="2" t="e">
        <f>VLOOKUP(I1029,#REF!,2,FALSE)</f>
        <v>#REF!</v>
      </c>
      <c r="AJ1029" s="185" t="e">
        <f>VLOOKUP(H1029,#REF!,3,FALSE)</f>
        <v>#REF!</v>
      </c>
      <c r="AK1029" s="185"/>
      <c r="AL1029" s="185"/>
      <c r="AM1029" s="185" t="e">
        <f>VLOOKUP(CLEAN(H1029),#REF!,7,FALSE)</f>
        <v>#REF!</v>
      </c>
      <c r="AN1029" s="2" t="e">
        <f>VLOOKUP(H1029,#REF!,8,FALSE)</f>
        <v>#REF!</v>
      </c>
      <c r="AO1029" s="189" t="e">
        <f>VLOOKUP(H1029,#REF!,2,FALSE)</f>
        <v>#REF!</v>
      </c>
      <c r="AP1029" s="189" t="e">
        <f>VLOOKUP(H1029,#REF!,2,FALSE)</f>
        <v>#REF!</v>
      </c>
      <c r="AQ1029" s="189"/>
      <c r="AR1029" s="2" t="e">
        <f>VLOOKUP(CLEAN(H1029),#REF!,2,FALSE)</f>
        <v>#REF!</v>
      </c>
      <c r="AT1029" s="2" t="e">
        <f>VLOOKUP(H1029,#REF!,13,FALSE)</f>
        <v>#REF!</v>
      </c>
      <c r="AU1029" s="2" t="e">
        <f>VLOOKUP(H1029,#REF!,13,FALSE)</f>
        <v>#REF!</v>
      </c>
      <c r="AV1029" s="2" t="e">
        <f>VLOOKUP(H1029,#REF!,13,FALSE)</f>
        <v>#REF!</v>
      </c>
      <c r="AW1029" s="2" t="e">
        <f>VLOOKUP(H1029,#REF!,13,FALSE)</f>
        <v>#REF!</v>
      </c>
      <c r="AX1029" s="2" t="e">
        <f>VLOOKUP(H1029,#REF!,9,FALSE)</f>
        <v>#REF!</v>
      </c>
      <c r="AZ1029" s="2" t="e">
        <f>VLOOKUP(H1029,#REF!,2,FALSE)</f>
        <v>#REF!</v>
      </c>
      <c r="BF1029" s="189" t="e">
        <f>VLOOKUP(CLEAN(H1029),#REF!,2,FALSE)</f>
        <v>#REF!</v>
      </c>
      <c r="BG1029" s="189" t="e">
        <f>T1029-BF1029</f>
        <v>#REF!</v>
      </c>
      <c r="BO1029" s="2" t="e">
        <f>VLOOKUP(H1029,#REF!,13,FALSE)</f>
        <v>#REF!</v>
      </c>
      <c r="BP1029" s="2" t="e">
        <f>VLOOKUP(H1029,#REF!,2,FALSE)</f>
        <v>#REF!</v>
      </c>
      <c r="BQ1029" s="2" t="e">
        <f>VLOOKUP(H1029,#REF!,13,FALSE)</f>
        <v>#REF!</v>
      </c>
      <c r="BR1029" s="2" t="e">
        <f>VLOOKUP(H1029,#REF!,3,FALSE)</f>
        <v>#REF!</v>
      </c>
    </row>
    <row r="1030" spans="1:70" s="2" customFormat="1" ht="15" customHeight="1" outlineLevel="2">
      <c r="A1030" s="5">
        <v>33</v>
      </c>
      <c r="B1030" s="5" t="s">
        <v>11</v>
      </c>
      <c r="C1030" s="5" t="s">
        <v>275</v>
      </c>
      <c r="D1030" s="5" t="s">
        <v>148</v>
      </c>
      <c r="E1030" s="5" t="s">
        <v>48</v>
      </c>
      <c r="F1030" s="5" t="s">
        <v>457</v>
      </c>
      <c r="G1030" s="5" t="s">
        <v>144</v>
      </c>
      <c r="H1030" s="12">
        <v>30433774</v>
      </c>
      <c r="I1030" s="42" t="str">
        <f t="shared" si="586"/>
        <v>30433774-EJECUCION</v>
      </c>
      <c r="J1030" s="12"/>
      <c r="K1030" s="307" t="str">
        <f t="shared" si="587"/>
        <v>30433774</v>
      </c>
      <c r="L1030" s="15" t="s">
        <v>381</v>
      </c>
      <c r="M1030" s="23">
        <v>2700000000</v>
      </c>
      <c r="N1030" s="34">
        <v>0</v>
      </c>
      <c r="O1030" s="34">
        <v>10000000</v>
      </c>
      <c r="P1030" s="310">
        <v>0</v>
      </c>
      <c r="Q1030" s="34">
        <v>0</v>
      </c>
      <c r="R1030" s="308">
        <v>0</v>
      </c>
      <c r="S1030" s="34">
        <f t="shared" si="588"/>
        <v>0</v>
      </c>
      <c r="T1030" s="34">
        <v>0</v>
      </c>
      <c r="U1030" s="34">
        <v>0</v>
      </c>
      <c r="V1030" s="34">
        <f>P1030+Q1030+R1030+T1030+U1030</f>
        <v>0</v>
      </c>
      <c r="W1030" s="34">
        <f>O1030-V1030</f>
        <v>10000000</v>
      </c>
      <c r="X1030" s="34">
        <f>M1030-(N1030+O1030)</f>
        <v>2690000000</v>
      </c>
      <c r="Y1030" s="48" t="s">
        <v>431</v>
      </c>
      <c r="Z1030" s="48" t="s">
        <v>357</v>
      </c>
      <c r="AA1030" s="2" t="e">
        <v>#N/A</v>
      </c>
      <c r="AB1030" s="2" t="e">
        <f>VLOOKUP(H1030,#REF!,2,FALSE)</f>
        <v>#REF!</v>
      </c>
      <c r="AC1030" s="2" t="e">
        <f>VLOOKUP(I1030,#REF!,2,FALSE)</f>
        <v>#REF!</v>
      </c>
      <c r="AD1030" s="2" t="e">
        <f>VLOOKUP(H1030,#REF!,13,FALSE)</f>
        <v>#REF!</v>
      </c>
      <c r="AE1030" s="2" t="e">
        <f>VLOOKUP(I1030,#REF!,7,FALSE)</f>
        <v>#REF!</v>
      </c>
      <c r="AG1030" s="2" t="e">
        <f>VLOOKUP(H1030,#REF!,13,FALSE)</f>
        <v>#REF!</v>
      </c>
      <c r="AH1030" s="2" t="e">
        <f>VLOOKUP(I1030,#REF!,2,FALSE)</f>
        <v>#REF!</v>
      </c>
      <c r="AJ1030" s="185" t="e">
        <f>VLOOKUP(H1030,#REF!,3,FALSE)</f>
        <v>#REF!</v>
      </c>
      <c r="AK1030" s="185"/>
      <c r="AL1030" s="185"/>
      <c r="AM1030" s="185" t="e">
        <f>VLOOKUP(CLEAN(H1030),#REF!,7,FALSE)</f>
        <v>#REF!</v>
      </c>
      <c r="AN1030" s="2" t="e">
        <f>VLOOKUP(H1030,#REF!,8,FALSE)</f>
        <v>#REF!</v>
      </c>
      <c r="AO1030" s="189" t="e">
        <f>VLOOKUP(H1030,#REF!,2,FALSE)</f>
        <v>#REF!</v>
      </c>
      <c r="AP1030" s="189" t="e">
        <f>VLOOKUP(H1030,#REF!,2,FALSE)</f>
        <v>#REF!</v>
      </c>
      <c r="AQ1030" s="189"/>
      <c r="AR1030" s="2" t="e">
        <f>VLOOKUP(CLEAN(H1030),#REF!,2,FALSE)</f>
        <v>#REF!</v>
      </c>
      <c r="AT1030" s="2" t="e">
        <f>VLOOKUP(H1030,#REF!,13,FALSE)</f>
        <v>#REF!</v>
      </c>
      <c r="AU1030" s="2" t="e">
        <f>VLOOKUP(H1030,#REF!,13,FALSE)</f>
        <v>#REF!</v>
      </c>
      <c r="AV1030" s="2" t="e">
        <f>VLOOKUP(H1030,#REF!,13,FALSE)</f>
        <v>#REF!</v>
      </c>
      <c r="AW1030" s="2" t="e">
        <f>VLOOKUP(H1030,#REF!,13,FALSE)</f>
        <v>#REF!</v>
      </c>
      <c r="AX1030" s="2" t="e">
        <f>VLOOKUP(H1030,#REF!,9,FALSE)</f>
        <v>#REF!</v>
      </c>
      <c r="AZ1030" s="2" t="e">
        <f>VLOOKUP(H1030,#REF!,2,FALSE)</f>
        <v>#REF!</v>
      </c>
      <c r="BF1030" s="189" t="e">
        <f>VLOOKUP(CLEAN(H1030),#REF!,2,FALSE)</f>
        <v>#REF!</v>
      </c>
      <c r="BG1030" s="189" t="e">
        <f>T1030-BF1030</f>
        <v>#REF!</v>
      </c>
      <c r="BO1030" s="2" t="e">
        <f>VLOOKUP(H1030,#REF!,13,FALSE)</f>
        <v>#REF!</v>
      </c>
      <c r="BP1030" s="2" t="e">
        <f>VLOOKUP(H1030,#REF!,2,FALSE)</f>
        <v>#REF!</v>
      </c>
      <c r="BQ1030" s="2" t="e">
        <f>VLOOKUP(H1030,#REF!,13,FALSE)</f>
        <v>#REF!</v>
      </c>
      <c r="BR1030" s="2" t="e">
        <f>VLOOKUP(H1030,#REF!,3,FALSE)</f>
        <v>#REF!</v>
      </c>
    </row>
    <row r="1031" spans="1:70" s="2" customFormat="1" ht="15" customHeight="1" outlineLevel="2">
      <c r="A1031" s="5">
        <v>33</v>
      </c>
      <c r="B1031" s="5" t="s">
        <v>11</v>
      </c>
      <c r="C1031" s="5" t="s">
        <v>275</v>
      </c>
      <c r="D1031" s="5" t="s">
        <v>148</v>
      </c>
      <c r="E1031" s="5" t="s">
        <v>48</v>
      </c>
      <c r="F1031" s="5" t="s">
        <v>457</v>
      </c>
      <c r="G1031" s="5" t="s">
        <v>144</v>
      </c>
      <c r="H1031" s="12">
        <v>40001266</v>
      </c>
      <c r="I1031" s="42" t="str">
        <f t="shared" si="586"/>
        <v>40001266-EJECUCION</v>
      </c>
      <c r="J1031" s="12"/>
      <c r="K1031" s="307" t="str">
        <f t="shared" si="587"/>
        <v>40001266</v>
      </c>
      <c r="L1031" s="15" t="s">
        <v>520</v>
      </c>
      <c r="M1031" s="23">
        <v>400000000</v>
      </c>
      <c r="N1031" s="34">
        <v>0</v>
      </c>
      <c r="O1031" s="34">
        <v>10000000</v>
      </c>
      <c r="P1031" s="310">
        <v>0</v>
      </c>
      <c r="Q1031" s="34">
        <v>0</v>
      </c>
      <c r="R1031" s="308">
        <v>0</v>
      </c>
      <c r="S1031" s="34">
        <f t="shared" si="588"/>
        <v>0</v>
      </c>
      <c r="T1031" s="34">
        <v>0</v>
      </c>
      <c r="U1031" s="34">
        <v>0</v>
      </c>
      <c r="V1031" s="34">
        <f>P1031+Q1031+R1031+T1031+U1031</f>
        <v>0</v>
      </c>
      <c r="W1031" s="34">
        <f>O1031-V1031</f>
        <v>10000000</v>
      </c>
      <c r="X1031" s="34">
        <f>M1031-(N1031+O1031)</f>
        <v>390000000</v>
      </c>
      <c r="Y1031" s="48" t="s">
        <v>431</v>
      </c>
      <c r="Z1031" s="48" t="s">
        <v>357</v>
      </c>
      <c r="AA1031" s="2" t="e">
        <v>#N/A</v>
      </c>
      <c r="AB1031" s="2" t="e">
        <f>VLOOKUP(H1031,#REF!,2,FALSE)</f>
        <v>#REF!</v>
      </c>
      <c r="AC1031" s="2" t="e">
        <f>VLOOKUP(I1031,#REF!,2,FALSE)</f>
        <v>#REF!</v>
      </c>
      <c r="AD1031" s="2" t="e">
        <f>VLOOKUP(H1031,#REF!,13,FALSE)</f>
        <v>#REF!</v>
      </c>
      <c r="AE1031" s="2" t="e">
        <f>VLOOKUP(I1031,#REF!,7,FALSE)</f>
        <v>#REF!</v>
      </c>
      <c r="AG1031" s="2" t="e">
        <f>VLOOKUP(H1031,#REF!,13,FALSE)</f>
        <v>#REF!</v>
      </c>
      <c r="AH1031" s="2" t="e">
        <f>VLOOKUP(I1031,#REF!,2,FALSE)</f>
        <v>#REF!</v>
      </c>
      <c r="AJ1031" s="185" t="e">
        <f>VLOOKUP(H1031,#REF!,3,FALSE)</f>
        <v>#REF!</v>
      </c>
      <c r="AK1031" s="185"/>
      <c r="AL1031" s="185"/>
      <c r="AM1031" s="185" t="e">
        <f>VLOOKUP(CLEAN(H1031),#REF!,7,FALSE)</f>
        <v>#REF!</v>
      </c>
      <c r="AN1031" s="2" t="e">
        <f>VLOOKUP(H1031,#REF!,8,FALSE)</f>
        <v>#REF!</v>
      </c>
      <c r="AO1031" s="189" t="e">
        <f>VLOOKUP(H1031,#REF!,2,FALSE)</f>
        <v>#REF!</v>
      </c>
      <c r="AP1031" s="189" t="e">
        <f>VLOOKUP(H1031,#REF!,2,FALSE)</f>
        <v>#REF!</v>
      </c>
      <c r="AQ1031" s="189"/>
      <c r="AR1031" s="2" t="e">
        <f>VLOOKUP(CLEAN(H1031),#REF!,2,FALSE)</f>
        <v>#REF!</v>
      </c>
      <c r="AT1031" s="2" t="e">
        <f>VLOOKUP(H1031,#REF!,13,FALSE)</f>
        <v>#REF!</v>
      </c>
      <c r="AU1031" s="2" t="e">
        <f>VLOOKUP(H1031,#REF!,13,FALSE)</f>
        <v>#REF!</v>
      </c>
      <c r="AV1031" s="2" t="e">
        <f>VLOOKUP(H1031,#REF!,13,FALSE)</f>
        <v>#REF!</v>
      </c>
      <c r="AW1031" s="2" t="e">
        <f>VLOOKUP(H1031,#REF!,13,FALSE)</f>
        <v>#REF!</v>
      </c>
      <c r="AX1031" s="2" t="e">
        <f>VLOOKUP(H1031,#REF!,9,FALSE)</f>
        <v>#REF!</v>
      </c>
      <c r="AZ1031" s="2" t="e">
        <f>VLOOKUP(H1031,#REF!,2,FALSE)</f>
        <v>#REF!</v>
      </c>
      <c r="BF1031" s="189" t="e">
        <f>VLOOKUP(CLEAN(H1031),#REF!,2,FALSE)</f>
        <v>#REF!</v>
      </c>
      <c r="BG1031" s="189" t="e">
        <f>T1031-BF1031</f>
        <v>#REF!</v>
      </c>
      <c r="BO1031" s="2" t="e">
        <f>VLOOKUP(H1031,#REF!,13,FALSE)</f>
        <v>#REF!</v>
      </c>
      <c r="BP1031" s="2" t="e">
        <f>VLOOKUP(H1031,#REF!,2,FALSE)</f>
        <v>#REF!</v>
      </c>
      <c r="BQ1031" s="2" t="e">
        <f>VLOOKUP(H1031,#REF!,13,FALSE)</f>
        <v>#REF!</v>
      </c>
      <c r="BR1031" s="2" t="e">
        <f>VLOOKUP(H1031,#REF!,3,FALSE)</f>
        <v>#REF!</v>
      </c>
    </row>
    <row r="1032" spans="1:70" s="2" customFormat="1" ht="15" customHeight="1" outlineLevel="2">
      <c r="A1032" s="5">
        <v>33</v>
      </c>
      <c r="B1032" s="5" t="s">
        <v>11</v>
      </c>
      <c r="C1032" s="5" t="s">
        <v>251</v>
      </c>
      <c r="D1032" s="5" t="s">
        <v>148</v>
      </c>
      <c r="E1032" s="5" t="s">
        <v>48</v>
      </c>
      <c r="F1032" s="5" t="s">
        <v>72</v>
      </c>
      <c r="G1032" s="5" t="s">
        <v>144</v>
      </c>
      <c r="H1032" s="12" t="s">
        <v>223</v>
      </c>
      <c r="I1032" s="42" t="str">
        <f t="shared" si="586"/>
        <v>S/C-EJECUCION</v>
      </c>
      <c r="J1032" s="12"/>
      <c r="K1032" s="307" t="str">
        <f t="shared" si="587"/>
        <v>S/C</v>
      </c>
      <c r="L1032" s="15" t="s">
        <v>371</v>
      </c>
      <c r="M1032" s="23">
        <v>1990433000</v>
      </c>
      <c r="N1032" s="34">
        <v>0</v>
      </c>
      <c r="O1032" s="34">
        <v>1990433000</v>
      </c>
      <c r="P1032" s="310">
        <v>0</v>
      </c>
      <c r="Q1032" s="34">
        <v>0</v>
      </c>
      <c r="R1032" s="308">
        <v>0</v>
      </c>
      <c r="S1032" s="34">
        <f t="shared" si="588"/>
        <v>0</v>
      </c>
      <c r="T1032" s="34">
        <v>0</v>
      </c>
      <c r="U1032" s="34">
        <v>0</v>
      </c>
      <c r="V1032" s="34">
        <f>P1032+Q1032+R1032+T1032+U1032</f>
        <v>0</v>
      </c>
      <c r="W1032" s="34">
        <f>O1032-V1032</f>
        <v>1990433000</v>
      </c>
      <c r="X1032" s="34">
        <f>M1032-(N1032+O1032)</f>
        <v>0</v>
      </c>
      <c r="Y1032" s="48" t="s">
        <v>372</v>
      </c>
      <c r="Z1032" s="48" t="s">
        <v>8</v>
      </c>
      <c r="AA1032" s="2" t="e">
        <v>#N/A</v>
      </c>
      <c r="AB1032" s="2" t="e">
        <f>VLOOKUP(H1032,#REF!,2,FALSE)</f>
        <v>#REF!</v>
      </c>
      <c r="AC1032" s="2" t="e">
        <f>VLOOKUP(I1032,#REF!,2,FALSE)</f>
        <v>#REF!</v>
      </c>
      <c r="AD1032" s="2" t="e">
        <f>VLOOKUP(H1032,#REF!,13,FALSE)</f>
        <v>#REF!</v>
      </c>
      <c r="AE1032" s="2" t="e">
        <f>VLOOKUP(I1032,#REF!,7,FALSE)</f>
        <v>#REF!</v>
      </c>
      <c r="AG1032" s="2" t="e">
        <f>VLOOKUP(H1032,#REF!,13,FALSE)</f>
        <v>#REF!</v>
      </c>
      <c r="AH1032" s="2" t="e">
        <f>VLOOKUP(I1032,#REF!,2,FALSE)</f>
        <v>#REF!</v>
      </c>
      <c r="AJ1032" s="185" t="e">
        <f>VLOOKUP(H1032,#REF!,3,FALSE)</f>
        <v>#REF!</v>
      </c>
      <c r="AK1032" s="185"/>
      <c r="AL1032" s="185"/>
      <c r="AM1032" s="185" t="e">
        <f>VLOOKUP(CLEAN(H1032),#REF!,7,FALSE)</f>
        <v>#REF!</v>
      </c>
      <c r="AN1032" s="2" t="e">
        <f>VLOOKUP(H1032,#REF!,8,FALSE)</f>
        <v>#REF!</v>
      </c>
      <c r="AO1032" s="189" t="e">
        <f>VLOOKUP(H1032,#REF!,2,FALSE)</f>
        <v>#REF!</v>
      </c>
      <c r="AP1032" s="189" t="e">
        <f>VLOOKUP(H1032,#REF!,2,FALSE)</f>
        <v>#REF!</v>
      </c>
      <c r="AQ1032" s="189"/>
      <c r="AR1032" s="2" t="e">
        <f>VLOOKUP(CLEAN(H1032),#REF!,2,FALSE)</f>
        <v>#REF!</v>
      </c>
      <c r="AT1032" s="2" t="e">
        <f>VLOOKUP(H1032,#REF!,13,FALSE)</f>
        <v>#REF!</v>
      </c>
      <c r="AU1032" s="2" t="e">
        <f>VLOOKUP(H1032,#REF!,13,FALSE)</f>
        <v>#REF!</v>
      </c>
      <c r="AV1032" s="2" t="e">
        <f>VLOOKUP(H1032,#REF!,13,FALSE)</f>
        <v>#REF!</v>
      </c>
      <c r="AW1032" s="2" t="e">
        <f>VLOOKUP(H1032,#REF!,13,FALSE)</f>
        <v>#REF!</v>
      </c>
      <c r="AX1032" s="2" t="e">
        <f>VLOOKUP(H1032,#REF!,9,FALSE)</f>
        <v>#REF!</v>
      </c>
      <c r="AZ1032" s="2" t="e">
        <f>VLOOKUP(H1032,#REF!,2,FALSE)</f>
        <v>#REF!</v>
      </c>
      <c r="BF1032" s="189" t="e">
        <f>VLOOKUP(CLEAN(H1032),#REF!,2,FALSE)</f>
        <v>#REF!</v>
      </c>
      <c r="BG1032" s="189" t="e">
        <f>T1032-BF1032</f>
        <v>#REF!</v>
      </c>
      <c r="BO1032" s="2" t="e">
        <f>VLOOKUP(H1032,#REF!,13,FALSE)</f>
        <v>#REF!</v>
      </c>
      <c r="BP1032" s="2" t="e">
        <f>VLOOKUP(H1032,#REF!,2,FALSE)</f>
        <v>#REF!</v>
      </c>
      <c r="BQ1032" s="2" t="e">
        <f>VLOOKUP(H1032,#REF!,13,FALSE)</f>
        <v>#REF!</v>
      </c>
      <c r="BR1032" s="2" t="e">
        <f>VLOOKUP(H1032,#REF!,3,FALSE)</f>
        <v>#REF!</v>
      </c>
    </row>
    <row r="1033" spans="1:70" ht="15" customHeight="1" outlineLevel="2">
      <c r="A1033" s="7"/>
      <c r="B1033" s="7"/>
      <c r="C1033" s="7"/>
      <c r="D1033" s="7"/>
      <c r="E1033" s="7"/>
      <c r="F1033" s="7"/>
      <c r="G1033" s="7"/>
      <c r="H1033" s="11"/>
      <c r="I1033" s="11"/>
      <c r="J1033" s="11"/>
      <c r="K1033" s="11"/>
      <c r="L1033" s="17" t="s">
        <v>693</v>
      </c>
      <c r="M1033" s="27">
        <f>SUBTOTAL(9,M1012:M1032)</f>
        <v>12603763000</v>
      </c>
      <c r="N1033" s="27">
        <f t="shared" ref="N1033:O1033" si="589">SUBTOTAL(9,N1012:N1032)</f>
        <v>0</v>
      </c>
      <c r="O1033" s="27">
        <f t="shared" si="589"/>
        <v>2560918373.666667</v>
      </c>
      <c r="P1033" s="24">
        <f t="shared" ref="P1033:X1033" si="590">SUBTOTAL(9,P1012:P1032)</f>
        <v>0</v>
      </c>
      <c r="Q1033" s="24">
        <f t="shared" si="590"/>
        <v>0</v>
      </c>
      <c r="R1033" s="24">
        <f t="shared" si="590"/>
        <v>0</v>
      </c>
      <c r="S1033" s="27">
        <f t="shared" si="590"/>
        <v>0</v>
      </c>
      <c r="T1033" s="27">
        <f t="shared" si="590"/>
        <v>0</v>
      </c>
      <c r="U1033" s="27">
        <f t="shared" si="590"/>
        <v>0</v>
      </c>
      <c r="V1033" s="27">
        <f t="shared" si="590"/>
        <v>0</v>
      </c>
      <c r="W1033" s="27">
        <f t="shared" si="590"/>
        <v>2560918373.666667</v>
      </c>
      <c r="X1033" s="27">
        <f t="shared" si="590"/>
        <v>10042844626.333332</v>
      </c>
      <c r="Y1033" s="47"/>
      <c r="Z1033" s="47"/>
      <c r="AO1033"/>
      <c r="AP1033"/>
      <c r="AQ1033"/>
      <c r="AR1033" s="2" t="e">
        <f>VLOOKUP(CLEAN(H1033),#REF!,2,FALSE)</f>
        <v>#REF!</v>
      </c>
      <c r="AZ1033" s="2" t="e">
        <f>VLOOKUP(H1033,#REF!,2,FALSE)</f>
        <v>#REF!</v>
      </c>
      <c r="BQ1033" s="2" t="e">
        <f>VLOOKUP(H1033,#REF!,13,FALSE)</f>
        <v>#REF!</v>
      </c>
    </row>
    <row r="1034" spans="1:70" ht="15" customHeight="1" outlineLevel="2">
      <c r="A1034" s="7"/>
      <c r="B1034" s="7"/>
      <c r="C1034" s="7"/>
      <c r="D1034" s="7"/>
      <c r="E1034" s="7"/>
      <c r="F1034" s="7"/>
      <c r="G1034" s="7"/>
      <c r="H1034" s="11"/>
      <c r="I1034" s="11"/>
      <c r="J1034" s="11"/>
      <c r="K1034" s="11"/>
      <c r="L1034" s="292"/>
      <c r="M1034" s="22"/>
      <c r="N1034" s="33"/>
      <c r="O1034" s="33"/>
      <c r="P1034" s="33"/>
      <c r="Q1034" s="33"/>
      <c r="R1034" s="33"/>
      <c r="S1034" s="33"/>
      <c r="T1034" s="33"/>
      <c r="U1034" s="33"/>
      <c r="V1034" s="33"/>
      <c r="W1034" s="33"/>
      <c r="X1034" s="33"/>
      <c r="Y1034" s="47"/>
      <c r="Z1034" s="47"/>
      <c r="AO1034"/>
      <c r="AP1034"/>
      <c r="AQ1034"/>
      <c r="AR1034" s="2" t="e">
        <f>VLOOKUP(CLEAN(H1034),#REF!,2,FALSE)</f>
        <v>#REF!</v>
      </c>
      <c r="AZ1034" s="2" t="e">
        <f>VLOOKUP(H1034,#REF!,2,FALSE)</f>
        <v>#REF!</v>
      </c>
      <c r="BP1034" s="293"/>
      <c r="BQ1034" s="2" t="e">
        <f>VLOOKUP(H1034,#REF!,13,FALSE)</f>
        <v>#REF!</v>
      </c>
    </row>
    <row r="1035" spans="1:70" ht="15" customHeight="1" outlineLevel="1">
      <c r="A1035" s="7"/>
      <c r="B1035" s="7"/>
      <c r="C1035" s="7"/>
      <c r="D1035" s="7"/>
      <c r="E1035" s="8"/>
      <c r="F1035" s="7"/>
      <c r="G1035" s="7"/>
      <c r="H1035" s="11"/>
      <c r="I1035" s="11"/>
      <c r="J1035" s="11"/>
      <c r="K1035" s="11"/>
      <c r="L1035" s="16" t="s">
        <v>214</v>
      </c>
      <c r="M1035" s="25">
        <f>M1033+M1005+M1009</f>
        <v>44268141487</v>
      </c>
      <c r="N1035" s="25">
        <f t="shared" ref="N1035:O1035" si="591">N1033+N1005+N1009</f>
        <v>12720732706</v>
      </c>
      <c r="O1035" s="25">
        <f t="shared" si="591"/>
        <v>13298375507.333334</v>
      </c>
      <c r="P1035" s="25">
        <f t="shared" ref="P1035:X1035" si="592">P1033+P1005+P1009</f>
        <v>45024120</v>
      </c>
      <c r="Q1035" s="25">
        <f t="shared" si="592"/>
        <v>0</v>
      </c>
      <c r="R1035" s="25">
        <f t="shared" si="592"/>
        <v>215515197</v>
      </c>
      <c r="S1035" s="25">
        <f t="shared" si="592"/>
        <v>260539317</v>
      </c>
      <c r="T1035" s="25">
        <f t="shared" si="592"/>
        <v>209764069</v>
      </c>
      <c r="U1035" s="25">
        <f t="shared" si="592"/>
        <v>450423027</v>
      </c>
      <c r="V1035" s="25">
        <f t="shared" si="592"/>
        <v>920726413</v>
      </c>
      <c r="W1035" s="25">
        <f t="shared" si="592"/>
        <v>12377649094.333334</v>
      </c>
      <c r="X1035" s="25">
        <f t="shared" si="592"/>
        <v>18249033273.666664</v>
      </c>
      <c r="Y1035" s="47"/>
      <c r="Z1035" s="47"/>
      <c r="AO1035"/>
      <c r="AP1035"/>
      <c r="AQ1035"/>
      <c r="AR1035" s="2" t="e">
        <f>VLOOKUP(CLEAN(H1035),#REF!,2,FALSE)</f>
        <v>#REF!</v>
      </c>
      <c r="AZ1035" s="2" t="e">
        <f>VLOOKUP(H1035,#REF!,2,FALSE)</f>
        <v>#REF!</v>
      </c>
      <c r="BP1035" s="1"/>
      <c r="BQ1035" s="2" t="e">
        <f>VLOOKUP(H1035,#REF!,13,FALSE)</f>
        <v>#REF!</v>
      </c>
    </row>
    <row r="1036" spans="1:70" ht="15" customHeight="1">
      <c r="A1036" s="7"/>
      <c r="B1036" s="7"/>
      <c r="C1036" s="7"/>
      <c r="D1036" s="7"/>
      <c r="E1036" s="7"/>
      <c r="F1036" s="7"/>
      <c r="G1036" s="7"/>
      <c r="H1036" s="11"/>
      <c r="I1036" s="11"/>
      <c r="J1036" s="11"/>
      <c r="K1036" s="11"/>
      <c r="L1036" s="296"/>
      <c r="M1036" s="30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49"/>
      <c r="Z1036" s="49"/>
      <c r="AO1036"/>
      <c r="AP1036"/>
      <c r="AQ1036"/>
      <c r="AR1036" s="2" t="e">
        <f>VLOOKUP(CLEAN(H1036),#REF!,2,FALSE)</f>
        <v>#REF!</v>
      </c>
      <c r="AZ1036" s="2" t="e">
        <f>VLOOKUP(H1036,#REF!,2,FALSE)</f>
        <v>#REF!</v>
      </c>
      <c r="BP1036" s="293"/>
      <c r="BQ1036" s="2" t="e">
        <f>VLOOKUP(H1036,#REF!,13,FALSE)</f>
        <v>#REF!</v>
      </c>
    </row>
    <row r="1037" spans="1:70" ht="15.75" customHeight="1">
      <c r="A1037" s="7"/>
      <c r="B1037" s="7"/>
      <c r="C1037" s="7"/>
      <c r="D1037" s="7"/>
      <c r="E1037" s="7"/>
      <c r="F1037" s="7"/>
      <c r="G1037" s="7"/>
      <c r="H1037" s="11"/>
      <c r="I1037" s="11"/>
      <c r="J1037" s="11"/>
      <c r="K1037" s="11"/>
      <c r="L1037" s="192" t="s">
        <v>216</v>
      </c>
      <c r="M1037" s="187">
        <f>M1035+M954+M927+M784+M499+M199</f>
        <v>511555556003.19678</v>
      </c>
      <c r="N1037" s="187">
        <f t="shared" ref="N1037:O1037" si="593">N1035+N954+N927+N784+N499+N199</f>
        <v>139888839892</v>
      </c>
      <c r="O1037" s="187">
        <f t="shared" si="593"/>
        <v>111036928003.14462</v>
      </c>
      <c r="P1037" s="187">
        <f>P1035+P954+P927+P784+P499+P199</f>
        <v>1565834672</v>
      </c>
      <c r="Q1037" s="187">
        <f>Q1035+Q954+Q927+Q784+Q499+Q199</f>
        <v>4018099064</v>
      </c>
      <c r="R1037" s="187">
        <f>R1035+R954+R927+R784+R499+R199</f>
        <v>7017538869</v>
      </c>
      <c r="S1037" s="187">
        <f t="shared" ref="S1037:U1037" si="594">S1035+S954+S927+S784+S499+S199</f>
        <v>12601472605</v>
      </c>
      <c r="T1037" s="187">
        <f t="shared" si="594"/>
        <v>6449020874</v>
      </c>
      <c r="U1037" s="187">
        <f t="shared" si="594"/>
        <v>7293396038</v>
      </c>
      <c r="V1037" s="187">
        <f>V1035+V954+V927+V784+V499+V199</f>
        <v>26343889517</v>
      </c>
      <c r="W1037" s="187">
        <f>W1035+W954+W927+W784+W499+W199</f>
        <v>84693038486.144623</v>
      </c>
      <c r="X1037" s="187">
        <f>X1035+X954+X927+X784+X499+X199</f>
        <v>260629788108.05212</v>
      </c>
      <c r="Y1037" s="47"/>
      <c r="Z1037" s="47"/>
      <c r="AO1037"/>
      <c r="AP1037"/>
      <c r="AQ1037"/>
      <c r="AR1037" s="2" t="e">
        <f>VLOOKUP(CLEAN(H1037),#REF!,2,FALSE)</f>
        <v>#REF!</v>
      </c>
      <c r="AZ1037" s="2" t="e">
        <f>VLOOKUP(H1037,#REF!,2,FALSE)</f>
        <v>#REF!</v>
      </c>
      <c r="BQ1037" s="2" t="e">
        <f>VLOOKUP(H1037,#REF!,13,FALSE)</f>
        <v>#REF!</v>
      </c>
    </row>
    <row r="1038" spans="1:70" ht="15" customHeight="1">
      <c r="L1038" s="296"/>
      <c r="M1038" s="30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49"/>
      <c r="Z1038" s="49"/>
      <c r="AO1038"/>
      <c r="AP1038"/>
      <c r="AQ1038"/>
      <c r="AR1038" s="2" t="e">
        <f>VLOOKUP(CLEAN(H1038),#REF!,2,FALSE)</f>
        <v>#REF!</v>
      </c>
      <c r="AZ1038" s="2" t="e">
        <f>VLOOKUP(H1038,#REF!,2,FALSE)</f>
        <v>#REF!</v>
      </c>
      <c r="BP1038" s="293"/>
    </row>
    <row r="1039" spans="1:70" ht="15" customHeight="1">
      <c r="L1039" s="296"/>
      <c r="M1039" s="30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49"/>
      <c r="Z1039" s="49"/>
      <c r="AO1039"/>
      <c r="AP1039"/>
      <c r="AQ1039"/>
      <c r="AR1039" s="2"/>
      <c r="AZ1039"/>
      <c r="BP1039" s="293"/>
    </row>
    <row r="1040" spans="1:70" ht="15" customHeight="1">
      <c r="L1040" s="296"/>
      <c r="M1040" s="30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49"/>
      <c r="Z1040" s="49"/>
      <c r="AO1040"/>
      <c r="AP1040"/>
      <c r="AQ1040"/>
      <c r="AR1040" s="2"/>
      <c r="AZ1040"/>
      <c r="BP1040" s="293"/>
    </row>
    <row r="1041" spans="12:68" ht="15" customHeight="1">
      <c r="L1041" s="296"/>
      <c r="M1041" s="30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49"/>
      <c r="Z1041" s="49"/>
      <c r="AO1041"/>
      <c r="AP1041"/>
      <c r="AQ1041"/>
      <c r="AZ1041"/>
      <c r="BP1041" s="293"/>
    </row>
    <row r="1042" spans="12:68" ht="15" customHeight="1">
      <c r="L1042" s="296"/>
      <c r="M1042" s="30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49"/>
      <c r="Z1042" s="49"/>
      <c r="AO1042"/>
      <c r="AP1042"/>
      <c r="AQ1042"/>
      <c r="AZ1042"/>
      <c r="BP1042" s="293"/>
    </row>
    <row r="1043" spans="12:68" ht="15" customHeight="1">
      <c r="L1043" s="296"/>
      <c r="M1043" s="30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49"/>
      <c r="Z1043" s="49"/>
      <c r="AO1043"/>
      <c r="AP1043"/>
      <c r="AQ1043"/>
      <c r="AZ1043"/>
      <c r="BP1043" s="293"/>
    </row>
    <row r="1044" spans="12:68" ht="15" customHeight="1">
      <c r="L1044" s="296"/>
      <c r="M1044" s="30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49"/>
      <c r="Z1044" s="49"/>
      <c r="AO1044"/>
      <c r="AP1044"/>
      <c r="AQ1044"/>
      <c r="AZ1044"/>
      <c r="BP1044" s="293"/>
    </row>
    <row r="1045" spans="12:68" ht="15" customHeight="1">
      <c r="L1045" s="296"/>
      <c r="M1045" s="30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49"/>
      <c r="Z1045" s="49"/>
      <c r="AO1045"/>
      <c r="AP1045"/>
      <c r="AQ1045"/>
      <c r="AZ1045"/>
      <c r="BP1045" s="293"/>
    </row>
    <row r="1046" spans="12:68" ht="15" customHeight="1">
      <c r="L1046" s="296"/>
      <c r="M1046" s="30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49"/>
      <c r="Z1046" s="49"/>
      <c r="AO1046"/>
      <c r="AP1046"/>
      <c r="AQ1046"/>
      <c r="AZ1046"/>
      <c r="BP1046" s="293"/>
    </row>
    <row r="1047" spans="12:68" ht="15" customHeight="1">
      <c r="L1047" s="296"/>
      <c r="M1047" s="30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49"/>
      <c r="Z1047" s="49"/>
      <c r="AO1047"/>
      <c r="AP1047"/>
      <c r="AQ1047"/>
      <c r="AZ1047"/>
      <c r="BP1047" s="293"/>
    </row>
    <row r="1048" spans="12:68" ht="15" customHeight="1">
      <c r="L1048" s="296"/>
      <c r="M1048" s="30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49"/>
      <c r="Z1048" s="49"/>
      <c r="AO1048"/>
      <c r="AP1048"/>
      <c r="AQ1048"/>
      <c r="AZ1048"/>
      <c r="BP1048" s="293"/>
    </row>
    <row r="1049" spans="12:68" ht="15" customHeight="1">
      <c r="L1049" s="296"/>
      <c r="M1049" s="30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49"/>
      <c r="Z1049" s="49"/>
      <c r="AO1049"/>
      <c r="AP1049"/>
      <c r="AQ1049"/>
      <c r="AZ1049"/>
      <c r="BP1049" s="293"/>
    </row>
    <row r="1050" spans="12:68" ht="15" customHeight="1">
      <c r="L1050" s="296"/>
      <c r="M1050" s="30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49"/>
      <c r="Z1050" s="49"/>
      <c r="AO1050"/>
      <c r="AP1050"/>
      <c r="AQ1050"/>
      <c r="AZ1050"/>
      <c r="BP1050" s="293"/>
    </row>
    <row r="1051" spans="12:68" ht="15" customHeight="1">
      <c r="L1051" s="296"/>
      <c r="M1051" s="30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49"/>
      <c r="Z1051" s="49"/>
      <c r="AO1051"/>
      <c r="AP1051"/>
      <c r="AQ1051"/>
      <c r="AZ1051"/>
      <c r="BP1051" s="293"/>
    </row>
    <row r="1052" spans="12:68" ht="15" customHeight="1">
      <c r="L1052" s="296"/>
      <c r="M1052" s="30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49"/>
      <c r="Z1052" s="49"/>
      <c r="AO1052"/>
      <c r="AP1052"/>
      <c r="AQ1052"/>
      <c r="AZ1052"/>
      <c r="BP1052" s="293"/>
    </row>
    <row r="1053" spans="12:68" ht="15" customHeight="1">
      <c r="L1053" s="296"/>
      <c r="M1053" s="30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49"/>
      <c r="Z1053" s="49"/>
      <c r="AO1053"/>
      <c r="AP1053"/>
      <c r="AQ1053"/>
      <c r="AZ1053"/>
      <c r="BP1053" s="293"/>
    </row>
    <row r="1054" spans="12:68" ht="15" customHeight="1">
      <c r="L1054" s="296"/>
      <c r="M1054" s="30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49"/>
      <c r="Z1054" s="49"/>
      <c r="AO1054"/>
      <c r="AP1054"/>
      <c r="AQ1054"/>
      <c r="AZ1054"/>
      <c r="BP1054" s="293"/>
    </row>
    <row r="1055" spans="12:68" ht="15" customHeight="1">
      <c r="L1055" s="296"/>
      <c r="M1055" s="30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49"/>
      <c r="Z1055" s="49"/>
      <c r="AO1055"/>
      <c r="AP1055"/>
      <c r="AQ1055"/>
      <c r="AZ1055"/>
      <c r="BP1055" s="293"/>
    </row>
    <row r="1056" spans="12:68" ht="15" customHeight="1">
      <c r="L1056" s="296"/>
      <c r="M1056" s="30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49"/>
      <c r="Z1056" s="49"/>
      <c r="AO1056"/>
      <c r="AP1056"/>
      <c r="AQ1056"/>
      <c r="AZ1056"/>
      <c r="BP1056" s="293"/>
    </row>
    <row r="1057" spans="12:68" ht="15" customHeight="1">
      <c r="L1057" s="296"/>
      <c r="M1057" s="30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49"/>
      <c r="Z1057" s="49"/>
      <c r="AO1057"/>
      <c r="AP1057"/>
      <c r="AQ1057"/>
      <c r="AZ1057"/>
      <c r="BP1057" s="293"/>
    </row>
    <row r="1058" spans="12:68" ht="15" customHeight="1">
      <c r="L1058" s="296"/>
      <c r="M1058" s="30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49"/>
      <c r="Z1058" s="49"/>
      <c r="AO1058"/>
      <c r="AP1058"/>
      <c r="AQ1058"/>
      <c r="AZ1058"/>
      <c r="BP1058" s="293"/>
    </row>
    <row r="1059" spans="12:68" ht="15" customHeight="1">
      <c r="L1059" s="296"/>
      <c r="M1059" s="30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49"/>
      <c r="Z1059" s="49"/>
      <c r="AO1059"/>
      <c r="AP1059"/>
      <c r="AQ1059"/>
      <c r="AZ1059"/>
      <c r="BP1059" s="293"/>
    </row>
    <row r="1060" spans="12:68" ht="15" customHeight="1">
      <c r="L1060" s="296"/>
      <c r="M1060" s="30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49"/>
      <c r="Z1060" s="49"/>
      <c r="AO1060"/>
      <c r="AP1060"/>
      <c r="AQ1060"/>
      <c r="AZ1060"/>
      <c r="BP1060" s="293"/>
    </row>
    <row r="1061" spans="12:68" ht="15" customHeight="1">
      <c r="L1061" s="296"/>
      <c r="M1061" s="30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49"/>
      <c r="Z1061" s="49"/>
      <c r="AO1061"/>
      <c r="AP1061"/>
      <c r="AQ1061"/>
      <c r="AZ1061"/>
      <c r="BP1061" s="293"/>
    </row>
    <row r="1062" spans="12:68" ht="15" customHeight="1">
      <c r="L1062" s="296"/>
      <c r="M1062" s="30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49"/>
      <c r="Z1062" s="49"/>
      <c r="AO1062"/>
      <c r="AP1062"/>
      <c r="AQ1062"/>
      <c r="AZ1062"/>
      <c r="BP1062" s="293"/>
    </row>
    <row r="1063" spans="12:68" ht="15" customHeight="1">
      <c r="L1063" s="296"/>
      <c r="M1063" s="30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49"/>
      <c r="Z1063" s="49"/>
      <c r="AO1063"/>
      <c r="AP1063"/>
      <c r="AQ1063"/>
      <c r="AZ1063"/>
      <c r="BP1063" s="293"/>
    </row>
    <row r="1064" spans="12:68" ht="15" customHeight="1">
      <c r="L1064" s="296"/>
      <c r="M1064" s="30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49"/>
      <c r="Z1064" s="49"/>
      <c r="AO1064"/>
      <c r="AP1064"/>
      <c r="AQ1064"/>
      <c r="AZ1064"/>
      <c r="BP1064" s="293"/>
    </row>
    <row r="1065" spans="12:68" ht="15" customHeight="1">
      <c r="L1065" s="296"/>
      <c r="M1065" s="30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49"/>
      <c r="Z1065" s="49"/>
      <c r="AO1065"/>
      <c r="AP1065"/>
      <c r="AQ1065"/>
      <c r="AZ1065"/>
      <c r="BP1065" s="293"/>
    </row>
    <row r="1066" spans="12:68" ht="15" customHeight="1">
      <c r="L1066" s="296"/>
      <c r="M1066" s="30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49"/>
      <c r="Z1066" s="49"/>
      <c r="AO1066"/>
      <c r="AP1066"/>
      <c r="AQ1066"/>
      <c r="AZ1066"/>
      <c r="BP1066" s="293"/>
    </row>
    <row r="1067" spans="12:68" ht="15" customHeight="1">
      <c r="L1067" s="296"/>
      <c r="M1067" s="30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49"/>
      <c r="Z1067" s="49"/>
      <c r="AO1067"/>
      <c r="AP1067"/>
      <c r="AQ1067"/>
      <c r="AZ1067"/>
      <c r="BP1067" s="293"/>
    </row>
    <row r="1068" spans="12:68" ht="15" customHeight="1">
      <c r="L1068" s="296"/>
      <c r="M1068" s="30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49"/>
      <c r="Z1068" s="49"/>
      <c r="AO1068"/>
      <c r="AP1068"/>
      <c r="AQ1068"/>
      <c r="AZ1068"/>
      <c r="BP1068" s="293"/>
    </row>
    <row r="1069" spans="12:68" ht="15" customHeight="1">
      <c r="L1069" s="296"/>
      <c r="M1069" s="30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49"/>
      <c r="Z1069" s="49"/>
      <c r="AO1069"/>
      <c r="AP1069"/>
      <c r="AQ1069"/>
      <c r="AZ1069"/>
      <c r="BP1069" s="293"/>
    </row>
    <row r="1070" spans="12:68" ht="15" customHeight="1">
      <c r="L1070" s="296"/>
      <c r="M1070" s="30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49"/>
      <c r="Z1070" s="49"/>
      <c r="AO1070"/>
      <c r="AP1070"/>
      <c r="AQ1070"/>
      <c r="AZ1070"/>
      <c r="BP1070" s="293"/>
    </row>
    <row r="1071" spans="12:68" ht="15" customHeight="1">
      <c r="L1071" s="296"/>
      <c r="M1071" s="30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49"/>
      <c r="Z1071" s="49"/>
      <c r="AO1071"/>
      <c r="AP1071"/>
      <c r="AQ1071"/>
      <c r="AZ1071"/>
      <c r="BP1071" s="293"/>
    </row>
    <row r="1072" spans="12:68" ht="15" customHeight="1">
      <c r="L1072" s="296"/>
      <c r="M1072" s="30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49"/>
      <c r="Z1072" s="49"/>
      <c r="AO1072"/>
      <c r="AP1072"/>
      <c r="AQ1072"/>
      <c r="AZ1072"/>
      <c r="BP1072" s="293"/>
    </row>
    <row r="1073" spans="12:68" ht="15" customHeight="1">
      <c r="L1073" s="296"/>
      <c r="M1073" s="30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49"/>
      <c r="Z1073" s="49"/>
      <c r="AO1073"/>
      <c r="AP1073"/>
      <c r="AQ1073"/>
      <c r="AZ1073"/>
      <c r="BP1073" s="293"/>
    </row>
    <row r="1074" spans="12:68" ht="15" customHeight="1">
      <c r="L1074" s="296"/>
      <c r="M1074" s="30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49"/>
      <c r="Z1074" s="49"/>
      <c r="AO1074"/>
      <c r="AP1074"/>
      <c r="AQ1074"/>
      <c r="AZ1074"/>
      <c r="BP1074" s="293"/>
    </row>
    <row r="1075" spans="12:68" ht="15" customHeight="1">
      <c r="L1075" s="296"/>
      <c r="M1075" s="30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49"/>
      <c r="Z1075" s="49"/>
      <c r="AO1075"/>
      <c r="AP1075"/>
      <c r="AQ1075"/>
      <c r="AZ1075"/>
      <c r="BP1075" s="293"/>
    </row>
    <row r="1076" spans="12:68" ht="15" customHeight="1">
      <c r="L1076" s="296"/>
      <c r="M1076" s="30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49"/>
      <c r="Z1076" s="49"/>
      <c r="AO1076"/>
      <c r="AP1076"/>
      <c r="AQ1076"/>
      <c r="AZ1076"/>
      <c r="BP1076" s="293"/>
    </row>
    <row r="1077" spans="12:68" ht="15" customHeight="1">
      <c r="L1077" s="296"/>
      <c r="M1077" s="30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49"/>
      <c r="Z1077" s="49"/>
      <c r="AO1077"/>
      <c r="AP1077"/>
      <c r="AQ1077"/>
      <c r="AZ1077"/>
      <c r="BP1077" s="293"/>
    </row>
    <row r="1078" spans="12:68" ht="15" customHeight="1">
      <c r="L1078" s="296"/>
      <c r="M1078" s="30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49"/>
      <c r="Z1078" s="49"/>
      <c r="AO1078"/>
      <c r="AP1078"/>
      <c r="AQ1078"/>
      <c r="AZ1078"/>
      <c r="BP1078" s="293"/>
    </row>
    <row r="1079" spans="12:68" ht="15" customHeight="1">
      <c r="L1079" s="296"/>
      <c r="M1079" s="30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49"/>
      <c r="Z1079" s="49"/>
      <c r="AO1079"/>
      <c r="AP1079"/>
      <c r="AQ1079"/>
      <c r="AZ1079"/>
      <c r="BP1079" s="293"/>
    </row>
    <row r="1080" spans="12:68" ht="15" customHeight="1">
      <c r="L1080" s="296"/>
      <c r="M1080" s="30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49"/>
      <c r="Z1080" s="49"/>
      <c r="AO1080"/>
      <c r="AP1080"/>
      <c r="AQ1080"/>
      <c r="AZ1080"/>
      <c r="BP1080" s="293"/>
    </row>
    <row r="1081" spans="12:68" ht="15" customHeight="1">
      <c r="L1081" s="296"/>
      <c r="M1081" s="30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49"/>
      <c r="Z1081" s="49"/>
      <c r="AO1081"/>
      <c r="AP1081"/>
      <c r="AQ1081"/>
      <c r="AZ1081"/>
      <c r="BP1081" s="293"/>
    </row>
    <row r="1082" spans="12:68" ht="15" customHeight="1">
      <c r="L1082" s="296"/>
      <c r="M1082" s="30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49"/>
      <c r="Z1082" s="49"/>
      <c r="AO1082"/>
      <c r="AP1082"/>
      <c r="AQ1082"/>
      <c r="AZ1082"/>
      <c r="BP1082" s="293"/>
    </row>
    <row r="1083" spans="12:68" ht="15" customHeight="1">
      <c r="L1083" s="296"/>
      <c r="M1083" s="30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49"/>
      <c r="Z1083" s="49"/>
      <c r="AO1083"/>
      <c r="AP1083"/>
      <c r="AQ1083"/>
      <c r="AZ1083"/>
      <c r="BP1083" s="293"/>
    </row>
    <row r="1084" spans="12:68" ht="15" customHeight="1">
      <c r="L1084" s="296"/>
      <c r="M1084" s="30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49"/>
      <c r="Z1084" s="49"/>
      <c r="AO1084"/>
      <c r="AP1084"/>
      <c r="AQ1084"/>
      <c r="AZ1084"/>
      <c r="BP1084" s="293"/>
    </row>
    <row r="1085" spans="12:68" ht="15" customHeight="1">
      <c r="L1085" s="296"/>
      <c r="M1085" s="30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49"/>
      <c r="Z1085" s="49"/>
      <c r="AO1085"/>
      <c r="AP1085"/>
      <c r="AQ1085"/>
      <c r="AZ1085"/>
      <c r="BP1085" s="293"/>
    </row>
    <row r="1086" spans="12:68" ht="15" customHeight="1">
      <c r="L1086" s="296"/>
      <c r="M1086" s="30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49"/>
      <c r="Z1086" s="49"/>
      <c r="AO1086"/>
      <c r="AP1086"/>
      <c r="AQ1086"/>
      <c r="AZ1086"/>
      <c r="BP1086" s="293"/>
    </row>
    <row r="1087" spans="12:68" ht="15" customHeight="1">
      <c r="L1087" s="296"/>
      <c r="M1087" s="30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49"/>
      <c r="Z1087" s="49"/>
      <c r="AO1087"/>
      <c r="AP1087"/>
      <c r="AQ1087"/>
      <c r="AZ1087"/>
      <c r="BP1087" s="293"/>
    </row>
    <row r="1088" spans="12:68" ht="15" customHeight="1">
      <c r="L1088" s="296"/>
      <c r="M1088" s="30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49"/>
      <c r="Z1088" s="49"/>
      <c r="AO1088"/>
      <c r="AP1088"/>
      <c r="AQ1088"/>
      <c r="AZ1088"/>
      <c r="BP1088" s="293"/>
    </row>
    <row r="1089" spans="12:68" ht="15" customHeight="1">
      <c r="L1089" s="296"/>
      <c r="M1089" s="30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49"/>
      <c r="Z1089" s="49"/>
      <c r="AO1089"/>
      <c r="AP1089"/>
      <c r="AQ1089"/>
      <c r="AZ1089"/>
      <c r="BP1089" s="293"/>
    </row>
    <row r="1090" spans="12:68" ht="15" customHeight="1">
      <c r="L1090" s="296"/>
      <c r="M1090" s="30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49"/>
      <c r="Z1090" s="49"/>
      <c r="AO1090"/>
      <c r="AP1090"/>
      <c r="AQ1090"/>
      <c r="AZ1090"/>
      <c r="BP1090" s="293"/>
    </row>
    <row r="1091" spans="12:68" ht="15" customHeight="1">
      <c r="L1091" s="296"/>
      <c r="M1091" s="30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49"/>
      <c r="Z1091" s="49"/>
      <c r="AO1091"/>
      <c r="AP1091"/>
      <c r="AQ1091"/>
      <c r="AZ1091"/>
      <c r="BP1091" s="293"/>
    </row>
    <row r="1092" spans="12:68" ht="15" customHeight="1">
      <c r="L1092" s="296"/>
      <c r="M1092" s="30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49"/>
      <c r="Z1092" s="49"/>
      <c r="AO1092"/>
      <c r="AP1092"/>
      <c r="AQ1092"/>
      <c r="AZ1092"/>
      <c r="BP1092" s="293"/>
    </row>
    <row r="1093" spans="12:68" ht="15" customHeight="1">
      <c r="L1093" s="296"/>
      <c r="M1093" s="30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49"/>
      <c r="Z1093" s="49"/>
      <c r="AO1093"/>
      <c r="AP1093"/>
      <c r="AQ1093"/>
      <c r="AZ1093"/>
      <c r="BP1093" s="293"/>
    </row>
    <row r="1094" spans="12:68" ht="15" customHeight="1">
      <c r="L1094" s="296"/>
      <c r="M1094" s="30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49"/>
      <c r="Z1094" s="49"/>
      <c r="AO1094"/>
      <c r="AP1094"/>
      <c r="AQ1094"/>
      <c r="AZ1094"/>
      <c r="BP1094" s="293"/>
    </row>
    <row r="1095" spans="12:68" ht="15" customHeight="1">
      <c r="L1095" s="296"/>
      <c r="M1095" s="30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49"/>
      <c r="Z1095" s="49"/>
      <c r="AO1095"/>
      <c r="AP1095"/>
      <c r="AQ1095"/>
      <c r="AZ1095"/>
      <c r="BP1095" s="293"/>
    </row>
    <row r="1096" spans="12:68" ht="15" customHeight="1">
      <c r="L1096" s="296"/>
      <c r="M1096" s="30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49"/>
      <c r="Z1096" s="49"/>
      <c r="AO1096"/>
      <c r="AP1096"/>
      <c r="AQ1096"/>
      <c r="AZ1096"/>
      <c r="BP1096" s="293"/>
    </row>
    <row r="1097" spans="12:68" ht="15" customHeight="1">
      <c r="L1097" s="296"/>
      <c r="M1097" s="30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49"/>
      <c r="Z1097" s="49"/>
      <c r="AO1097"/>
      <c r="AP1097"/>
      <c r="AQ1097"/>
      <c r="AZ1097"/>
      <c r="BP1097" s="293"/>
    </row>
    <row r="1098" spans="12:68" ht="15" customHeight="1">
      <c r="L1098" s="296"/>
      <c r="M1098" s="30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49"/>
      <c r="Z1098" s="49"/>
      <c r="AO1098"/>
      <c r="AP1098"/>
      <c r="AQ1098"/>
      <c r="AZ1098"/>
      <c r="BP1098" s="293"/>
    </row>
    <row r="1099" spans="12:68" ht="15" customHeight="1">
      <c r="L1099" s="296"/>
      <c r="M1099" s="30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49"/>
      <c r="Z1099" s="49"/>
      <c r="AO1099"/>
      <c r="AP1099"/>
      <c r="AQ1099"/>
      <c r="AZ1099"/>
      <c r="BP1099" s="293"/>
    </row>
    <row r="1100" spans="12:68" ht="15" customHeight="1">
      <c r="L1100" s="296"/>
      <c r="M1100" s="30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49"/>
      <c r="Z1100" s="49"/>
      <c r="AO1100"/>
      <c r="AP1100"/>
      <c r="AQ1100"/>
      <c r="AZ1100"/>
      <c r="BP1100" s="293"/>
    </row>
    <row r="1101" spans="12:68" ht="15" customHeight="1">
      <c r="L1101" s="296"/>
      <c r="M1101" s="30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49"/>
      <c r="Z1101" s="49"/>
      <c r="AO1101"/>
      <c r="AP1101"/>
      <c r="AQ1101"/>
      <c r="AZ1101"/>
      <c r="BP1101" s="293"/>
    </row>
    <row r="1102" spans="12:68" ht="15" customHeight="1">
      <c r="L1102" s="296"/>
      <c r="M1102" s="30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49"/>
      <c r="Z1102" s="49"/>
      <c r="AO1102"/>
      <c r="AP1102"/>
      <c r="AQ1102"/>
      <c r="AZ1102"/>
      <c r="BP1102" s="293"/>
    </row>
    <row r="1103" spans="12:68" ht="15" customHeight="1">
      <c r="L1103" s="296"/>
      <c r="M1103" s="30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49"/>
      <c r="Z1103" s="49"/>
      <c r="AO1103"/>
      <c r="AP1103"/>
      <c r="AQ1103"/>
      <c r="AZ1103"/>
      <c r="BP1103" s="293"/>
    </row>
    <row r="1104" spans="12:68" ht="15" customHeight="1">
      <c r="L1104" s="296"/>
      <c r="M1104" s="30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49"/>
      <c r="Z1104" s="49"/>
      <c r="AO1104"/>
      <c r="AP1104"/>
      <c r="AQ1104"/>
      <c r="AZ1104"/>
      <c r="BP1104" s="293"/>
    </row>
    <row r="1105" spans="12:68" ht="15" customHeight="1">
      <c r="L1105" s="296"/>
      <c r="M1105" s="30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49"/>
      <c r="Z1105" s="49"/>
      <c r="AO1105"/>
      <c r="AP1105"/>
      <c r="AQ1105"/>
      <c r="AZ1105"/>
      <c r="BP1105" s="293"/>
    </row>
    <row r="1106" spans="12:68" ht="15" customHeight="1">
      <c r="L1106" s="296"/>
      <c r="M1106" s="30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49"/>
      <c r="Z1106" s="49"/>
      <c r="AO1106"/>
      <c r="AP1106"/>
      <c r="AQ1106"/>
      <c r="AZ1106"/>
      <c r="BP1106" s="293"/>
    </row>
    <row r="1107" spans="12:68" ht="15" customHeight="1">
      <c r="L1107" s="296"/>
      <c r="M1107" s="30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49"/>
      <c r="Z1107" s="49"/>
      <c r="AO1107"/>
      <c r="AP1107"/>
      <c r="AQ1107"/>
      <c r="AZ1107"/>
      <c r="BP1107" s="293"/>
    </row>
    <row r="1108" spans="12:68" ht="15" customHeight="1">
      <c r="L1108" s="296"/>
      <c r="M1108" s="30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49"/>
      <c r="Z1108" s="49"/>
      <c r="AO1108"/>
      <c r="AP1108"/>
      <c r="AQ1108"/>
      <c r="AZ1108"/>
      <c r="BP1108" s="293"/>
    </row>
    <row r="1109" spans="12:68" ht="15" customHeight="1">
      <c r="L1109" s="296"/>
      <c r="M1109" s="30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49"/>
      <c r="Z1109" s="49"/>
      <c r="AO1109"/>
      <c r="AP1109"/>
      <c r="AQ1109"/>
      <c r="AZ1109"/>
      <c r="BP1109" s="293"/>
    </row>
    <row r="1110" spans="12:68" ht="15" customHeight="1">
      <c r="L1110" s="296"/>
      <c r="M1110" s="30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49"/>
      <c r="Z1110" s="49"/>
      <c r="AO1110"/>
      <c r="AP1110"/>
      <c r="AQ1110"/>
      <c r="AZ1110"/>
      <c r="BP1110" s="293"/>
    </row>
    <row r="1111" spans="12:68" ht="15" customHeight="1">
      <c r="L1111" s="296"/>
      <c r="M1111" s="30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49"/>
      <c r="Z1111" s="49"/>
      <c r="AO1111"/>
      <c r="AP1111"/>
      <c r="AQ1111"/>
      <c r="AZ1111"/>
      <c r="BP1111" s="293"/>
    </row>
    <row r="1112" spans="12:68" ht="15" customHeight="1">
      <c r="L1112" s="296"/>
      <c r="M1112" s="30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49"/>
      <c r="Z1112" s="49"/>
      <c r="AO1112"/>
      <c r="AP1112"/>
      <c r="AQ1112"/>
      <c r="AZ1112"/>
      <c r="BP1112" s="293"/>
    </row>
    <row r="1113" spans="12:68" ht="15" customHeight="1">
      <c r="L1113" s="296"/>
      <c r="M1113" s="30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49"/>
      <c r="Z1113" s="49"/>
      <c r="AO1113"/>
      <c r="AP1113"/>
      <c r="AQ1113"/>
      <c r="AZ1113"/>
      <c r="BP1113" s="293"/>
    </row>
    <row r="1114" spans="12:68" ht="15" customHeight="1">
      <c r="L1114" s="296"/>
      <c r="M1114" s="30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49"/>
      <c r="Z1114" s="49"/>
      <c r="AO1114"/>
      <c r="AP1114"/>
      <c r="AQ1114"/>
      <c r="AZ1114"/>
      <c r="BP1114" s="293"/>
    </row>
    <row r="1115" spans="12:68" ht="15" customHeight="1">
      <c r="L1115" s="296"/>
      <c r="M1115" s="30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49"/>
      <c r="Z1115" s="49"/>
      <c r="AO1115"/>
      <c r="AP1115"/>
      <c r="AQ1115"/>
      <c r="AZ1115"/>
      <c r="BP1115" s="293"/>
    </row>
    <row r="1116" spans="12:68" ht="15" customHeight="1">
      <c r="L1116" s="296"/>
      <c r="M1116" s="30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49"/>
      <c r="Z1116" s="49"/>
      <c r="AO1116"/>
      <c r="AP1116"/>
      <c r="AQ1116"/>
      <c r="AZ1116"/>
      <c r="BP1116" s="293"/>
    </row>
    <row r="1117" spans="12:68" ht="15" customHeight="1">
      <c r="L1117" s="296"/>
      <c r="M1117" s="30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49"/>
      <c r="Z1117" s="49"/>
      <c r="AO1117"/>
      <c r="AP1117"/>
      <c r="AQ1117"/>
      <c r="AZ1117"/>
      <c r="BP1117" s="293"/>
    </row>
    <row r="1118" spans="12:68" ht="15" customHeight="1">
      <c r="L1118" s="296"/>
      <c r="M1118" s="30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49"/>
      <c r="Z1118" s="49"/>
      <c r="AO1118"/>
      <c r="AP1118"/>
      <c r="AQ1118"/>
      <c r="AZ1118"/>
      <c r="BP1118" s="293"/>
    </row>
    <row r="1119" spans="12:68" ht="15" customHeight="1">
      <c r="L1119" s="296"/>
      <c r="M1119" s="30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49"/>
      <c r="Z1119" s="49"/>
      <c r="AO1119"/>
      <c r="AP1119"/>
      <c r="AQ1119"/>
      <c r="AZ1119"/>
      <c r="BP1119" s="293"/>
    </row>
    <row r="1120" spans="12:68" ht="15" customHeight="1">
      <c r="L1120" s="296"/>
      <c r="M1120" s="30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49"/>
      <c r="Z1120" s="49"/>
      <c r="AO1120"/>
      <c r="AP1120"/>
      <c r="AQ1120"/>
      <c r="AZ1120"/>
      <c r="BP1120" s="293"/>
    </row>
    <row r="1121" spans="12:68" ht="15" customHeight="1">
      <c r="L1121" s="296"/>
      <c r="M1121" s="30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49"/>
      <c r="Z1121" s="49"/>
      <c r="AO1121"/>
      <c r="AP1121"/>
      <c r="AQ1121"/>
      <c r="AZ1121"/>
      <c r="BP1121" s="293"/>
    </row>
    <row r="1122" spans="12:68" ht="15" customHeight="1">
      <c r="L1122" s="296"/>
      <c r="M1122" s="30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49"/>
      <c r="Z1122" s="49"/>
      <c r="AO1122"/>
      <c r="AP1122"/>
      <c r="AQ1122"/>
      <c r="AZ1122"/>
      <c r="BP1122" s="293"/>
    </row>
    <row r="1123" spans="12:68" ht="15" customHeight="1">
      <c r="L1123" s="296"/>
      <c r="M1123" s="30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49"/>
      <c r="Z1123" s="49"/>
      <c r="AO1123"/>
      <c r="AP1123"/>
      <c r="AQ1123"/>
      <c r="AZ1123"/>
      <c r="BP1123" s="293"/>
    </row>
    <row r="1124" spans="12:68" ht="15" customHeight="1">
      <c r="L1124" s="296"/>
      <c r="M1124" s="30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49"/>
      <c r="Z1124" s="49"/>
      <c r="AO1124"/>
      <c r="AP1124"/>
      <c r="AQ1124"/>
      <c r="AZ1124"/>
      <c r="BP1124" s="293"/>
    </row>
    <row r="1125" spans="12:68" ht="15" customHeight="1">
      <c r="L1125" s="296"/>
      <c r="M1125" s="30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49"/>
      <c r="Z1125" s="49"/>
      <c r="AO1125"/>
      <c r="AP1125"/>
      <c r="AQ1125"/>
      <c r="AZ1125"/>
      <c r="BP1125" s="293"/>
    </row>
    <row r="1126" spans="12:68" ht="15" customHeight="1">
      <c r="L1126" s="296"/>
      <c r="M1126" s="30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49"/>
      <c r="Z1126" s="49"/>
      <c r="AO1126"/>
      <c r="AP1126"/>
      <c r="AQ1126"/>
      <c r="AZ1126"/>
      <c r="BP1126" s="293"/>
    </row>
    <row r="1127" spans="12:68" ht="15" customHeight="1">
      <c r="L1127" s="296"/>
      <c r="M1127" s="30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49"/>
      <c r="Z1127" s="49"/>
      <c r="AO1127"/>
      <c r="AP1127"/>
      <c r="AQ1127"/>
      <c r="AZ1127"/>
      <c r="BP1127" s="293"/>
    </row>
    <row r="1128" spans="12:68" ht="15" customHeight="1">
      <c r="L1128" s="296"/>
      <c r="M1128" s="30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49"/>
      <c r="Z1128" s="49"/>
      <c r="AO1128"/>
      <c r="AP1128"/>
      <c r="AQ1128"/>
      <c r="AZ1128"/>
      <c r="BP1128" s="293"/>
    </row>
    <row r="1129" spans="12:68" ht="15" customHeight="1">
      <c r="L1129" s="296"/>
      <c r="M1129" s="30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49"/>
      <c r="Z1129" s="49"/>
      <c r="AO1129"/>
      <c r="AP1129"/>
      <c r="AQ1129"/>
      <c r="AZ1129"/>
      <c r="BP1129" s="293"/>
    </row>
    <row r="1130" spans="12:68" ht="15" customHeight="1">
      <c r="L1130" s="296"/>
      <c r="M1130" s="30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49"/>
      <c r="Z1130" s="49"/>
      <c r="AO1130"/>
      <c r="AP1130"/>
      <c r="AQ1130"/>
      <c r="AZ1130"/>
      <c r="BP1130" s="293"/>
    </row>
    <row r="1131" spans="12:68" ht="15" customHeight="1">
      <c r="L1131" s="296"/>
      <c r="M1131" s="30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49"/>
      <c r="Z1131" s="49"/>
      <c r="AO1131"/>
      <c r="AP1131"/>
      <c r="AQ1131"/>
      <c r="AZ1131"/>
      <c r="BP1131" s="293"/>
    </row>
    <row r="1132" spans="12:68" ht="15" customHeight="1">
      <c r="L1132" s="296"/>
      <c r="M1132" s="30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49"/>
      <c r="Z1132" s="49"/>
      <c r="AO1132"/>
      <c r="AP1132"/>
      <c r="AQ1132"/>
      <c r="AZ1132"/>
      <c r="BP1132" s="293"/>
    </row>
    <row r="1133" spans="12:68" ht="15" customHeight="1">
      <c r="L1133" s="296"/>
      <c r="M1133" s="30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49"/>
      <c r="Z1133" s="49"/>
      <c r="AO1133"/>
      <c r="AP1133"/>
      <c r="AQ1133"/>
      <c r="AZ1133"/>
      <c r="BP1133" s="293"/>
    </row>
    <row r="1134" spans="12:68" ht="15" customHeight="1">
      <c r="L1134" s="296"/>
      <c r="M1134" s="30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49"/>
      <c r="Z1134" s="49"/>
      <c r="AO1134"/>
      <c r="AP1134"/>
      <c r="AQ1134"/>
      <c r="AZ1134"/>
      <c r="BP1134" s="293"/>
    </row>
    <row r="1135" spans="12:68" ht="15" customHeight="1">
      <c r="L1135" s="296"/>
      <c r="M1135" s="30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49"/>
      <c r="Z1135" s="49"/>
      <c r="AO1135"/>
      <c r="AP1135"/>
      <c r="AQ1135"/>
      <c r="AZ1135"/>
      <c r="BP1135" s="293"/>
    </row>
    <row r="1136" spans="12:68" ht="15" customHeight="1">
      <c r="L1136" s="296"/>
      <c r="M1136" s="30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49"/>
      <c r="Z1136" s="49"/>
      <c r="AO1136"/>
      <c r="AP1136"/>
      <c r="AQ1136"/>
      <c r="AZ1136"/>
      <c r="BP1136" s="293"/>
    </row>
    <row r="1137" spans="12:68" ht="15" customHeight="1">
      <c r="L1137" s="296"/>
      <c r="M1137" s="30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49"/>
      <c r="Z1137" s="49"/>
      <c r="AO1137"/>
      <c r="AP1137"/>
      <c r="AQ1137"/>
      <c r="AZ1137"/>
      <c r="BP1137" s="293"/>
    </row>
    <row r="1138" spans="12:68" ht="15" customHeight="1">
      <c r="L1138" s="296"/>
      <c r="M1138" s="30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49"/>
      <c r="Z1138" s="49"/>
      <c r="AO1138"/>
      <c r="AP1138"/>
      <c r="AQ1138"/>
      <c r="AZ1138"/>
      <c r="BP1138" s="293"/>
    </row>
    <row r="1139" spans="12:68" ht="15" customHeight="1">
      <c r="L1139" s="296"/>
      <c r="M1139" s="30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49"/>
      <c r="Z1139" s="49"/>
      <c r="AO1139"/>
      <c r="AP1139"/>
      <c r="AQ1139"/>
      <c r="AZ1139"/>
      <c r="BP1139" s="293"/>
    </row>
    <row r="1140" spans="12:68" ht="15" customHeight="1">
      <c r="L1140" s="296"/>
      <c r="M1140" s="30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49"/>
      <c r="Z1140" s="49"/>
      <c r="AO1140"/>
      <c r="AP1140"/>
      <c r="AQ1140"/>
      <c r="AZ1140"/>
      <c r="BP1140" s="293"/>
    </row>
    <row r="1141" spans="12:68" ht="15" customHeight="1">
      <c r="L1141" s="296"/>
      <c r="M1141" s="30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49"/>
      <c r="Z1141" s="49"/>
      <c r="AO1141"/>
      <c r="AP1141"/>
      <c r="AQ1141"/>
      <c r="AZ1141"/>
      <c r="BP1141" s="293"/>
    </row>
    <row r="1142" spans="12:68" ht="15" customHeight="1">
      <c r="L1142" s="296"/>
      <c r="M1142" s="30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49"/>
      <c r="Z1142" s="49"/>
      <c r="AO1142"/>
      <c r="AP1142"/>
      <c r="AQ1142"/>
      <c r="AZ1142"/>
      <c r="BP1142" s="293"/>
    </row>
    <row r="1143" spans="12:68" ht="15" customHeight="1">
      <c r="L1143" s="296"/>
      <c r="M1143" s="30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49"/>
      <c r="Z1143" s="49"/>
      <c r="AO1143"/>
      <c r="AP1143"/>
      <c r="AQ1143"/>
      <c r="AZ1143"/>
      <c r="BP1143" s="293"/>
    </row>
    <row r="1144" spans="12:68" ht="15" customHeight="1">
      <c r="L1144" s="296"/>
      <c r="M1144" s="30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49"/>
      <c r="Z1144" s="49"/>
      <c r="AO1144"/>
      <c r="AP1144"/>
      <c r="AQ1144"/>
      <c r="AZ1144"/>
      <c r="BP1144" s="293"/>
    </row>
    <row r="1145" spans="12:68" ht="15" customHeight="1">
      <c r="L1145" s="296"/>
      <c r="M1145" s="30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49"/>
      <c r="Z1145" s="49"/>
      <c r="AO1145"/>
      <c r="AP1145"/>
      <c r="AQ1145"/>
      <c r="AZ1145"/>
      <c r="BP1145" s="293"/>
    </row>
    <row r="1146" spans="12:68" ht="15" customHeight="1">
      <c r="L1146" s="296"/>
      <c r="M1146" s="30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49"/>
      <c r="Z1146" s="49"/>
      <c r="AO1146"/>
      <c r="AP1146"/>
      <c r="AQ1146"/>
      <c r="AZ1146"/>
      <c r="BP1146" s="293"/>
    </row>
    <row r="1147" spans="12:68" ht="15" customHeight="1">
      <c r="L1147" s="296"/>
      <c r="M1147" s="30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49"/>
      <c r="Z1147" s="49"/>
      <c r="AO1147"/>
      <c r="AP1147"/>
      <c r="AQ1147"/>
      <c r="AZ1147"/>
      <c r="BP1147" s="293"/>
    </row>
    <row r="1148" spans="12:68" ht="15" customHeight="1">
      <c r="L1148" s="296"/>
      <c r="M1148" s="30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49"/>
      <c r="Z1148" s="49"/>
      <c r="AO1148"/>
      <c r="AP1148"/>
      <c r="AQ1148"/>
      <c r="AZ1148"/>
      <c r="BP1148" s="293"/>
    </row>
    <row r="1149" spans="12:68" ht="15" customHeight="1">
      <c r="L1149" s="296"/>
      <c r="M1149" s="30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49"/>
      <c r="Z1149" s="49"/>
      <c r="AO1149"/>
      <c r="AP1149"/>
      <c r="AQ1149"/>
      <c r="AZ1149"/>
      <c r="BP1149" s="293"/>
    </row>
    <row r="1150" spans="12:68" ht="15" customHeight="1">
      <c r="L1150" s="296"/>
      <c r="M1150" s="30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49"/>
      <c r="Z1150" s="49"/>
      <c r="AO1150"/>
      <c r="AP1150"/>
      <c r="AQ1150"/>
      <c r="AZ1150"/>
      <c r="BP1150" s="293"/>
    </row>
    <row r="1151" spans="12:68" ht="15" customHeight="1">
      <c r="L1151" s="296"/>
      <c r="M1151" s="30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49"/>
      <c r="Z1151" s="49"/>
      <c r="AO1151"/>
      <c r="AP1151"/>
      <c r="AQ1151"/>
      <c r="AZ1151"/>
      <c r="BP1151" s="293"/>
    </row>
    <row r="1152" spans="12:68" ht="15" customHeight="1">
      <c r="L1152" s="296"/>
      <c r="M1152" s="30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49"/>
      <c r="Z1152" s="49"/>
      <c r="AO1152"/>
      <c r="AP1152"/>
      <c r="AQ1152"/>
      <c r="AZ1152"/>
      <c r="BP1152" s="293"/>
    </row>
    <row r="1153" spans="12:68" ht="15" customHeight="1">
      <c r="L1153" s="296"/>
      <c r="M1153" s="30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49"/>
      <c r="Z1153" s="49"/>
      <c r="AO1153"/>
      <c r="AP1153"/>
      <c r="AQ1153"/>
      <c r="AZ1153"/>
      <c r="BP1153" s="293"/>
    </row>
    <row r="1154" spans="12:68" ht="15" customHeight="1">
      <c r="L1154" s="296"/>
      <c r="M1154" s="30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49"/>
      <c r="Z1154" s="49"/>
      <c r="AO1154"/>
      <c r="AP1154"/>
      <c r="AQ1154"/>
      <c r="AZ1154"/>
      <c r="BP1154" s="293"/>
    </row>
    <row r="1155" spans="12:68" ht="15" customHeight="1">
      <c r="L1155" s="296"/>
      <c r="M1155" s="30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49"/>
      <c r="Z1155" s="49"/>
      <c r="AO1155"/>
      <c r="AP1155"/>
      <c r="AQ1155"/>
      <c r="AZ1155"/>
      <c r="BP1155" s="293"/>
    </row>
    <row r="1156" spans="12:68" ht="15" customHeight="1">
      <c r="L1156" s="296"/>
      <c r="M1156" s="30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49"/>
      <c r="Z1156" s="49"/>
      <c r="AO1156"/>
      <c r="AP1156"/>
      <c r="AQ1156"/>
      <c r="AZ1156"/>
      <c r="BP1156" s="293"/>
    </row>
    <row r="1157" spans="12:68" ht="15" customHeight="1">
      <c r="L1157" s="296"/>
      <c r="M1157" s="30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49"/>
      <c r="Z1157" s="49"/>
      <c r="AO1157"/>
      <c r="AP1157"/>
      <c r="AQ1157"/>
      <c r="AZ1157"/>
      <c r="BP1157" s="293"/>
    </row>
    <row r="1158" spans="12:68" ht="15" customHeight="1">
      <c r="L1158" s="296"/>
      <c r="M1158" s="30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49"/>
      <c r="Z1158" s="49"/>
      <c r="AO1158"/>
      <c r="AP1158"/>
      <c r="AQ1158"/>
      <c r="AZ1158"/>
      <c r="BP1158" s="293"/>
    </row>
    <row r="1159" spans="12:68" ht="15" customHeight="1">
      <c r="L1159" s="296"/>
      <c r="M1159" s="30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49"/>
      <c r="Z1159" s="49"/>
      <c r="AO1159"/>
      <c r="AP1159"/>
      <c r="AQ1159"/>
      <c r="AZ1159"/>
      <c r="BP1159" s="293"/>
    </row>
    <row r="1160" spans="12:68" ht="15" customHeight="1">
      <c r="L1160" s="296"/>
      <c r="M1160" s="30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49"/>
      <c r="Z1160" s="49"/>
      <c r="AO1160"/>
      <c r="AP1160"/>
      <c r="AQ1160"/>
      <c r="AZ1160"/>
      <c r="BP1160" s="293"/>
    </row>
    <row r="1161" spans="12:68" ht="15" customHeight="1">
      <c r="L1161" s="296"/>
      <c r="M1161" s="30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49"/>
      <c r="Z1161" s="49"/>
      <c r="AO1161"/>
      <c r="AP1161"/>
      <c r="AQ1161"/>
      <c r="AZ1161"/>
      <c r="BP1161" s="293"/>
    </row>
    <row r="1162" spans="12:68" ht="15" customHeight="1">
      <c r="L1162" s="296"/>
      <c r="M1162" s="30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49"/>
      <c r="Z1162" s="49"/>
      <c r="AO1162"/>
      <c r="AP1162"/>
      <c r="AQ1162"/>
      <c r="AZ1162"/>
      <c r="BP1162" s="293"/>
    </row>
    <row r="1163" spans="12:68" ht="15" customHeight="1">
      <c r="L1163" s="296"/>
      <c r="M1163" s="30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49"/>
      <c r="Z1163" s="49"/>
      <c r="AO1163"/>
      <c r="AP1163"/>
      <c r="AQ1163"/>
      <c r="AZ1163"/>
      <c r="BP1163" s="293"/>
    </row>
    <row r="1164" spans="12:68" ht="15" customHeight="1">
      <c r="L1164" s="296"/>
      <c r="M1164" s="30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49"/>
      <c r="Z1164" s="49"/>
      <c r="AO1164"/>
      <c r="AP1164"/>
      <c r="AQ1164"/>
      <c r="AZ1164"/>
      <c r="BP1164" s="293"/>
    </row>
    <row r="1165" spans="12:68" ht="15" customHeight="1">
      <c r="L1165" s="296"/>
      <c r="M1165" s="30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49"/>
      <c r="Z1165" s="49"/>
      <c r="AO1165"/>
      <c r="AP1165"/>
      <c r="AQ1165"/>
      <c r="AZ1165"/>
      <c r="BP1165" s="293"/>
    </row>
    <row r="1166" spans="12:68" ht="15" customHeight="1">
      <c r="L1166" s="296"/>
      <c r="M1166" s="30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49"/>
      <c r="Z1166" s="49"/>
      <c r="AO1166"/>
      <c r="AP1166"/>
      <c r="AQ1166"/>
      <c r="AZ1166"/>
      <c r="BP1166" s="293"/>
    </row>
    <row r="1167" spans="12:68" ht="15" customHeight="1">
      <c r="L1167" s="296"/>
      <c r="M1167" s="30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49"/>
      <c r="Z1167" s="49"/>
      <c r="AO1167"/>
      <c r="AP1167"/>
      <c r="AQ1167"/>
      <c r="AZ1167"/>
      <c r="BP1167" s="293"/>
    </row>
    <row r="1168" spans="12:68" ht="15" customHeight="1">
      <c r="L1168" s="296"/>
      <c r="M1168" s="30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49"/>
      <c r="Z1168" s="49"/>
      <c r="AO1168"/>
      <c r="AP1168"/>
      <c r="AQ1168"/>
      <c r="AZ1168"/>
      <c r="BP1168" s="293"/>
    </row>
    <row r="1169" spans="12:68" ht="15" customHeight="1">
      <c r="L1169" s="296"/>
      <c r="M1169" s="30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49"/>
      <c r="Z1169" s="49"/>
      <c r="AO1169"/>
      <c r="AP1169"/>
      <c r="AQ1169"/>
      <c r="AZ1169"/>
      <c r="BP1169" s="293"/>
    </row>
    <row r="1170" spans="12:68" ht="15" customHeight="1">
      <c r="L1170" s="296"/>
      <c r="M1170" s="30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49"/>
      <c r="Z1170" s="49"/>
      <c r="AO1170"/>
      <c r="AP1170"/>
      <c r="AQ1170"/>
      <c r="AZ1170"/>
      <c r="BP1170" s="293"/>
    </row>
    <row r="1171" spans="12:68" ht="15" customHeight="1">
      <c r="L1171" s="296"/>
      <c r="M1171" s="30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49"/>
      <c r="Z1171" s="49"/>
      <c r="AO1171"/>
      <c r="AP1171"/>
      <c r="AQ1171"/>
      <c r="AZ1171"/>
      <c r="BP1171" s="293"/>
    </row>
    <row r="1172" spans="12:68" ht="15" customHeight="1">
      <c r="L1172" s="296"/>
      <c r="M1172" s="30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49"/>
      <c r="Z1172" s="49"/>
      <c r="AO1172"/>
      <c r="AP1172"/>
      <c r="AQ1172"/>
      <c r="AZ1172"/>
      <c r="BP1172" s="293"/>
    </row>
    <row r="1173" spans="12:68" ht="15" customHeight="1">
      <c r="L1173" s="296"/>
      <c r="M1173" s="30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49"/>
      <c r="Z1173" s="49"/>
      <c r="AO1173"/>
      <c r="AP1173"/>
      <c r="AQ1173"/>
      <c r="AZ1173"/>
      <c r="BP1173" s="293"/>
    </row>
    <row r="1174" spans="12:68" ht="15" customHeight="1">
      <c r="L1174" s="296"/>
      <c r="M1174" s="30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49"/>
      <c r="Z1174" s="49"/>
      <c r="AO1174"/>
      <c r="AP1174"/>
      <c r="AQ1174"/>
      <c r="AZ1174"/>
      <c r="BP1174" s="293"/>
    </row>
    <row r="1175" spans="12:68" ht="15" customHeight="1">
      <c r="L1175" s="296"/>
      <c r="M1175" s="30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49"/>
      <c r="Z1175" s="49"/>
      <c r="AO1175"/>
      <c r="AP1175"/>
      <c r="AQ1175"/>
      <c r="AZ1175"/>
      <c r="BP1175" s="293"/>
    </row>
    <row r="1176" spans="12:68" ht="15" customHeight="1">
      <c r="L1176" s="296"/>
      <c r="M1176" s="30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49"/>
      <c r="Z1176" s="49"/>
      <c r="AO1176"/>
      <c r="AP1176"/>
      <c r="AQ1176"/>
      <c r="AZ1176"/>
      <c r="BP1176" s="293"/>
    </row>
    <row r="1177" spans="12:68" ht="15" customHeight="1">
      <c r="L1177" s="296"/>
      <c r="M1177" s="30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49"/>
      <c r="Z1177" s="49"/>
      <c r="AO1177"/>
      <c r="AP1177"/>
      <c r="AQ1177"/>
      <c r="AZ1177"/>
      <c r="BP1177" s="293"/>
    </row>
    <row r="1178" spans="12:68" ht="15" customHeight="1">
      <c r="L1178" s="296"/>
      <c r="M1178" s="30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49"/>
      <c r="Z1178" s="49"/>
      <c r="AO1178"/>
      <c r="AP1178"/>
      <c r="AQ1178"/>
      <c r="AZ1178"/>
      <c r="BP1178" s="293"/>
    </row>
    <row r="1179" spans="12:68" ht="15" customHeight="1">
      <c r="L1179" s="296"/>
      <c r="M1179" s="30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  <c r="X1179" s="38"/>
      <c r="Y1179" s="49"/>
      <c r="Z1179" s="49"/>
      <c r="AO1179"/>
      <c r="AP1179"/>
      <c r="AQ1179"/>
      <c r="AZ1179"/>
      <c r="BP1179" s="293"/>
    </row>
    <row r="1180" spans="12:68" ht="15" customHeight="1">
      <c r="L1180" s="296"/>
      <c r="M1180" s="30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  <c r="X1180" s="38"/>
      <c r="Y1180" s="49"/>
      <c r="Z1180" s="49"/>
      <c r="AO1180"/>
      <c r="AP1180"/>
      <c r="AQ1180"/>
      <c r="AZ1180"/>
      <c r="BP1180" s="293"/>
    </row>
    <row r="1181" spans="12:68" ht="15" customHeight="1">
      <c r="L1181" s="296"/>
      <c r="M1181" s="30"/>
      <c r="N1181" s="38"/>
      <c r="O1181" s="38"/>
      <c r="P1181" s="38"/>
      <c r="Q1181" s="38"/>
      <c r="R1181" s="38"/>
      <c r="S1181" s="38"/>
      <c r="T1181" s="38"/>
      <c r="U1181" s="38"/>
      <c r="V1181" s="38"/>
      <c r="W1181" s="38"/>
      <c r="X1181" s="38"/>
      <c r="Y1181" s="49"/>
      <c r="Z1181" s="49"/>
      <c r="AO1181"/>
      <c r="AP1181"/>
      <c r="AQ1181"/>
      <c r="AZ1181"/>
      <c r="BP1181" s="293"/>
    </row>
    <row r="1182" spans="12:68" ht="15" customHeight="1">
      <c r="L1182" s="296"/>
      <c r="M1182" s="30"/>
      <c r="N1182" s="38"/>
      <c r="O1182" s="38"/>
      <c r="P1182" s="38"/>
      <c r="Q1182" s="38"/>
      <c r="R1182" s="38"/>
      <c r="S1182" s="38"/>
      <c r="T1182" s="38"/>
      <c r="U1182" s="38"/>
      <c r="V1182" s="38"/>
      <c r="W1182" s="38"/>
      <c r="X1182" s="38"/>
      <c r="Y1182" s="49"/>
      <c r="Z1182" s="49"/>
      <c r="AO1182"/>
      <c r="AP1182"/>
      <c r="AQ1182"/>
      <c r="AZ1182"/>
      <c r="BP1182" s="293"/>
    </row>
    <row r="1183" spans="12:68" ht="15" customHeight="1">
      <c r="L1183" s="296"/>
      <c r="M1183" s="30"/>
      <c r="N1183" s="38"/>
      <c r="O1183" s="38"/>
      <c r="P1183" s="38"/>
      <c r="Q1183" s="38"/>
      <c r="R1183" s="38"/>
      <c r="S1183" s="38"/>
      <c r="T1183" s="38"/>
      <c r="U1183" s="38"/>
      <c r="V1183" s="38"/>
      <c r="W1183" s="38"/>
      <c r="X1183" s="38"/>
      <c r="Y1183" s="49"/>
      <c r="Z1183" s="49"/>
      <c r="AO1183"/>
      <c r="AP1183"/>
      <c r="AQ1183"/>
      <c r="AZ1183"/>
      <c r="BP1183" s="293"/>
    </row>
    <row r="1184" spans="12:68" ht="15" customHeight="1">
      <c r="L1184" s="296"/>
      <c r="M1184" s="30"/>
      <c r="N1184" s="38"/>
      <c r="O1184" s="38"/>
      <c r="P1184" s="38"/>
      <c r="Q1184" s="38"/>
      <c r="R1184" s="38"/>
      <c r="S1184" s="38"/>
      <c r="T1184" s="38"/>
      <c r="U1184" s="38"/>
      <c r="V1184" s="38"/>
      <c r="W1184" s="38"/>
      <c r="X1184" s="38"/>
      <c r="Y1184" s="49"/>
      <c r="Z1184" s="49"/>
      <c r="AO1184"/>
      <c r="AP1184"/>
      <c r="AQ1184"/>
      <c r="AZ1184"/>
      <c r="BP1184" s="293"/>
    </row>
    <row r="1185" spans="12:68" ht="15" customHeight="1">
      <c r="L1185" s="296"/>
      <c r="M1185" s="30"/>
      <c r="N1185" s="38"/>
      <c r="O1185" s="38"/>
      <c r="P1185" s="38"/>
      <c r="Q1185" s="38"/>
      <c r="R1185" s="38"/>
      <c r="S1185" s="38"/>
      <c r="T1185" s="38"/>
      <c r="U1185" s="38"/>
      <c r="V1185" s="38"/>
      <c r="W1185" s="38"/>
      <c r="X1185" s="38"/>
      <c r="Y1185" s="49"/>
      <c r="Z1185" s="49"/>
      <c r="AO1185"/>
      <c r="AP1185"/>
      <c r="AQ1185"/>
      <c r="AZ1185"/>
      <c r="BP1185" s="293"/>
    </row>
    <row r="1186" spans="12:68" ht="15" customHeight="1">
      <c r="L1186" s="296"/>
      <c r="M1186" s="30"/>
      <c r="N1186" s="38"/>
      <c r="O1186" s="38"/>
      <c r="P1186" s="38"/>
      <c r="Q1186" s="38"/>
      <c r="R1186" s="38"/>
      <c r="S1186" s="38"/>
      <c r="T1186" s="38"/>
      <c r="U1186" s="38"/>
      <c r="V1186" s="38"/>
      <c r="W1186" s="38"/>
      <c r="X1186" s="38"/>
      <c r="Y1186" s="49"/>
      <c r="Z1186" s="49"/>
      <c r="AO1186"/>
      <c r="AP1186"/>
      <c r="AQ1186"/>
      <c r="AZ1186"/>
      <c r="BP1186" s="293"/>
    </row>
    <row r="1187" spans="12:68" ht="15" customHeight="1">
      <c r="L1187" s="296"/>
      <c r="M1187" s="30"/>
      <c r="N1187" s="38"/>
      <c r="O1187" s="38"/>
      <c r="P1187" s="38"/>
      <c r="Q1187" s="38"/>
      <c r="R1187" s="38"/>
      <c r="S1187" s="38"/>
      <c r="T1187" s="38"/>
      <c r="U1187" s="38"/>
      <c r="V1187" s="38"/>
      <c r="W1187" s="38"/>
      <c r="X1187" s="38"/>
      <c r="Y1187" s="49"/>
      <c r="Z1187" s="49"/>
      <c r="AO1187"/>
      <c r="AP1187"/>
      <c r="AQ1187"/>
      <c r="AZ1187"/>
      <c r="BP1187" s="293"/>
    </row>
    <row r="1188" spans="12:68" ht="15" customHeight="1">
      <c r="L1188" s="296"/>
      <c r="M1188" s="30"/>
      <c r="N1188" s="38"/>
      <c r="O1188" s="38"/>
      <c r="P1188" s="38"/>
      <c r="Q1188" s="38"/>
      <c r="R1188" s="38"/>
      <c r="S1188" s="38"/>
      <c r="T1188" s="38"/>
      <c r="U1188" s="38"/>
      <c r="V1188" s="38"/>
      <c r="W1188" s="38"/>
      <c r="X1188" s="38"/>
      <c r="Y1188" s="49"/>
      <c r="Z1188" s="49"/>
      <c r="AO1188"/>
      <c r="AP1188"/>
      <c r="AQ1188"/>
      <c r="AZ1188"/>
      <c r="BP1188" s="293"/>
    </row>
    <row r="1189" spans="12:68" ht="15" customHeight="1">
      <c r="L1189" s="296"/>
      <c r="M1189" s="30"/>
      <c r="N1189" s="38"/>
      <c r="O1189" s="38"/>
      <c r="P1189" s="38"/>
      <c r="Q1189" s="38"/>
      <c r="R1189" s="38"/>
      <c r="S1189" s="38"/>
      <c r="T1189" s="38"/>
      <c r="U1189" s="38"/>
      <c r="V1189" s="38"/>
      <c r="W1189" s="38"/>
      <c r="X1189" s="38"/>
      <c r="Y1189" s="49"/>
      <c r="Z1189" s="49"/>
      <c r="AO1189"/>
      <c r="AP1189"/>
      <c r="AQ1189"/>
      <c r="AZ1189"/>
      <c r="BP1189" s="293"/>
    </row>
    <row r="1190" spans="12:68" ht="15" customHeight="1">
      <c r="L1190" s="296"/>
      <c r="M1190" s="30"/>
      <c r="N1190" s="38"/>
      <c r="O1190" s="38"/>
      <c r="P1190" s="38"/>
      <c r="Q1190" s="38"/>
      <c r="R1190" s="38"/>
      <c r="S1190" s="38"/>
      <c r="T1190" s="38"/>
      <c r="U1190" s="38"/>
      <c r="V1190" s="38"/>
      <c r="W1190" s="38"/>
      <c r="X1190" s="38"/>
      <c r="Y1190" s="49"/>
      <c r="Z1190" s="49"/>
      <c r="AO1190"/>
      <c r="AP1190"/>
      <c r="AQ1190"/>
      <c r="AZ1190"/>
      <c r="BP1190" s="293"/>
    </row>
    <row r="1191" spans="12:68" ht="15" customHeight="1">
      <c r="L1191" s="296"/>
      <c r="M1191" s="30"/>
      <c r="N1191" s="38"/>
      <c r="O1191" s="38"/>
      <c r="P1191" s="38"/>
      <c r="Q1191" s="38"/>
      <c r="R1191" s="38"/>
      <c r="S1191" s="38"/>
      <c r="T1191" s="38"/>
      <c r="U1191" s="38"/>
      <c r="V1191" s="38"/>
      <c r="W1191" s="38"/>
      <c r="X1191" s="38"/>
      <c r="Y1191" s="49"/>
      <c r="Z1191" s="49"/>
      <c r="AO1191"/>
      <c r="AP1191"/>
      <c r="AQ1191"/>
      <c r="AZ1191"/>
      <c r="BP1191" s="293"/>
    </row>
    <row r="1192" spans="12:68" ht="15" customHeight="1">
      <c r="L1192" s="296"/>
      <c r="M1192" s="30"/>
      <c r="N1192" s="38"/>
      <c r="O1192" s="38"/>
      <c r="P1192" s="38"/>
      <c r="Q1192" s="38"/>
      <c r="R1192" s="38"/>
      <c r="S1192" s="38"/>
      <c r="T1192" s="38"/>
      <c r="U1192" s="38"/>
      <c r="V1192" s="38"/>
      <c r="W1192" s="38"/>
      <c r="X1192" s="38"/>
      <c r="Y1192" s="49"/>
      <c r="Z1192" s="49"/>
      <c r="AO1192"/>
      <c r="AP1192"/>
      <c r="AQ1192"/>
      <c r="AZ1192"/>
      <c r="BP1192" s="293"/>
    </row>
    <row r="1193" spans="12:68" ht="15" customHeight="1">
      <c r="L1193" s="296"/>
      <c r="M1193" s="30"/>
      <c r="N1193" s="38"/>
      <c r="O1193" s="38"/>
      <c r="P1193" s="38"/>
      <c r="Q1193" s="38"/>
      <c r="R1193" s="38"/>
      <c r="S1193" s="38"/>
      <c r="T1193" s="38"/>
      <c r="U1193" s="38"/>
      <c r="V1193" s="38"/>
      <c r="W1193" s="38"/>
      <c r="X1193" s="38"/>
      <c r="Y1193" s="49"/>
      <c r="Z1193" s="49"/>
      <c r="AO1193"/>
      <c r="AP1193"/>
      <c r="AQ1193"/>
      <c r="AZ1193"/>
      <c r="BP1193" s="293"/>
    </row>
    <row r="1194" spans="12:68" ht="15" customHeight="1">
      <c r="L1194" s="296"/>
      <c r="M1194" s="30"/>
      <c r="N1194" s="38"/>
      <c r="O1194" s="38"/>
      <c r="P1194" s="38"/>
      <c r="Q1194" s="38"/>
      <c r="R1194" s="38"/>
      <c r="S1194" s="38"/>
      <c r="T1194" s="38"/>
      <c r="U1194" s="38"/>
      <c r="V1194" s="38"/>
      <c r="W1194" s="38"/>
      <c r="X1194" s="38"/>
      <c r="Y1194" s="49"/>
      <c r="Z1194" s="49"/>
      <c r="AO1194"/>
      <c r="AP1194"/>
      <c r="AQ1194"/>
      <c r="AZ1194"/>
      <c r="BP1194" s="293"/>
    </row>
    <row r="1195" spans="12:68" ht="15" customHeight="1">
      <c r="L1195" s="296"/>
      <c r="M1195" s="30"/>
      <c r="N1195" s="38"/>
      <c r="O1195" s="38"/>
      <c r="P1195" s="38"/>
      <c r="Q1195" s="38"/>
      <c r="R1195" s="38"/>
      <c r="S1195" s="38"/>
      <c r="T1195" s="38"/>
      <c r="U1195" s="38"/>
      <c r="V1195" s="38"/>
      <c r="W1195" s="38"/>
      <c r="X1195" s="38"/>
      <c r="Y1195" s="49"/>
      <c r="Z1195" s="49"/>
      <c r="AO1195"/>
      <c r="AP1195"/>
      <c r="AQ1195"/>
      <c r="AZ1195"/>
      <c r="BP1195" s="293"/>
    </row>
    <row r="1196" spans="12:68" ht="15" customHeight="1">
      <c r="L1196" s="296"/>
      <c r="M1196" s="30"/>
      <c r="N1196" s="38"/>
      <c r="O1196" s="38"/>
      <c r="P1196" s="38"/>
      <c r="Q1196" s="38"/>
      <c r="R1196" s="38"/>
      <c r="S1196" s="38"/>
      <c r="T1196" s="38"/>
      <c r="U1196" s="38"/>
      <c r="V1196" s="38"/>
      <c r="W1196" s="38"/>
      <c r="X1196" s="38"/>
      <c r="Y1196" s="49"/>
      <c r="Z1196" s="49"/>
      <c r="AO1196"/>
      <c r="AP1196"/>
      <c r="AQ1196"/>
      <c r="AZ1196"/>
      <c r="BP1196" s="293"/>
    </row>
    <row r="1197" spans="12:68" ht="15" customHeight="1">
      <c r="L1197" s="296"/>
      <c r="M1197" s="30"/>
      <c r="N1197" s="38"/>
      <c r="O1197" s="38"/>
      <c r="P1197" s="38"/>
      <c r="Q1197" s="38"/>
      <c r="R1197" s="38"/>
      <c r="S1197" s="38"/>
      <c r="T1197" s="38"/>
      <c r="U1197" s="38"/>
      <c r="V1197" s="38"/>
      <c r="W1197" s="38"/>
      <c r="X1197" s="38"/>
      <c r="Y1197" s="49"/>
      <c r="Z1197" s="49"/>
      <c r="AO1197"/>
      <c r="AP1197"/>
      <c r="AQ1197"/>
      <c r="AZ1197"/>
      <c r="BP1197" s="293"/>
    </row>
    <row r="1198" spans="12:68" ht="15" customHeight="1">
      <c r="L1198" s="296"/>
      <c r="M1198" s="30"/>
      <c r="N1198" s="38"/>
      <c r="O1198" s="38"/>
      <c r="P1198" s="38"/>
      <c r="Q1198" s="38"/>
      <c r="R1198" s="38"/>
      <c r="S1198" s="38"/>
      <c r="T1198" s="38"/>
      <c r="U1198" s="38"/>
      <c r="V1198" s="38"/>
      <c r="W1198" s="38"/>
      <c r="X1198" s="38"/>
      <c r="Y1198" s="49"/>
      <c r="Z1198" s="49"/>
      <c r="AO1198"/>
      <c r="AP1198"/>
      <c r="AQ1198"/>
      <c r="AZ1198"/>
      <c r="BP1198" s="293"/>
    </row>
    <row r="1199" spans="12:68" ht="15" customHeight="1">
      <c r="L1199" s="296"/>
      <c r="M1199" s="30"/>
      <c r="N1199" s="38"/>
      <c r="O1199" s="38"/>
      <c r="P1199" s="38"/>
      <c r="Q1199" s="38"/>
      <c r="R1199" s="38"/>
      <c r="S1199" s="38"/>
      <c r="T1199" s="38"/>
      <c r="U1199" s="38"/>
      <c r="V1199" s="38"/>
      <c r="W1199" s="38"/>
      <c r="X1199" s="38"/>
      <c r="Y1199" s="49"/>
      <c r="Z1199" s="49"/>
      <c r="AO1199"/>
      <c r="AP1199"/>
      <c r="AQ1199"/>
      <c r="AZ1199"/>
      <c r="BP1199" s="293"/>
    </row>
    <row r="1200" spans="12:68" ht="15" customHeight="1">
      <c r="L1200" s="296"/>
      <c r="M1200" s="30"/>
      <c r="N1200" s="38"/>
      <c r="O1200" s="38"/>
      <c r="P1200" s="38"/>
      <c r="Q1200" s="38"/>
      <c r="R1200" s="38"/>
      <c r="S1200" s="38"/>
      <c r="T1200" s="38"/>
      <c r="U1200" s="38"/>
      <c r="V1200" s="38"/>
      <c r="W1200" s="38"/>
      <c r="X1200" s="38"/>
      <c r="Y1200" s="49"/>
      <c r="Z1200" s="49"/>
      <c r="AO1200"/>
      <c r="AP1200"/>
      <c r="AQ1200"/>
      <c r="AZ1200"/>
      <c r="BP1200" s="293"/>
    </row>
    <row r="1201" spans="12:68" ht="15" customHeight="1">
      <c r="L1201" s="296"/>
      <c r="M1201" s="30"/>
      <c r="N1201" s="38"/>
      <c r="O1201" s="38"/>
      <c r="P1201" s="38"/>
      <c r="Q1201" s="38"/>
      <c r="R1201" s="38"/>
      <c r="S1201" s="38"/>
      <c r="T1201" s="38"/>
      <c r="U1201" s="38"/>
      <c r="V1201" s="38"/>
      <c r="W1201" s="38"/>
      <c r="X1201" s="38"/>
      <c r="Y1201" s="49"/>
      <c r="Z1201" s="49"/>
      <c r="AO1201"/>
      <c r="AP1201"/>
      <c r="AQ1201"/>
      <c r="AZ1201"/>
      <c r="BP1201" s="293"/>
    </row>
    <row r="1202" spans="12:68" ht="15" customHeight="1">
      <c r="L1202" s="296"/>
      <c r="M1202" s="30"/>
      <c r="N1202" s="38"/>
      <c r="O1202" s="38"/>
      <c r="P1202" s="38"/>
      <c r="Q1202" s="38"/>
      <c r="R1202" s="38"/>
      <c r="S1202" s="38"/>
      <c r="T1202" s="38"/>
      <c r="U1202" s="38"/>
      <c r="V1202" s="38"/>
      <c r="W1202" s="38"/>
      <c r="X1202" s="38"/>
      <c r="Y1202" s="49"/>
      <c r="Z1202" s="49"/>
      <c r="AO1202"/>
      <c r="AP1202"/>
      <c r="AQ1202"/>
      <c r="AZ1202"/>
      <c r="BP1202" s="293"/>
    </row>
    <row r="1203" spans="12:68" ht="15" customHeight="1">
      <c r="L1203" s="296"/>
      <c r="M1203" s="30"/>
      <c r="N1203" s="38"/>
      <c r="O1203" s="38"/>
      <c r="P1203" s="38"/>
      <c r="Q1203" s="38"/>
      <c r="R1203" s="38"/>
      <c r="S1203" s="38"/>
      <c r="T1203" s="38"/>
      <c r="U1203" s="38"/>
      <c r="V1203" s="38"/>
      <c r="W1203" s="38"/>
      <c r="X1203" s="38"/>
      <c r="Y1203" s="49"/>
      <c r="Z1203" s="49"/>
      <c r="AO1203"/>
      <c r="AP1203"/>
      <c r="AQ1203"/>
      <c r="AZ1203"/>
      <c r="BP1203" s="293"/>
    </row>
    <row r="1204" spans="12:68" ht="15" customHeight="1">
      <c r="L1204" s="296"/>
      <c r="M1204" s="30"/>
      <c r="N1204" s="38"/>
      <c r="O1204" s="38"/>
      <c r="P1204" s="38"/>
      <c r="Q1204" s="38"/>
      <c r="R1204" s="38"/>
      <c r="S1204" s="38"/>
      <c r="T1204" s="38"/>
      <c r="U1204" s="38"/>
      <c r="V1204" s="38"/>
      <c r="W1204" s="38"/>
      <c r="X1204" s="38"/>
      <c r="Y1204" s="49"/>
      <c r="Z1204" s="49"/>
      <c r="AO1204"/>
      <c r="AP1204"/>
      <c r="AQ1204"/>
      <c r="AZ1204"/>
      <c r="BP1204" s="293"/>
    </row>
    <row r="1205" spans="12:68" ht="15" customHeight="1">
      <c r="L1205" s="296"/>
      <c r="M1205" s="30"/>
      <c r="N1205" s="38"/>
      <c r="O1205" s="38"/>
      <c r="P1205" s="38"/>
      <c r="Q1205" s="38"/>
      <c r="R1205" s="38"/>
      <c r="S1205" s="38"/>
      <c r="T1205" s="38"/>
      <c r="U1205" s="38"/>
      <c r="V1205" s="38"/>
      <c r="W1205" s="38"/>
      <c r="X1205" s="38"/>
      <c r="Y1205" s="49"/>
      <c r="Z1205" s="49"/>
      <c r="AO1205"/>
      <c r="AP1205"/>
      <c r="AQ1205"/>
      <c r="AZ1205"/>
      <c r="BP1205" s="293"/>
    </row>
    <row r="1206" spans="12:68" ht="15" customHeight="1">
      <c r="L1206" s="296"/>
      <c r="M1206" s="30"/>
      <c r="N1206" s="38"/>
      <c r="O1206" s="38"/>
      <c r="P1206" s="38"/>
      <c r="Q1206" s="38"/>
      <c r="R1206" s="38"/>
      <c r="S1206" s="38"/>
      <c r="T1206" s="38"/>
      <c r="U1206" s="38"/>
      <c r="V1206" s="38"/>
      <c r="W1206" s="38"/>
      <c r="X1206" s="38"/>
      <c r="Y1206" s="49"/>
      <c r="Z1206" s="49"/>
      <c r="AO1206"/>
      <c r="AP1206"/>
      <c r="AQ1206"/>
      <c r="AZ1206"/>
      <c r="BP1206" s="293"/>
    </row>
    <row r="1207" spans="12:68" ht="15" customHeight="1">
      <c r="L1207" s="296"/>
      <c r="M1207" s="30"/>
      <c r="N1207" s="38"/>
      <c r="O1207" s="38"/>
      <c r="P1207" s="38"/>
      <c r="Q1207" s="38"/>
      <c r="R1207" s="38"/>
      <c r="S1207" s="38"/>
      <c r="T1207" s="38"/>
      <c r="U1207" s="38"/>
      <c r="V1207" s="38"/>
      <c r="W1207" s="38"/>
      <c r="X1207" s="38"/>
      <c r="Y1207" s="49"/>
      <c r="Z1207" s="49"/>
      <c r="AO1207"/>
      <c r="AP1207"/>
      <c r="AQ1207"/>
      <c r="AZ1207"/>
      <c r="BP1207" s="293"/>
    </row>
    <row r="1208" spans="12:68" ht="15" customHeight="1">
      <c r="L1208" s="296"/>
      <c r="M1208" s="30"/>
      <c r="N1208" s="38"/>
      <c r="O1208" s="38"/>
      <c r="P1208" s="38"/>
      <c r="Q1208" s="38"/>
      <c r="R1208" s="38"/>
      <c r="S1208" s="38"/>
      <c r="T1208" s="38"/>
      <c r="U1208" s="38"/>
      <c r="V1208" s="38"/>
      <c r="W1208" s="38"/>
      <c r="X1208" s="38"/>
      <c r="Y1208" s="49"/>
      <c r="Z1208" s="49"/>
      <c r="AO1208"/>
      <c r="AP1208"/>
      <c r="AQ1208"/>
      <c r="AZ1208"/>
      <c r="BP1208" s="293"/>
    </row>
    <row r="1209" spans="12:68" ht="15" customHeight="1">
      <c r="L1209" s="296"/>
      <c r="M1209" s="30"/>
      <c r="N1209" s="38"/>
      <c r="O1209" s="38"/>
      <c r="P1209" s="38"/>
      <c r="Q1209" s="38"/>
      <c r="R1209" s="38"/>
      <c r="S1209" s="38"/>
      <c r="T1209" s="38"/>
      <c r="U1209" s="38"/>
      <c r="V1209" s="38"/>
      <c r="W1209" s="38"/>
      <c r="X1209" s="38"/>
      <c r="Y1209" s="49"/>
      <c r="Z1209" s="49"/>
      <c r="AO1209"/>
      <c r="AP1209"/>
      <c r="AQ1209"/>
      <c r="AZ1209"/>
      <c r="BP1209" s="293"/>
    </row>
    <row r="1210" spans="12:68" ht="15" customHeight="1">
      <c r="L1210" s="296"/>
      <c r="M1210" s="30"/>
      <c r="N1210" s="38"/>
      <c r="O1210" s="38"/>
      <c r="P1210" s="38"/>
      <c r="Q1210" s="38"/>
      <c r="R1210" s="38"/>
      <c r="S1210" s="38"/>
      <c r="T1210" s="38"/>
      <c r="U1210" s="38"/>
      <c r="V1210" s="38"/>
      <c r="W1210" s="38"/>
      <c r="X1210" s="38"/>
      <c r="Y1210" s="49"/>
      <c r="Z1210" s="49"/>
      <c r="AO1210"/>
      <c r="AP1210"/>
      <c r="AQ1210"/>
      <c r="AZ1210"/>
      <c r="BP1210" s="293"/>
    </row>
    <row r="1211" spans="12:68" ht="15" customHeight="1">
      <c r="L1211" s="296"/>
      <c r="M1211" s="30"/>
      <c r="N1211" s="38"/>
      <c r="O1211" s="38"/>
      <c r="P1211" s="38"/>
      <c r="Q1211" s="38"/>
      <c r="R1211" s="38"/>
      <c r="S1211" s="38"/>
      <c r="T1211" s="38"/>
      <c r="U1211" s="38"/>
      <c r="V1211" s="38"/>
      <c r="W1211" s="38"/>
      <c r="X1211" s="38"/>
      <c r="Y1211" s="49"/>
      <c r="Z1211" s="49"/>
      <c r="AO1211"/>
      <c r="AP1211"/>
      <c r="AQ1211"/>
      <c r="AZ1211"/>
      <c r="BP1211" s="293"/>
    </row>
    <row r="1212" spans="12:68" ht="15" customHeight="1">
      <c r="L1212" s="296"/>
      <c r="M1212" s="30"/>
      <c r="N1212" s="38"/>
      <c r="O1212" s="38"/>
      <c r="P1212" s="38"/>
      <c r="Q1212" s="38"/>
      <c r="R1212" s="38"/>
      <c r="S1212" s="38"/>
      <c r="T1212" s="38"/>
      <c r="U1212" s="38"/>
      <c r="V1212" s="38"/>
      <c r="W1212" s="38"/>
      <c r="X1212" s="38"/>
      <c r="Y1212" s="49"/>
      <c r="Z1212" s="49"/>
      <c r="AO1212"/>
      <c r="AP1212"/>
      <c r="AQ1212"/>
      <c r="AZ1212"/>
      <c r="BP1212" s="293"/>
    </row>
    <row r="1213" spans="12:68" ht="15" customHeight="1">
      <c r="L1213" s="296"/>
      <c r="M1213" s="30"/>
      <c r="N1213" s="38"/>
      <c r="O1213" s="38"/>
      <c r="P1213" s="38"/>
      <c r="Q1213" s="38"/>
      <c r="R1213" s="38"/>
      <c r="S1213" s="38"/>
      <c r="T1213" s="38"/>
      <c r="U1213" s="38"/>
      <c r="V1213" s="38"/>
      <c r="W1213" s="38"/>
      <c r="X1213" s="38"/>
      <c r="Y1213" s="49"/>
      <c r="Z1213" s="49"/>
      <c r="AO1213"/>
      <c r="AP1213"/>
      <c r="AQ1213"/>
      <c r="AZ1213"/>
      <c r="BP1213" s="293"/>
    </row>
    <row r="1214" spans="12:68" ht="15" customHeight="1">
      <c r="L1214" s="296"/>
      <c r="M1214" s="30"/>
      <c r="N1214" s="38"/>
      <c r="O1214" s="38"/>
      <c r="P1214" s="38"/>
      <c r="Q1214" s="38"/>
      <c r="R1214" s="38"/>
      <c r="S1214" s="38"/>
      <c r="T1214" s="38"/>
      <c r="U1214" s="38"/>
      <c r="V1214" s="38"/>
      <c r="W1214" s="38"/>
      <c r="X1214" s="38"/>
      <c r="Y1214" s="49"/>
      <c r="Z1214" s="49"/>
      <c r="AO1214"/>
      <c r="AP1214"/>
      <c r="AQ1214"/>
      <c r="AZ1214"/>
      <c r="BP1214" s="293"/>
    </row>
    <row r="1215" spans="12:68" ht="15" customHeight="1">
      <c r="L1215" s="296"/>
      <c r="M1215" s="30"/>
      <c r="N1215" s="38"/>
      <c r="O1215" s="38"/>
      <c r="P1215" s="38"/>
      <c r="Q1215" s="38"/>
      <c r="R1215" s="38"/>
      <c r="S1215" s="38"/>
      <c r="T1215" s="38"/>
      <c r="U1215" s="38"/>
      <c r="V1215" s="38"/>
      <c r="W1215" s="38"/>
      <c r="X1215" s="38"/>
      <c r="Y1215" s="49"/>
      <c r="Z1215" s="49"/>
      <c r="AO1215"/>
      <c r="AP1215"/>
      <c r="AQ1215"/>
      <c r="AZ1215"/>
      <c r="BP1215" s="293"/>
    </row>
    <row r="1216" spans="12:68" ht="15" customHeight="1">
      <c r="L1216" s="296"/>
      <c r="M1216" s="30"/>
      <c r="N1216" s="38"/>
      <c r="O1216" s="38"/>
      <c r="P1216" s="38"/>
      <c r="Q1216" s="38"/>
      <c r="R1216" s="38"/>
      <c r="S1216" s="38"/>
      <c r="T1216" s="38"/>
      <c r="U1216" s="38"/>
      <c r="V1216" s="38"/>
      <c r="W1216" s="38"/>
      <c r="X1216" s="38"/>
      <c r="Y1216" s="49"/>
      <c r="Z1216" s="49"/>
      <c r="AO1216"/>
      <c r="AP1216"/>
      <c r="AQ1216"/>
      <c r="AZ1216"/>
      <c r="BP1216" s="293"/>
    </row>
    <row r="1217" spans="12:68" ht="15" customHeight="1">
      <c r="L1217" s="296"/>
      <c r="M1217" s="30"/>
      <c r="N1217" s="38"/>
      <c r="O1217" s="38"/>
      <c r="P1217" s="38"/>
      <c r="Q1217" s="38"/>
      <c r="R1217" s="38"/>
      <c r="S1217" s="38"/>
      <c r="T1217" s="38"/>
      <c r="U1217" s="38"/>
      <c r="V1217" s="38"/>
      <c r="W1217" s="38"/>
      <c r="X1217" s="38"/>
      <c r="Y1217" s="49"/>
      <c r="Z1217" s="49"/>
      <c r="AO1217"/>
      <c r="AP1217"/>
      <c r="AQ1217"/>
      <c r="AZ1217"/>
      <c r="BP1217" s="293"/>
    </row>
    <row r="1218" spans="12:68" ht="15" customHeight="1">
      <c r="L1218" s="296"/>
      <c r="M1218" s="30"/>
      <c r="N1218" s="38"/>
      <c r="O1218" s="38"/>
      <c r="P1218" s="38"/>
      <c r="Q1218" s="38"/>
      <c r="R1218" s="38"/>
      <c r="S1218" s="38"/>
      <c r="T1218" s="38"/>
      <c r="U1218" s="38"/>
      <c r="V1218" s="38"/>
      <c r="W1218" s="38"/>
      <c r="X1218" s="38"/>
      <c r="Y1218" s="49"/>
      <c r="Z1218" s="49"/>
      <c r="AO1218"/>
      <c r="AP1218"/>
      <c r="AQ1218"/>
      <c r="AZ1218"/>
      <c r="BP1218" s="293"/>
    </row>
    <row r="1219" spans="12:68" ht="15" customHeight="1">
      <c r="L1219" s="296"/>
      <c r="M1219" s="30"/>
      <c r="N1219" s="38"/>
      <c r="O1219" s="38"/>
      <c r="P1219" s="38"/>
      <c r="Q1219" s="38"/>
      <c r="R1219" s="38"/>
      <c r="S1219" s="38"/>
      <c r="T1219" s="38"/>
      <c r="U1219" s="38"/>
      <c r="V1219" s="38"/>
      <c r="W1219" s="38"/>
      <c r="X1219" s="38"/>
      <c r="Y1219" s="49"/>
      <c r="Z1219" s="49"/>
      <c r="AO1219"/>
      <c r="AP1219"/>
      <c r="AQ1219"/>
      <c r="AZ1219"/>
      <c r="BP1219" s="293"/>
    </row>
    <row r="1220" spans="12:68" ht="15" customHeight="1">
      <c r="L1220" s="296"/>
      <c r="M1220" s="30"/>
      <c r="N1220" s="38"/>
      <c r="O1220" s="38"/>
      <c r="P1220" s="38"/>
      <c r="Q1220" s="38"/>
      <c r="R1220" s="38"/>
      <c r="S1220" s="38"/>
      <c r="T1220" s="38"/>
      <c r="U1220" s="38"/>
      <c r="V1220" s="38"/>
      <c r="W1220" s="38"/>
      <c r="X1220" s="38"/>
      <c r="Y1220" s="49"/>
      <c r="Z1220" s="49"/>
      <c r="AO1220"/>
      <c r="AP1220"/>
      <c r="AQ1220"/>
      <c r="AZ1220"/>
      <c r="BP1220" s="293"/>
    </row>
    <row r="1221" spans="12:68" ht="15" customHeight="1">
      <c r="L1221" s="296"/>
      <c r="M1221" s="30"/>
      <c r="N1221" s="38"/>
      <c r="O1221" s="38"/>
      <c r="P1221" s="38"/>
      <c r="Q1221" s="38"/>
      <c r="R1221" s="38"/>
      <c r="S1221" s="38"/>
      <c r="T1221" s="38"/>
      <c r="U1221" s="38"/>
      <c r="V1221" s="38"/>
      <c r="W1221" s="38"/>
      <c r="X1221" s="38"/>
      <c r="Y1221" s="49"/>
      <c r="Z1221" s="49"/>
      <c r="AO1221"/>
      <c r="AP1221"/>
      <c r="AQ1221"/>
      <c r="AZ1221"/>
      <c r="BP1221" s="293"/>
    </row>
    <row r="1222" spans="12:68" ht="15" customHeight="1">
      <c r="L1222" s="296"/>
      <c r="M1222" s="30"/>
      <c r="N1222" s="38"/>
      <c r="O1222" s="38"/>
      <c r="P1222" s="38"/>
      <c r="Q1222" s="38"/>
      <c r="R1222" s="38"/>
      <c r="S1222" s="38"/>
      <c r="T1222" s="38"/>
      <c r="U1222" s="38"/>
      <c r="V1222" s="38"/>
      <c r="W1222" s="38"/>
      <c r="X1222" s="38"/>
      <c r="Y1222" s="49"/>
      <c r="Z1222" s="49"/>
      <c r="AO1222"/>
      <c r="AP1222"/>
      <c r="AQ1222"/>
      <c r="AZ1222"/>
      <c r="BP1222" s="293"/>
    </row>
    <row r="1223" spans="12:68" ht="15" customHeight="1">
      <c r="L1223" s="296"/>
      <c r="M1223" s="30"/>
      <c r="N1223" s="38"/>
      <c r="O1223" s="38"/>
      <c r="P1223" s="38"/>
      <c r="Q1223" s="38"/>
      <c r="R1223" s="38"/>
      <c r="S1223" s="38"/>
      <c r="T1223" s="38"/>
      <c r="U1223" s="38"/>
      <c r="V1223" s="38"/>
      <c r="W1223" s="38"/>
      <c r="X1223" s="38"/>
      <c r="Y1223" s="49"/>
      <c r="Z1223" s="49"/>
      <c r="AO1223"/>
      <c r="AP1223"/>
      <c r="AQ1223"/>
      <c r="AZ1223"/>
      <c r="BP1223" s="293"/>
    </row>
    <row r="1224" spans="12:68" ht="15" customHeight="1">
      <c r="L1224" s="296"/>
      <c r="M1224" s="30"/>
      <c r="N1224" s="38"/>
      <c r="O1224" s="38"/>
      <c r="P1224" s="38"/>
      <c r="Q1224" s="38"/>
      <c r="R1224" s="38"/>
      <c r="S1224" s="38"/>
      <c r="T1224" s="38"/>
      <c r="U1224" s="38"/>
      <c r="V1224" s="38"/>
      <c r="W1224" s="38"/>
      <c r="X1224" s="38"/>
      <c r="Y1224" s="49"/>
      <c r="Z1224" s="49"/>
      <c r="AO1224"/>
      <c r="AP1224"/>
      <c r="AQ1224"/>
      <c r="AZ1224"/>
      <c r="BP1224" s="293"/>
    </row>
    <row r="1225" spans="12:68" ht="15" customHeight="1">
      <c r="L1225" s="296"/>
      <c r="M1225" s="30"/>
      <c r="N1225" s="38"/>
      <c r="O1225" s="38"/>
      <c r="P1225" s="38"/>
      <c r="Q1225" s="38"/>
      <c r="R1225" s="38"/>
      <c r="S1225" s="38"/>
      <c r="T1225" s="38"/>
      <c r="U1225" s="38"/>
      <c r="V1225" s="38"/>
      <c r="W1225" s="38"/>
      <c r="X1225" s="38"/>
      <c r="Y1225" s="49"/>
      <c r="Z1225" s="49"/>
      <c r="AO1225"/>
      <c r="AP1225"/>
      <c r="AQ1225"/>
      <c r="AZ1225"/>
      <c r="BP1225" s="293"/>
    </row>
    <row r="1226" spans="12:68" ht="15" customHeight="1">
      <c r="L1226" s="296"/>
      <c r="M1226" s="30"/>
      <c r="N1226" s="38"/>
      <c r="O1226" s="38"/>
      <c r="P1226" s="38"/>
      <c r="Q1226" s="38"/>
      <c r="R1226" s="38"/>
      <c r="S1226" s="38"/>
      <c r="T1226" s="38"/>
      <c r="U1226" s="38"/>
      <c r="V1226" s="38"/>
      <c r="W1226" s="38"/>
      <c r="X1226" s="38"/>
      <c r="Y1226" s="49"/>
      <c r="Z1226" s="49"/>
      <c r="AO1226"/>
      <c r="AP1226"/>
      <c r="AQ1226"/>
      <c r="AZ1226"/>
      <c r="BP1226" s="293"/>
    </row>
    <row r="1227" spans="12:68" ht="15" customHeight="1">
      <c r="L1227" s="296"/>
      <c r="M1227" s="30"/>
      <c r="N1227" s="38"/>
      <c r="O1227" s="38"/>
      <c r="P1227" s="38"/>
      <c r="Q1227" s="38"/>
      <c r="R1227" s="38"/>
      <c r="S1227" s="38"/>
      <c r="T1227" s="38"/>
      <c r="U1227" s="38"/>
      <c r="V1227" s="38"/>
      <c r="W1227" s="38"/>
      <c r="X1227" s="38"/>
      <c r="Y1227" s="49"/>
      <c r="Z1227" s="49"/>
      <c r="AO1227"/>
      <c r="AP1227"/>
      <c r="AQ1227"/>
      <c r="AZ1227"/>
      <c r="BP1227" s="293"/>
    </row>
    <row r="1228" spans="12:68" ht="15" customHeight="1">
      <c r="L1228" s="296"/>
      <c r="M1228" s="30"/>
      <c r="N1228" s="38"/>
      <c r="O1228" s="38"/>
      <c r="P1228" s="38"/>
      <c r="Q1228" s="38"/>
      <c r="R1228" s="38"/>
      <c r="S1228" s="38"/>
      <c r="T1228" s="38"/>
      <c r="U1228" s="38"/>
      <c r="V1228" s="38"/>
      <c r="W1228" s="38"/>
      <c r="X1228" s="38"/>
      <c r="Y1228" s="49"/>
      <c r="Z1228" s="49"/>
      <c r="AO1228"/>
      <c r="AP1228"/>
      <c r="AQ1228"/>
      <c r="AZ1228"/>
      <c r="BP1228" s="293"/>
    </row>
    <row r="1229" spans="12:68" ht="15" customHeight="1">
      <c r="L1229" s="296"/>
      <c r="M1229" s="30"/>
      <c r="N1229" s="38"/>
      <c r="O1229" s="38"/>
      <c r="P1229" s="38"/>
      <c r="Q1229" s="38"/>
      <c r="R1229" s="38"/>
      <c r="S1229" s="38"/>
      <c r="T1229" s="38"/>
      <c r="U1229" s="38"/>
      <c r="V1229" s="38"/>
      <c r="W1229" s="38"/>
      <c r="X1229" s="38"/>
      <c r="Y1229" s="49"/>
      <c r="Z1229" s="49"/>
      <c r="AO1229"/>
      <c r="AP1229"/>
      <c r="AQ1229"/>
      <c r="AZ1229"/>
      <c r="BP1229" s="293"/>
    </row>
    <row r="1230" spans="12:68" ht="15" customHeight="1">
      <c r="L1230" s="296"/>
      <c r="M1230" s="30"/>
      <c r="N1230" s="38"/>
      <c r="O1230" s="38"/>
      <c r="P1230" s="38"/>
      <c r="Q1230" s="38"/>
      <c r="R1230" s="38"/>
      <c r="S1230" s="38"/>
      <c r="T1230" s="38"/>
      <c r="U1230" s="38"/>
      <c r="V1230" s="38"/>
      <c r="W1230" s="38"/>
      <c r="X1230" s="38"/>
      <c r="Y1230" s="49"/>
      <c r="Z1230" s="49"/>
      <c r="AO1230"/>
      <c r="AP1230"/>
      <c r="AQ1230"/>
      <c r="AZ1230"/>
      <c r="BP1230" s="293"/>
    </row>
    <row r="1231" spans="12:68" ht="15" customHeight="1">
      <c r="L1231" s="296"/>
      <c r="M1231" s="30"/>
      <c r="N1231" s="38"/>
      <c r="O1231" s="38"/>
      <c r="P1231" s="38"/>
      <c r="Q1231" s="38"/>
      <c r="R1231" s="38"/>
      <c r="S1231" s="38"/>
      <c r="T1231" s="38"/>
      <c r="U1231" s="38"/>
      <c r="V1231" s="38"/>
      <c r="W1231" s="38"/>
      <c r="X1231" s="38"/>
      <c r="Y1231" s="49"/>
      <c r="Z1231" s="49"/>
      <c r="AO1231"/>
      <c r="AP1231"/>
      <c r="AQ1231"/>
      <c r="AZ1231"/>
      <c r="BP1231" s="293"/>
    </row>
    <row r="1232" spans="12:68" ht="15" customHeight="1">
      <c r="L1232" s="296"/>
      <c r="M1232" s="30"/>
      <c r="N1232" s="38"/>
      <c r="O1232" s="38"/>
      <c r="P1232" s="38"/>
      <c r="Q1232" s="38"/>
      <c r="R1232" s="38"/>
      <c r="S1232" s="38"/>
      <c r="T1232" s="38"/>
      <c r="U1232" s="38"/>
      <c r="V1232" s="38"/>
      <c r="W1232" s="38"/>
      <c r="X1232" s="38"/>
      <c r="Y1232" s="49"/>
      <c r="Z1232" s="49"/>
      <c r="AO1232"/>
      <c r="AP1232"/>
      <c r="AQ1232"/>
      <c r="AZ1232"/>
      <c r="BP1232" s="293"/>
    </row>
    <row r="1233" spans="12:68" ht="15" customHeight="1">
      <c r="L1233" s="296"/>
      <c r="M1233" s="30"/>
      <c r="N1233" s="38"/>
      <c r="O1233" s="38"/>
      <c r="P1233" s="38"/>
      <c r="Q1233" s="38"/>
      <c r="R1233" s="38"/>
      <c r="S1233" s="38"/>
      <c r="T1233" s="38"/>
      <c r="U1233" s="38"/>
      <c r="V1233" s="38"/>
      <c r="W1233" s="38"/>
      <c r="X1233" s="38"/>
      <c r="Y1233" s="49"/>
      <c r="Z1233" s="49"/>
      <c r="AO1233"/>
      <c r="AP1233"/>
      <c r="AQ1233"/>
      <c r="AZ1233"/>
      <c r="BP1233" s="293"/>
    </row>
    <row r="1234" spans="12:68" ht="15" customHeight="1">
      <c r="L1234" s="296"/>
      <c r="M1234" s="30"/>
      <c r="N1234" s="38"/>
      <c r="O1234" s="38"/>
      <c r="P1234" s="38"/>
      <c r="Q1234" s="38"/>
      <c r="R1234" s="38"/>
      <c r="S1234" s="38"/>
      <c r="T1234" s="38"/>
      <c r="U1234" s="38"/>
      <c r="V1234" s="38"/>
      <c r="W1234" s="38"/>
      <c r="X1234" s="38"/>
      <c r="Y1234" s="49"/>
      <c r="Z1234" s="49"/>
      <c r="AO1234"/>
      <c r="AP1234"/>
      <c r="AQ1234"/>
      <c r="AZ1234"/>
      <c r="BP1234" s="293"/>
    </row>
    <row r="1235" spans="12:68" ht="15" customHeight="1">
      <c r="L1235" s="296"/>
      <c r="M1235" s="30"/>
      <c r="N1235" s="38"/>
      <c r="O1235" s="38"/>
      <c r="P1235" s="38"/>
      <c r="Q1235" s="38"/>
      <c r="R1235" s="38"/>
      <c r="S1235" s="38"/>
      <c r="T1235" s="38"/>
      <c r="U1235" s="38"/>
      <c r="V1235" s="38"/>
      <c r="W1235" s="38"/>
      <c r="X1235" s="38"/>
      <c r="Y1235" s="49"/>
      <c r="Z1235" s="49"/>
      <c r="AO1235"/>
      <c r="AP1235"/>
      <c r="AQ1235"/>
      <c r="AZ1235"/>
      <c r="BP1235" s="293"/>
    </row>
    <row r="1236" spans="12:68" ht="15" customHeight="1">
      <c r="L1236" s="296"/>
      <c r="M1236" s="30"/>
      <c r="N1236" s="38"/>
      <c r="O1236" s="38"/>
      <c r="P1236" s="38"/>
      <c r="Q1236" s="38"/>
      <c r="R1236" s="38"/>
      <c r="S1236" s="38"/>
      <c r="T1236" s="38"/>
      <c r="U1236" s="38"/>
      <c r="V1236" s="38"/>
      <c r="W1236" s="38"/>
      <c r="X1236" s="38"/>
      <c r="Y1236" s="49"/>
      <c r="Z1236" s="49"/>
      <c r="AO1236"/>
      <c r="AP1236"/>
      <c r="AQ1236"/>
      <c r="AZ1236"/>
      <c r="BP1236" s="293"/>
    </row>
    <row r="1237" spans="12:68" ht="15" customHeight="1">
      <c r="L1237" s="296"/>
      <c r="M1237" s="30"/>
      <c r="N1237" s="38"/>
      <c r="O1237" s="38"/>
      <c r="P1237" s="38"/>
      <c r="Q1237" s="38"/>
      <c r="R1237" s="38"/>
      <c r="S1237" s="38"/>
      <c r="T1237" s="38"/>
      <c r="U1237" s="38"/>
      <c r="V1237" s="38"/>
      <c r="W1237" s="38"/>
      <c r="X1237" s="38"/>
      <c r="Y1237" s="49"/>
      <c r="Z1237" s="49"/>
      <c r="AO1237"/>
      <c r="AP1237"/>
      <c r="AQ1237"/>
      <c r="AZ1237"/>
      <c r="BP1237" s="293"/>
    </row>
    <row r="1238" spans="12:68" ht="15" customHeight="1">
      <c r="L1238" s="296"/>
      <c r="M1238" s="30"/>
      <c r="N1238" s="38"/>
      <c r="O1238" s="38"/>
      <c r="P1238" s="38"/>
      <c r="Q1238" s="38"/>
      <c r="R1238" s="38"/>
      <c r="S1238" s="38"/>
      <c r="T1238" s="38"/>
      <c r="U1238" s="38"/>
      <c r="V1238" s="38"/>
      <c r="W1238" s="38"/>
      <c r="X1238" s="38"/>
      <c r="Y1238" s="49"/>
      <c r="Z1238" s="49"/>
      <c r="AO1238"/>
      <c r="AP1238"/>
      <c r="AQ1238"/>
      <c r="AZ1238"/>
      <c r="BP1238" s="293"/>
    </row>
    <row r="1239" spans="12:68" ht="15" customHeight="1">
      <c r="L1239" s="296"/>
      <c r="M1239" s="30"/>
      <c r="N1239" s="38"/>
      <c r="O1239" s="38"/>
      <c r="P1239" s="38"/>
      <c r="Q1239" s="38"/>
      <c r="R1239" s="38"/>
      <c r="S1239" s="38"/>
      <c r="T1239" s="38"/>
      <c r="U1239" s="38"/>
      <c r="V1239" s="38"/>
      <c r="W1239" s="38"/>
      <c r="X1239" s="38"/>
      <c r="Y1239" s="49"/>
      <c r="Z1239" s="49"/>
      <c r="AO1239"/>
      <c r="AP1239"/>
      <c r="AQ1239"/>
      <c r="AZ1239"/>
      <c r="BP1239" s="293"/>
    </row>
    <row r="1240" spans="12:68" ht="15" customHeight="1">
      <c r="L1240" s="296"/>
      <c r="M1240" s="30"/>
      <c r="N1240" s="38"/>
      <c r="O1240" s="38"/>
      <c r="P1240" s="38"/>
      <c r="Q1240" s="38"/>
      <c r="R1240" s="38"/>
      <c r="S1240" s="38"/>
      <c r="T1240" s="38"/>
      <c r="U1240" s="38"/>
      <c r="V1240" s="38"/>
      <c r="W1240" s="38"/>
      <c r="X1240" s="38"/>
      <c r="Y1240" s="49"/>
      <c r="Z1240" s="49"/>
      <c r="AO1240"/>
      <c r="AP1240"/>
      <c r="AQ1240"/>
      <c r="AZ1240"/>
      <c r="BP1240" s="293"/>
    </row>
    <row r="1241" spans="12:68" ht="15" customHeight="1">
      <c r="L1241" s="296"/>
      <c r="M1241" s="30"/>
      <c r="N1241" s="38"/>
      <c r="O1241" s="38"/>
      <c r="P1241" s="38"/>
      <c r="Q1241" s="38"/>
      <c r="R1241" s="38"/>
      <c r="S1241" s="38"/>
      <c r="T1241" s="38"/>
      <c r="U1241" s="38"/>
      <c r="V1241" s="38"/>
      <c r="W1241" s="38"/>
      <c r="X1241" s="38"/>
      <c r="Y1241" s="49"/>
      <c r="Z1241" s="49"/>
      <c r="AO1241"/>
      <c r="AP1241"/>
      <c r="AQ1241"/>
      <c r="AZ1241"/>
      <c r="BP1241" s="293"/>
    </row>
    <row r="1242" spans="12:68" ht="15" customHeight="1">
      <c r="L1242" s="296"/>
      <c r="M1242" s="30"/>
      <c r="N1242" s="38"/>
      <c r="O1242" s="38"/>
      <c r="P1242" s="38"/>
      <c r="Q1242" s="38"/>
      <c r="R1242" s="38"/>
      <c r="S1242" s="38"/>
      <c r="T1242" s="38"/>
      <c r="U1242" s="38"/>
      <c r="V1242" s="38"/>
      <c r="W1242" s="38"/>
      <c r="X1242" s="38"/>
      <c r="Y1242" s="49"/>
      <c r="Z1242" s="49"/>
      <c r="AO1242"/>
      <c r="AP1242"/>
      <c r="AQ1242"/>
      <c r="AZ1242"/>
      <c r="BP1242" s="293"/>
    </row>
    <row r="1243" spans="12:68" ht="15" customHeight="1">
      <c r="L1243" s="296"/>
      <c r="M1243" s="30"/>
      <c r="N1243" s="38"/>
      <c r="O1243" s="38"/>
      <c r="P1243" s="38"/>
      <c r="Q1243" s="38"/>
      <c r="R1243" s="38"/>
      <c r="S1243" s="38"/>
      <c r="T1243" s="38"/>
      <c r="U1243" s="38"/>
      <c r="V1243" s="38"/>
      <c r="W1243" s="38"/>
      <c r="X1243" s="38"/>
      <c r="Y1243" s="49"/>
      <c r="Z1243" s="49"/>
      <c r="AO1243"/>
      <c r="AP1243"/>
      <c r="AQ1243"/>
      <c r="AZ1243"/>
      <c r="BP1243" s="293"/>
    </row>
    <row r="1244" spans="12:68" ht="15" customHeight="1">
      <c r="L1244" s="296"/>
      <c r="M1244" s="30"/>
      <c r="N1244" s="38"/>
      <c r="O1244" s="38"/>
      <c r="P1244" s="38"/>
      <c r="Q1244" s="38"/>
      <c r="R1244" s="38"/>
      <c r="S1244" s="38"/>
      <c r="T1244" s="38"/>
      <c r="U1244" s="38"/>
      <c r="V1244" s="38"/>
      <c r="W1244" s="38"/>
      <c r="X1244" s="38"/>
      <c r="Y1244" s="49"/>
      <c r="Z1244" s="49"/>
      <c r="AO1244"/>
      <c r="AP1244"/>
      <c r="AQ1244"/>
      <c r="AZ1244"/>
      <c r="BP1244" s="293"/>
    </row>
    <row r="1245" spans="12:68" ht="15" customHeight="1">
      <c r="L1245" s="296"/>
      <c r="M1245" s="30"/>
      <c r="N1245" s="38"/>
      <c r="O1245" s="38"/>
      <c r="P1245" s="38"/>
      <c r="Q1245" s="38"/>
      <c r="R1245" s="38"/>
      <c r="S1245" s="38"/>
      <c r="T1245" s="38"/>
      <c r="U1245" s="38"/>
      <c r="V1245" s="38"/>
      <c r="W1245" s="38"/>
      <c r="X1245" s="38"/>
      <c r="Y1245" s="49"/>
      <c r="Z1245" s="49"/>
      <c r="AO1245"/>
      <c r="AP1245"/>
      <c r="AQ1245"/>
      <c r="AZ1245"/>
      <c r="BP1245" s="293"/>
    </row>
    <row r="1246" spans="12:68" ht="15" customHeight="1">
      <c r="L1246" s="296"/>
      <c r="M1246" s="30"/>
      <c r="N1246" s="38"/>
      <c r="O1246" s="38"/>
      <c r="P1246" s="38"/>
      <c r="Q1246" s="38"/>
      <c r="R1246" s="38"/>
      <c r="S1246" s="38"/>
      <c r="T1246" s="38"/>
      <c r="U1246" s="38"/>
      <c r="V1246" s="38"/>
      <c r="W1246" s="38"/>
      <c r="X1246" s="38"/>
      <c r="Y1246" s="49"/>
      <c r="Z1246" s="49"/>
      <c r="AO1246"/>
      <c r="AP1246"/>
      <c r="AQ1246"/>
      <c r="AZ1246"/>
      <c r="BP1246" s="293"/>
    </row>
    <row r="1247" spans="12:68" ht="15" customHeight="1">
      <c r="L1247" s="296"/>
      <c r="M1247" s="30"/>
      <c r="N1247" s="38"/>
      <c r="O1247" s="38"/>
      <c r="P1247" s="38"/>
      <c r="Q1247" s="38"/>
      <c r="R1247" s="38"/>
      <c r="S1247" s="38"/>
      <c r="T1247" s="38"/>
      <c r="U1247" s="38"/>
      <c r="V1247" s="38"/>
      <c r="W1247" s="38"/>
      <c r="X1247" s="38"/>
      <c r="Y1247" s="49"/>
      <c r="Z1247" s="49"/>
      <c r="AO1247"/>
      <c r="AP1247"/>
      <c r="AQ1247"/>
      <c r="AZ1247"/>
      <c r="BP1247" s="293"/>
    </row>
    <row r="1248" spans="12:68" ht="15" customHeight="1">
      <c r="L1248" s="296"/>
      <c r="M1248" s="30"/>
      <c r="N1248" s="38"/>
      <c r="O1248" s="38"/>
      <c r="P1248" s="38"/>
      <c r="Q1248" s="38"/>
      <c r="R1248" s="38"/>
      <c r="S1248" s="38"/>
      <c r="T1248" s="38"/>
      <c r="U1248" s="38"/>
      <c r="V1248" s="38"/>
      <c r="W1248" s="38"/>
      <c r="X1248" s="38"/>
      <c r="Y1248" s="49"/>
      <c r="Z1248" s="49"/>
      <c r="AO1248"/>
      <c r="AP1248"/>
      <c r="AQ1248"/>
      <c r="AZ1248"/>
      <c r="BP1248" s="293"/>
    </row>
    <row r="1249" spans="12:68" ht="15" customHeight="1">
      <c r="L1249" s="296"/>
      <c r="M1249" s="30"/>
      <c r="N1249" s="38"/>
      <c r="O1249" s="38"/>
      <c r="P1249" s="38"/>
      <c r="Q1249" s="38"/>
      <c r="R1249" s="38"/>
      <c r="S1249" s="38"/>
      <c r="T1249" s="38"/>
      <c r="U1249" s="38"/>
      <c r="V1249" s="38"/>
      <c r="W1249" s="38"/>
      <c r="X1249" s="38"/>
      <c r="Y1249" s="49"/>
      <c r="Z1249" s="49"/>
      <c r="AO1249"/>
      <c r="AP1249"/>
      <c r="AQ1249"/>
      <c r="AZ1249"/>
      <c r="BP1249" s="293"/>
    </row>
    <row r="1250" spans="12:68" ht="15" customHeight="1">
      <c r="L1250" s="296"/>
      <c r="M1250" s="30"/>
      <c r="N1250" s="38"/>
      <c r="O1250" s="38"/>
      <c r="P1250" s="38"/>
      <c r="Q1250" s="38"/>
      <c r="R1250" s="38"/>
      <c r="S1250" s="38"/>
      <c r="T1250" s="38"/>
      <c r="U1250" s="38"/>
      <c r="V1250" s="38"/>
      <c r="W1250" s="38"/>
      <c r="X1250" s="38"/>
      <c r="Y1250" s="49"/>
      <c r="Z1250" s="49"/>
      <c r="AO1250"/>
      <c r="AP1250"/>
      <c r="AQ1250"/>
      <c r="AZ1250"/>
      <c r="BP1250" s="293"/>
    </row>
    <row r="1251" spans="12:68" ht="15" customHeight="1">
      <c r="L1251" s="296"/>
      <c r="M1251" s="30"/>
      <c r="N1251" s="38"/>
      <c r="O1251" s="38"/>
      <c r="P1251" s="38"/>
      <c r="Q1251" s="38"/>
      <c r="R1251" s="38"/>
      <c r="S1251" s="38"/>
      <c r="T1251" s="38"/>
      <c r="U1251" s="38"/>
      <c r="V1251" s="38"/>
      <c r="W1251" s="38"/>
      <c r="X1251" s="38"/>
      <c r="Y1251" s="49"/>
      <c r="Z1251" s="49"/>
      <c r="AO1251"/>
      <c r="AP1251"/>
      <c r="AQ1251"/>
      <c r="AZ1251"/>
      <c r="BP1251" s="293"/>
    </row>
    <row r="1252" spans="12:68" ht="15" customHeight="1">
      <c r="L1252" s="296"/>
      <c r="M1252" s="30"/>
      <c r="N1252" s="38"/>
      <c r="O1252" s="38"/>
      <c r="P1252" s="38"/>
      <c r="Q1252" s="38"/>
      <c r="R1252" s="38"/>
      <c r="S1252" s="38"/>
      <c r="T1252" s="38"/>
      <c r="U1252" s="38"/>
      <c r="V1252" s="38"/>
      <c r="W1252" s="38"/>
      <c r="X1252" s="38"/>
      <c r="Y1252" s="49"/>
      <c r="Z1252" s="49"/>
      <c r="AO1252"/>
      <c r="AP1252"/>
      <c r="AQ1252"/>
      <c r="AZ1252"/>
      <c r="BP1252" s="293"/>
    </row>
    <row r="1253" spans="12:68" ht="15" customHeight="1">
      <c r="L1253" s="296"/>
      <c r="M1253" s="30"/>
      <c r="N1253" s="38"/>
      <c r="O1253" s="38"/>
      <c r="P1253" s="38"/>
      <c r="Q1253" s="38"/>
      <c r="R1253" s="38"/>
      <c r="S1253" s="38"/>
      <c r="T1253" s="38"/>
      <c r="U1253" s="38"/>
      <c r="V1253" s="38"/>
      <c r="W1253" s="38"/>
      <c r="X1253" s="38"/>
      <c r="Y1253" s="49"/>
      <c r="Z1253" s="49"/>
      <c r="AO1253"/>
      <c r="AP1253"/>
      <c r="AQ1253"/>
      <c r="AZ1253"/>
      <c r="BP1253" s="293"/>
    </row>
    <row r="1254" spans="12:68" ht="15" customHeight="1">
      <c r="L1254" s="296"/>
      <c r="M1254" s="30"/>
      <c r="N1254" s="38"/>
      <c r="O1254" s="38"/>
      <c r="P1254" s="38"/>
      <c r="Q1254" s="38"/>
      <c r="R1254" s="38"/>
      <c r="S1254" s="38"/>
      <c r="T1254" s="38"/>
      <c r="U1254" s="38"/>
      <c r="V1254" s="38"/>
      <c r="W1254" s="38"/>
      <c r="X1254" s="38"/>
      <c r="Y1254" s="49"/>
      <c r="Z1254" s="49"/>
      <c r="AO1254"/>
      <c r="AP1254"/>
      <c r="AQ1254"/>
      <c r="AZ1254"/>
      <c r="BP1254" s="293"/>
    </row>
    <row r="1255" spans="12:68" ht="15" customHeight="1">
      <c r="L1255" s="296"/>
      <c r="M1255" s="30"/>
      <c r="N1255" s="38"/>
      <c r="O1255" s="38"/>
      <c r="P1255" s="38"/>
      <c r="Q1255" s="38"/>
      <c r="R1255" s="38"/>
      <c r="S1255" s="38"/>
      <c r="T1255" s="38"/>
      <c r="U1255" s="38"/>
      <c r="V1255" s="38"/>
      <c r="W1255" s="38"/>
      <c r="X1255" s="38"/>
      <c r="Y1255" s="49"/>
      <c r="Z1255" s="49"/>
      <c r="AO1255"/>
      <c r="AP1255"/>
      <c r="AQ1255"/>
      <c r="AZ1255"/>
      <c r="BP1255" s="293"/>
    </row>
    <row r="1256" spans="12:68" ht="15" customHeight="1">
      <c r="L1256" s="296"/>
      <c r="M1256" s="30"/>
      <c r="N1256" s="38"/>
      <c r="O1256" s="38"/>
      <c r="P1256" s="38"/>
      <c r="Q1256" s="38"/>
      <c r="R1256" s="38"/>
      <c r="S1256" s="38"/>
      <c r="T1256" s="38"/>
      <c r="U1256" s="38"/>
      <c r="V1256" s="38"/>
      <c r="W1256" s="38"/>
      <c r="X1256" s="38"/>
      <c r="Y1256" s="49"/>
      <c r="Z1256" s="49"/>
      <c r="AO1256"/>
      <c r="AP1256"/>
      <c r="AQ1256"/>
      <c r="AZ1256"/>
      <c r="BP1256" s="293"/>
    </row>
    <row r="1257" spans="12:68" ht="15" customHeight="1">
      <c r="L1257" s="296"/>
      <c r="M1257" s="30"/>
      <c r="N1257" s="38"/>
      <c r="O1257" s="38"/>
      <c r="P1257" s="38"/>
      <c r="Q1257" s="38"/>
      <c r="R1257" s="38"/>
      <c r="S1257" s="38"/>
      <c r="T1257" s="38"/>
      <c r="U1257" s="38"/>
      <c r="V1257" s="38"/>
      <c r="W1257" s="38"/>
      <c r="X1257" s="38"/>
      <c r="Y1257" s="49"/>
      <c r="Z1257" s="49"/>
      <c r="AO1257"/>
      <c r="AP1257"/>
      <c r="AQ1257"/>
      <c r="AZ1257"/>
      <c r="BP1257" s="293"/>
    </row>
    <row r="1258" spans="12:68" ht="15" customHeight="1">
      <c r="L1258" s="296"/>
      <c r="M1258" s="30"/>
      <c r="N1258" s="38"/>
      <c r="O1258" s="38"/>
      <c r="P1258" s="38"/>
      <c r="Q1258" s="38"/>
      <c r="R1258" s="38"/>
      <c r="S1258" s="38"/>
      <c r="T1258" s="38"/>
      <c r="U1258" s="38"/>
      <c r="V1258" s="38"/>
      <c r="W1258" s="38"/>
      <c r="X1258" s="38"/>
      <c r="Y1258" s="49"/>
      <c r="Z1258" s="49"/>
      <c r="AO1258"/>
      <c r="AP1258"/>
      <c r="AQ1258"/>
      <c r="AZ1258"/>
      <c r="BP1258" s="293"/>
    </row>
    <row r="1259" spans="12:68" ht="15" customHeight="1">
      <c r="L1259" s="296"/>
      <c r="M1259" s="30"/>
      <c r="N1259" s="38"/>
      <c r="O1259" s="38"/>
      <c r="P1259" s="38"/>
      <c r="Q1259" s="38"/>
      <c r="R1259" s="38"/>
      <c r="S1259" s="38"/>
      <c r="T1259" s="38"/>
      <c r="U1259" s="38"/>
      <c r="V1259" s="38"/>
      <c r="W1259" s="38"/>
      <c r="X1259" s="38"/>
      <c r="Y1259" s="49"/>
      <c r="Z1259" s="49"/>
      <c r="AO1259"/>
      <c r="AP1259"/>
      <c r="AQ1259"/>
      <c r="AZ1259"/>
      <c r="BP1259" s="293"/>
    </row>
    <row r="1260" spans="12:68" ht="15" customHeight="1">
      <c r="L1260" s="296"/>
      <c r="M1260" s="30"/>
      <c r="N1260" s="38"/>
      <c r="O1260" s="38"/>
      <c r="P1260" s="38"/>
      <c r="Q1260" s="38"/>
      <c r="R1260" s="38"/>
      <c r="S1260" s="38"/>
      <c r="T1260" s="38"/>
      <c r="U1260" s="38"/>
      <c r="V1260" s="38"/>
      <c r="W1260" s="38"/>
      <c r="X1260" s="38"/>
      <c r="Y1260" s="49"/>
      <c r="Z1260" s="49"/>
      <c r="AO1260"/>
      <c r="AP1260"/>
      <c r="AQ1260"/>
      <c r="AZ1260"/>
      <c r="BP1260" s="293"/>
    </row>
    <row r="1261" spans="12:68" ht="15" customHeight="1">
      <c r="L1261" s="296"/>
      <c r="M1261" s="30"/>
      <c r="N1261" s="38"/>
      <c r="O1261" s="38"/>
      <c r="P1261" s="38"/>
      <c r="Q1261" s="38"/>
      <c r="R1261" s="38"/>
      <c r="S1261" s="38"/>
      <c r="T1261" s="38"/>
      <c r="U1261" s="38"/>
      <c r="V1261" s="38"/>
      <c r="W1261" s="38"/>
      <c r="X1261" s="38"/>
      <c r="Y1261" s="49"/>
      <c r="Z1261" s="49"/>
      <c r="AO1261"/>
      <c r="AP1261"/>
      <c r="AQ1261"/>
      <c r="AZ1261"/>
      <c r="BP1261" s="293"/>
    </row>
    <row r="1262" spans="12:68" ht="15" customHeight="1">
      <c r="L1262" s="296"/>
      <c r="M1262" s="30"/>
      <c r="N1262" s="38"/>
      <c r="O1262" s="38"/>
      <c r="P1262" s="38"/>
      <c r="Q1262" s="38"/>
      <c r="R1262" s="38"/>
      <c r="S1262" s="38"/>
      <c r="T1262" s="38"/>
      <c r="U1262" s="38"/>
      <c r="V1262" s="38"/>
      <c r="W1262" s="38"/>
      <c r="X1262" s="38"/>
      <c r="Y1262" s="49"/>
      <c r="Z1262" s="49"/>
      <c r="AO1262"/>
      <c r="AP1262"/>
      <c r="AQ1262"/>
      <c r="AZ1262"/>
      <c r="BP1262" s="293"/>
    </row>
    <row r="1263" spans="12:68" ht="15" customHeight="1">
      <c r="L1263" s="296"/>
      <c r="M1263" s="30"/>
      <c r="N1263" s="38"/>
      <c r="O1263" s="38"/>
      <c r="P1263" s="38"/>
      <c r="Q1263" s="38"/>
      <c r="R1263" s="38"/>
      <c r="S1263" s="38"/>
      <c r="T1263" s="38"/>
      <c r="U1263" s="38"/>
      <c r="V1263" s="38"/>
      <c r="W1263" s="38"/>
      <c r="X1263" s="38"/>
      <c r="Y1263" s="49"/>
      <c r="Z1263" s="49"/>
      <c r="AO1263"/>
      <c r="AP1263"/>
      <c r="AQ1263"/>
      <c r="AZ1263"/>
      <c r="BP1263" s="293"/>
    </row>
    <row r="1264" spans="12:68" ht="15" customHeight="1">
      <c r="L1264" s="296"/>
      <c r="M1264" s="30"/>
      <c r="N1264" s="38"/>
      <c r="O1264" s="38"/>
      <c r="P1264" s="38"/>
      <c r="Q1264" s="38"/>
      <c r="R1264" s="38"/>
      <c r="S1264" s="38"/>
      <c r="T1264" s="38"/>
      <c r="U1264" s="38"/>
      <c r="V1264" s="38"/>
      <c r="W1264" s="38"/>
      <c r="X1264" s="38"/>
      <c r="Y1264" s="49"/>
      <c r="Z1264" s="49"/>
      <c r="AO1264"/>
      <c r="AP1264"/>
      <c r="AQ1264"/>
      <c r="AZ1264"/>
      <c r="BP1264" s="293"/>
    </row>
    <row r="1265" spans="12:68" ht="15" customHeight="1">
      <c r="L1265" s="296"/>
      <c r="M1265" s="30"/>
      <c r="N1265" s="38"/>
      <c r="O1265" s="38"/>
      <c r="P1265" s="38"/>
      <c r="Q1265" s="38"/>
      <c r="R1265" s="38"/>
      <c r="S1265" s="38"/>
      <c r="T1265" s="38"/>
      <c r="U1265" s="38"/>
      <c r="V1265" s="38"/>
      <c r="W1265" s="38"/>
      <c r="X1265" s="38"/>
      <c r="Y1265" s="49"/>
      <c r="Z1265" s="49"/>
      <c r="AO1265"/>
      <c r="AP1265"/>
      <c r="AQ1265"/>
      <c r="AZ1265"/>
      <c r="BP1265" s="293"/>
    </row>
    <row r="1266" spans="12:68" ht="15" customHeight="1">
      <c r="L1266" s="296"/>
      <c r="M1266" s="30"/>
      <c r="N1266" s="38"/>
      <c r="O1266" s="38"/>
      <c r="P1266" s="38"/>
      <c r="Q1266" s="38"/>
      <c r="R1266" s="38"/>
      <c r="S1266" s="38"/>
      <c r="T1266" s="38"/>
      <c r="U1266" s="38"/>
      <c r="V1266" s="38"/>
      <c r="W1266" s="38"/>
      <c r="X1266" s="38"/>
      <c r="Y1266" s="49"/>
      <c r="Z1266" s="49"/>
      <c r="AO1266"/>
      <c r="AP1266"/>
      <c r="AQ1266"/>
      <c r="AZ1266"/>
      <c r="BP1266" s="293"/>
    </row>
    <row r="1267" spans="12:68" ht="15" customHeight="1">
      <c r="L1267" s="296"/>
      <c r="M1267" s="30"/>
      <c r="N1267" s="38"/>
      <c r="O1267" s="38"/>
      <c r="P1267" s="38"/>
      <c r="Q1267" s="38"/>
      <c r="R1267" s="38"/>
      <c r="S1267" s="38"/>
      <c r="T1267" s="38"/>
      <c r="U1267" s="38"/>
      <c r="V1267" s="38"/>
      <c r="W1267" s="38"/>
      <c r="X1267" s="38"/>
      <c r="Y1267" s="49"/>
      <c r="Z1267" s="49"/>
      <c r="AO1267"/>
      <c r="AP1267"/>
      <c r="AQ1267"/>
      <c r="AZ1267"/>
      <c r="BP1267" s="293"/>
    </row>
    <row r="1268" spans="12:68" ht="15" customHeight="1">
      <c r="L1268" s="296"/>
      <c r="M1268" s="30"/>
      <c r="N1268" s="38"/>
      <c r="O1268" s="38"/>
      <c r="P1268" s="38"/>
      <c r="Q1268" s="38"/>
      <c r="R1268" s="38"/>
      <c r="S1268" s="38"/>
      <c r="T1268" s="38"/>
      <c r="U1268" s="38"/>
      <c r="V1268" s="38"/>
      <c r="W1268" s="38"/>
      <c r="X1268" s="38"/>
      <c r="Y1268" s="49"/>
      <c r="Z1268" s="49"/>
      <c r="AO1268"/>
      <c r="AP1268"/>
      <c r="AQ1268"/>
      <c r="AZ1268"/>
      <c r="BP1268" s="293"/>
    </row>
    <row r="1269" spans="12:68" ht="15" customHeight="1">
      <c r="L1269" s="296"/>
      <c r="M1269" s="30"/>
      <c r="N1269" s="38"/>
      <c r="O1269" s="38"/>
      <c r="P1269" s="38"/>
      <c r="Q1269" s="38"/>
      <c r="R1269" s="38"/>
      <c r="S1269" s="38"/>
      <c r="T1269" s="38"/>
      <c r="U1269" s="38"/>
      <c r="V1269" s="38"/>
      <c r="W1269" s="38"/>
      <c r="X1269" s="38"/>
      <c r="Y1269" s="49"/>
      <c r="Z1269" s="49"/>
      <c r="AO1269"/>
      <c r="AP1269"/>
      <c r="AQ1269"/>
      <c r="AZ1269"/>
      <c r="BP1269" s="293"/>
    </row>
    <row r="1270" spans="12:68" ht="15" customHeight="1">
      <c r="L1270" s="296"/>
      <c r="M1270" s="30"/>
      <c r="N1270" s="38"/>
      <c r="O1270" s="38"/>
      <c r="P1270" s="38"/>
      <c r="Q1270" s="38"/>
      <c r="R1270" s="38"/>
      <c r="S1270" s="38"/>
      <c r="T1270" s="38"/>
      <c r="U1270" s="38"/>
      <c r="V1270" s="38"/>
      <c r="W1270" s="38"/>
      <c r="X1270" s="38"/>
      <c r="Y1270" s="49"/>
      <c r="Z1270" s="49"/>
      <c r="AO1270"/>
      <c r="AP1270"/>
      <c r="AQ1270"/>
      <c r="AZ1270"/>
      <c r="BP1270" s="293"/>
    </row>
    <row r="1271" spans="12:68" ht="15" customHeight="1">
      <c r="L1271" s="296"/>
      <c r="M1271" s="30"/>
      <c r="N1271" s="38"/>
      <c r="O1271" s="38"/>
      <c r="P1271" s="38"/>
      <c r="Q1271" s="38"/>
      <c r="R1271" s="38"/>
      <c r="S1271" s="38"/>
      <c r="T1271" s="38"/>
      <c r="U1271" s="38"/>
      <c r="V1271" s="38"/>
      <c r="W1271" s="38"/>
      <c r="X1271" s="38"/>
      <c r="Y1271" s="49"/>
      <c r="Z1271" s="49"/>
      <c r="AO1271"/>
      <c r="AP1271"/>
      <c r="AQ1271"/>
      <c r="AZ1271"/>
      <c r="BP1271" s="293"/>
    </row>
    <row r="1272" spans="12:68" ht="15" customHeight="1">
      <c r="L1272" s="296"/>
      <c r="M1272" s="30"/>
      <c r="N1272" s="38"/>
      <c r="O1272" s="38"/>
      <c r="P1272" s="38"/>
      <c r="Q1272" s="38"/>
      <c r="R1272" s="38"/>
      <c r="S1272" s="38"/>
      <c r="T1272" s="38"/>
      <c r="U1272" s="38"/>
      <c r="V1272" s="38"/>
      <c r="W1272" s="38"/>
      <c r="X1272" s="38"/>
      <c r="Y1272" s="49"/>
      <c r="Z1272" s="49"/>
      <c r="AO1272"/>
      <c r="AP1272"/>
      <c r="AQ1272"/>
      <c r="AZ1272"/>
      <c r="BP1272" s="293"/>
    </row>
    <row r="1273" spans="12:68" ht="15" customHeight="1">
      <c r="L1273" s="296"/>
      <c r="M1273" s="30"/>
      <c r="N1273" s="38"/>
      <c r="O1273" s="38"/>
      <c r="P1273" s="38"/>
      <c r="Q1273" s="38"/>
      <c r="R1273" s="38"/>
      <c r="S1273" s="38"/>
      <c r="T1273" s="38"/>
      <c r="U1273" s="38"/>
      <c r="V1273" s="38"/>
      <c r="W1273" s="38"/>
      <c r="X1273" s="38"/>
      <c r="Y1273" s="49"/>
      <c r="Z1273" s="49"/>
      <c r="AO1273"/>
      <c r="AP1273"/>
      <c r="AQ1273"/>
      <c r="AZ1273"/>
      <c r="BP1273" s="293"/>
    </row>
    <row r="1274" spans="12:68" ht="15" customHeight="1">
      <c r="L1274" s="296"/>
      <c r="M1274" s="30"/>
      <c r="N1274" s="38"/>
      <c r="O1274" s="38"/>
      <c r="P1274" s="38"/>
      <c r="Q1274" s="38"/>
      <c r="R1274" s="38"/>
      <c r="S1274" s="38"/>
      <c r="T1274" s="38"/>
      <c r="U1274" s="38"/>
      <c r="V1274" s="38"/>
      <c r="W1274" s="38"/>
      <c r="X1274" s="38"/>
      <c r="Y1274" s="49"/>
      <c r="Z1274" s="49"/>
      <c r="AO1274"/>
      <c r="AP1274"/>
      <c r="AQ1274"/>
      <c r="AZ1274"/>
      <c r="BP1274" s="293"/>
    </row>
    <row r="1275" spans="12:68" ht="15" customHeight="1">
      <c r="L1275" s="296"/>
      <c r="M1275" s="30"/>
      <c r="N1275" s="38"/>
      <c r="O1275" s="38"/>
      <c r="P1275" s="38"/>
      <c r="Q1275" s="38"/>
      <c r="R1275" s="38"/>
      <c r="S1275" s="38"/>
      <c r="T1275" s="38"/>
      <c r="U1275" s="38"/>
      <c r="V1275" s="38"/>
      <c r="W1275" s="38"/>
      <c r="X1275" s="38"/>
      <c r="Y1275" s="49"/>
      <c r="Z1275" s="49"/>
      <c r="AO1275"/>
      <c r="AP1275"/>
      <c r="AQ1275"/>
      <c r="AZ1275"/>
      <c r="BP1275" s="293"/>
    </row>
    <row r="1276" spans="12:68" ht="15" customHeight="1">
      <c r="L1276" s="296"/>
      <c r="M1276" s="30"/>
      <c r="N1276" s="38"/>
      <c r="O1276" s="38"/>
      <c r="P1276" s="38"/>
      <c r="Q1276" s="38"/>
      <c r="R1276" s="38"/>
      <c r="S1276" s="38"/>
      <c r="T1276" s="38"/>
      <c r="U1276" s="38"/>
      <c r="V1276" s="38"/>
      <c r="W1276" s="38"/>
      <c r="X1276" s="38"/>
      <c r="Y1276" s="49"/>
      <c r="Z1276" s="49"/>
      <c r="AO1276"/>
      <c r="AP1276"/>
      <c r="AQ1276"/>
      <c r="AZ1276"/>
      <c r="BP1276" s="293"/>
    </row>
    <row r="1277" spans="12:68" ht="15" customHeight="1">
      <c r="L1277" s="296"/>
      <c r="M1277" s="30"/>
      <c r="N1277" s="38"/>
      <c r="O1277" s="38"/>
      <c r="P1277" s="38"/>
      <c r="Q1277" s="38"/>
      <c r="R1277" s="38"/>
      <c r="S1277" s="38"/>
      <c r="T1277" s="38"/>
      <c r="U1277" s="38"/>
      <c r="V1277" s="38"/>
      <c r="W1277" s="38"/>
      <c r="X1277" s="38"/>
      <c r="Y1277" s="49"/>
      <c r="Z1277" s="49"/>
      <c r="AO1277"/>
      <c r="AP1277"/>
      <c r="AQ1277"/>
      <c r="AZ1277"/>
      <c r="BP1277" s="293"/>
    </row>
    <row r="1278" spans="12:68" ht="15" customHeight="1">
      <c r="L1278" s="296"/>
      <c r="M1278" s="30"/>
      <c r="N1278" s="38"/>
      <c r="O1278" s="38"/>
      <c r="P1278" s="38"/>
      <c r="Q1278" s="38"/>
      <c r="R1278" s="38"/>
      <c r="S1278" s="38"/>
      <c r="T1278" s="38"/>
      <c r="U1278" s="38"/>
      <c r="V1278" s="38"/>
      <c r="W1278" s="38"/>
      <c r="X1278" s="38"/>
      <c r="Y1278" s="49"/>
      <c r="Z1278" s="49"/>
      <c r="AO1278"/>
      <c r="AP1278"/>
      <c r="AQ1278"/>
      <c r="AZ1278"/>
      <c r="BP1278" s="293"/>
    </row>
    <row r="1279" spans="12:68" ht="15" customHeight="1">
      <c r="L1279" s="296"/>
      <c r="M1279" s="30"/>
      <c r="N1279" s="38"/>
      <c r="O1279" s="38"/>
      <c r="P1279" s="38"/>
      <c r="Q1279" s="38"/>
      <c r="R1279" s="38"/>
      <c r="S1279" s="38"/>
      <c r="T1279" s="38"/>
      <c r="U1279" s="38"/>
      <c r="V1279" s="38"/>
      <c r="W1279" s="38"/>
      <c r="X1279" s="38"/>
      <c r="Y1279" s="49"/>
      <c r="Z1279" s="49"/>
      <c r="AO1279"/>
      <c r="AP1279"/>
      <c r="AQ1279"/>
      <c r="AZ1279"/>
      <c r="BP1279" s="293"/>
    </row>
    <row r="1280" spans="12:68" ht="15" customHeight="1">
      <c r="L1280" s="296"/>
      <c r="M1280" s="30"/>
      <c r="N1280" s="38"/>
      <c r="O1280" s="38"/>
      <c r="P1280" s="38"/>
      <c r="Q1280" s="38"/>
      <c r="R1280" s="38"/>
      <c r="S1280" s="38"/>
      <c r="T1280" s="38"/>
      <c r="U1280" s="38"/>
      <c r="V1280" s="38"/>
      <c r="W1280" s="38"/>
      <c r="X1280" s="38"/>
      <c r="Y1280" s="49"/>
      <c r="Z1280" s="49"/>
      <c r="AO1280"/>
      <c r="AP1280"/>
      <c r="AQ1280"/>
      <c r="AZ1280"/>
      <c r="BP1280" s="293"/>
    </row>
    <row r="1281" spans="12:68" ht="15" customHeight="1">
      <c r="L1281" s="296"/>
      <c r="M1281" s="30"/>
      <c r="N1281" s="38"/>
      <c r="O1281" s="38"/>
      <c r="P1281" s="38"/>
      <c r="Q1281" s="38"/>
      <c r="R1281" s="38"/>
      <c r="S1281" s="38"/>
      <c r="T1281" s="38"/>
      <c r="U1281" s="38"/>
      <c r="V1281" s="38"/>
      <c r="W1281" s="38"/>
      <c r="X1281" s="38"/>
      <c r="Y1281" s="49"/>
      <c r="Z1281" s="49"/>
      <c r="AO1281"/>
      <c r="AP1281"/>
      <c r="AQ1281"/>
      <c r="AZ1281"/>
      <c r="BP1281" s="293"/>
    </row>
    <row r="1282" spans="12:68" ht="15" customHeight="1">
      <c r="L1282" s="296"/>
      <c r="M1282" s="30"/>
      <c r="N1282" s="38"/>
      <c r="O1282" s="38"/>
      <c r="P1282" s="38"/>
      <c r="Q1282" s="38"/>
      <c r="R1282" s="38"/>
      <c r="S1282" s="38"/>
      <c r="T1282" s="38"/>
      <c r="U1282" s="38"/>
      <c r="V1282" s="38"/>
      <c r="W1282" s="38"/>
      <c r="X1282" s="38"/>
      <c r="Y1282" s="49"/>
      <c r="Z1282" s="49"/>
      <c r="AO1282"/>
      <c r="AP1282"/>
      <c r="AQ1282"/>
      <c r="AZ1282"/>
      <c r="BP1282" s="293"/>
    </row>
    <row r="1283" spans="12:68" ht="15" customHeight="1">
      <c r="L1283" s="296"/>
      <c r="M1283" s="30"/>
      <c r="N1283" s="38"/>
      <c r="O1283" s="38"/>
      <c r="P1283" s="38"/>
      <c r="Q1283" s="38"/>
      <c r="R1283" s="38"/>
      <c r="S1283" s="38"/>
      <c r="T1283" s="38"/>
      <c r="U1283" s="38"/>
      <c r="V1283" s="38"/>
      <c r="W1283" s="38"/>
      <c r="X1283" s="38"/>
      <c r="Y1283" s="49"/>
      <c r="Z1283" s="49"/>
      <c r="AO1283"/>
      <c r="AP1283"/>
      <c r="AQ1283"/>
      <c r="AZ1283"/>
      <c r="BP1283" s="293"/>
    </row>
    <row r="1284" spans="12:68" ht="15" customHeight="1">
      <c r="L1284" s="296"/>
      <c r="M1284" s="30"/>
      <c r="N1284" s="38"/>
      <c r="O1284" s="38"/>
      <c r="P1284" s="38"/>
      <c r="Q1284" s="38"/>
      <c r="R1284" s="38"/>
      <c r="S1284" s="38"/>
      <c r="T1284" s="38"/>
      <c r="U1284" s="38"/>
      <c r="V1284" s="38"/>
      <c r="W1284" s="38"/>
      <c r="X1284" s="38"/>
      <c r="Y1284" s="49"/>
      <c r="Z1284" s="49"/>
      <c r="AO1284"/>
      <c r="AP1284"/>
      <c r="AQ1284"/>
      <c r="AZ1284"/>
      <c r="BP1284" s="293"/>
    </row>
    <row r="1285" spans="12:68" ht="15" customHeight="1">
      <c r="L1285" s="296"/>
      <c r="M1285" s="30"/>
      <c r="N1285" s="38"/>
      <c r="O1285" s="38"/>
      <c r="P1285" s="38"/>
      <c r="Q1285" s="38"/>
      <c r="R1285" s="38"/>
      <c r="S1285" s="38"/>
      <c r="T1285" s="38"/>
      <c r="U1285" s="38"/>
      <c r="V1285" s="38"/>
      <c r="W1285" s="38"/>
      <c r="X1285" s="38"/>
      <c r="Y1285" s="49"/>
      <c r="Z1285" s="49"/>
      <c r="AO1285"/>
      <c r="AP1285"/>
      <c r="AQ1285"/>
      <c r="AZ1285"/>
      <c r="BP1285" s="293"/>
    </row>
    <row r="1286" spans="12:68" ht="15" customHeight="1">
      <c r="L1286" s="296"/>
      <c r="M1286" s="30"/>
      <c r="N1286" s="38"/>
      <c r="O1286" s="38"/>
      <c r="P1286" s="38"/>
      <c r="Q1286" s="38"/>
      <c r="R1286" s="38"/>
      <c r="S1286" s="38"/>
      <c r="T1286" s="38"/>
      <c r="U1286" s="38"/>
      <c r="V1286" s="38"/>
      <c r="W1286" s="38"/>
      <c r="X1286" s="38"/>
      <c r="Y1286" s="49"/>
      <c r="Z1286" s="49"/>
      <c r="AO1286"/>
      <c r="AP1286"/>
      <c r="AQ1286"/>
      <c r="AZ1286"/>
      <c r="BP1286" s="293"/>
    </row>
    <row r="1287" spans="12:68" ht="15" customHeight="1">
      <c r="L1287" s="296"/>
      <c r="M1287" s="30"/>
      <c r="N1287" s="38"/>
      <c r="O1287" s="38"/>
      <c r="P1287" s="38"/>
      <c r="Q1287" s="38"/>
      <c r="R1287" s="38"/>
      <c r="S1287" s="38"/>
      <c r="T1287" s="38"/>
      <c r="U1287" s="38"/>
      <c r="V1287" s="38"/>
      <c r="W1287" s="38"/>
      <c r="X1287" s="38"/>
      <c r="Y1287" s="49"/>
      <c r="Z1287" s="49"/>
      <c r="AO1287"/>
      <c r="AP1287"/>
      <c r="AQ1287"/>
      <c r="AZ1287"/>
      <c r="BP1287" s="293"/>
    </row>
    <row r="1288" spans="12:68" ht="15" customHeight="1">
      <c r="L1288" s="296"/>
      <c r="M1288" s="30"/>
      <c r="N1288" s="38"/>
      <c r="O1288" s="38"/>
      <c r="P1288" s="38"/>
      <c r="Q1288" s="38"/>
      <c r="R1288" s="38"/>
      <c r="S1288" s="38"/>
      <c r="T1288" s="38"/>
      <c r="U1288" s="38"/>
      <c r="V1288" s="38"/>
      <c r="W1288" s="38"/>
      <c r="X1288" s="38"/>
      <c r="Y1288" s="49"/>
      <c r="Z1288" s="49"/>
      <c r="AO1288"/>
      <c r="AP1288"/>
      <c r="AQ1288"/>
      <c r="AZ1288"/>
      <c r="BP1288" s="293"/>
    </row>
    <row r="1289" spans="12:68" ht="15" customHeight="1">
      <c r="L1289" s="296"/>
      <c r="M1289" s="30"/>
      <c r="N1289" s="38"/>
      <c r="O1289" s="38"/>
      <c r="P1289" s="38"/>
      <c r="Q1289" s="38"/>
      <c r="R1289" s="38"/>
      <c r="S1289" s="38"/>
      <c r="T1289" s="38"/>
      <c r="U1289" s="38"/>
      <c r="V1289" s="38"/>
      <c r="W1289" s="38"/>
      <c r="X1289" s="38"/>
      <c r="Y1289" s="49"/>
      <c r="Z1289" s="49"/>
      <c r="AO1289"/>
      <c r="AP1289"/>
      <c r="AQ1289"/>
      <c r="AZ1289"/>
      <c r="BP1289" s="293"/>
    </row>
    <row r="1290" spans="12:68" ht="15" customHeight="1">
      <c r="L1290" s="296"/>
      <c r="M1290" s="30"/>
      <c r="N1290" s="38"/>
      <c r="O1290" s="38"/>
      <c r="P1290" s="38"/>
      <c r="Q1290" s="38"/>
      <c r="R1290" s="38"/>
      <c r="S1290" s="38"/>
      <c r="T1290" s="38"/>
      <c r="U1290" s="38"/>
      <c r="V1290" s="38"/>
      <c r="W1290" s="38"/>
      <c r="X1290" s="38"/>
      <c r="Y1290" s="49"/>
      <c r="Z1290" s="49"/>
      <c r="AO1290"/>
      <c r="AP1290"/>
      <c r="AQ1290"/>
      <c r="AZ1290"/>
      <c r="BP1290" s="293"/>
    </row>
    <row r="1291" spans="12:68" ht="15" customHeight="1">
      <c r="L1291" s="296"/>
      <c r="M1291" s="30"/>
      <c r="N1291" s="38"/>
      <c r="O1291" s="38"/>
      <c r="P1291" s="38"/>
      <c r="Q1291" s="38"/>
      <c r="R1291" s="38"/>
      <c r="S1291" s="38"/>
      <c r="T1291" s="38"/>
      <c r="U1291" s="38"/>
      <c r="V1291" s="38"/>
      <c r="W1291" s="38"/>
      <c r="X1291" s="38"/>
      <c r="Y1291" s="49"/>
      <c r="Z1291" s="49"/>
      <c r="AO1291"/>
      <c r="AP1291"/>
      <c r="AQ1291"/>
      <c r="AZ1291"/>
      <c r="BP1291" s="293"/>
    </row>
    <row r="1292" spans="12:68" ht="15" customHeight="1">
      <c r="L1292" s="296"/>
      <c r="M1292" s="30"/>
      <c r="N1292" s="38"/>
      <c r="O1292" s="38"/>
      <c r="P1292" s="38"/>
      <c r="Q1292" s="38"/>
      <c r="R1292" s="38"/>
      <c r="S1292" s="38"/>
      <c r="T1292" s="38"/>
      <c r="U1292" s="38"/>
      <c r="V1292" s="38"/>
      <c r="W1292" s="38"/>
      <c r="X1292" s="38"/>
      <c r="Y1292" s="49"/>
      <c r="Z1292" s="49"/>
      <c r="AO1292"/>
      <c r="AP1292"/>
      <c r="AQ1292"/>
      <c r="AZ1292"/>
      <c r="BP1292" s="293"/>
    </row>
    <row r="1293" spans="12:68" ht="15" customHeight="1">
      <c r="L1293" s="296"/>
      <c r="M1293" s="30"/>
      <c r="N1293" s="38"/>
      <c r="O1293" s="38"/>
      <c r="P1293" s="38"/>
      <c r="Q1293" s="38"/>
      <c r="R1293" s="38"/>
      <c r="S1293" s="38"/>
      <c r="T1293" s="38"/>
      <c r="U1293" s="38"/>
      <c r="V1293" s="38"/>
      <c r="W1293" s="38"/>
      <c r="X1293" s="38"/>
      <c r="Y1293" s="49"/>
      <c r="Z1293" s="49"/>
      <c r="AO1293"/>
      <c r="AP1293"/>
      <c r="AQ1293"/>
      <c r="AZ1293"/>
      <c r="BP1293" s="293"/>
    </row>
    <row r="1294" spans="12:68" ht="15" customHeight="1">
      <c r="L1294" s="296"/>
      <c r="M1294" s="30"/>
      <c r="N1294" s="38"/>
      <c r="O1294" s="38"/>
      <c r="P1294" s="38"/>
      <c r="Q1294" s="38"/>
      <c r="R1294" s="38"/>
      <c r="S1294" s="38"/>
      <c r="T1294" s="38"/>
      <c r="U1294" s="38"/>
      <c r="V1294" s="38"/>
      <c r="W1294" s="38"/>
      <c r="X1294" s="38"/>
      <c r="Y1294" s="49"/>
      <c r="Z1294" s="49"/>
      <c r="AO1294"/>
      <c r="AP1294"/>
      <c r="AQ1294"/>
      <c r="AZ1294"/>
      <c r="BP1294" s="293"/>
    </row>
    <row r="1295" spans="12:68" ht="15" customHeight="1">
      <c r="L1295" s="296"/>
      <c r="M1295" s="30"/>
      <c r="N1295" s="38"/>
      <c r="O1295" s="38"/>
      <c r="P1295" s="38"/>
      <c r="Q1295" s="38"/>
      <c r="R1295" s="38"/>
      <c r="S1295" s="38"/>
      <c r="T1295" s="38"/>
      <c r="U1295" s="38"/>
      <c r="V1295" s="38"/>
      <c r="W1295" s="38"/>
      <c r="X1295" s="38"/>
      <c r="Y1295" s="49"/>
      <c r="Z1295" s="49"/>
      <c r="AO1295"/>
      <c r="AP1295"/>
      <c r="AQ1295"/>
      <c r="AZ1295"/>
      <c r="BP1295" s="293"/>
    </row>
    <row r="1296" spans="12:68" ht="15" customHeight="1">
      <c r="L1296" s="296"/>
      <c r="M1296" s="30"/>
      <c r="N1296" s="38"/>
      <c r="O1296" s="38"/>
      <c r="P1296" s="38"/>
      <c r="Q1296" s="38"/>
      <c r="R1296" s="38"/>
      <c r="S1296" s="38"/>
      <c r="T1296" s="38"/>
      <c r="U1296" s="38"/>
      <c r="V1296" s="38"/>
      <c r="W1296" s="38"/>
      <c r="X1296" s="38"/>
      <c r="Y1296" s="49"/>
      <c r="Z1296" s="49"/>
      <c r="AO1296"/>
      <c r="AP1296"/>
      <c r="AQ1296"/>
      <c r="AZ1296"/>
      <c r="BP1296" s="293"/>
    </row>
    <row r="1297" spans="12:68" ht="15" customHeight="1">
      <c r="L1297" s="296"/>
      <c r="M1297" s="30"/>
      <c r="N1297" s="38"/>
      <c r="O1297" s="38"/>
      <c r="P1297" s="38"/>
      <c r="Q1297" s="38"/>
      <c r="R1297" s="38"/>
      <c r="S1297" s="38"/>
      <c r="T1297" s="38"/>
      <c r="U1297" s="38"/>
      <c r="V1297" s="38"/>
      <c r="W1297" s="38"/>
      <c r="X1297" s="38"/>
      <c r="Y1297" s="49"/>
      <c r="Z1297" s="49"/>
      <c r="AO1297"/>
      <c r="AP1297"/>
      <c r="AQ1297"/>
      <c r="AZ1297"/>
      <c r="BP1297" s="293"/>
    </row>
    <row r="1298" spans="12:68" ht="15" customHeight="1">
      <c r="L1298" s="296"/>
      <c r="M1298" s="30"/>
      <c r="N1298" s="38"/>
      <c r="O1298" s="38"/>
      <c r="P1298" s="38"/>
      <c r="Q1298" s="38"/>
      <c r="R1298" s="38"/>
      <c r="S1298" s="38"/>
      <c r="T1298" s="38"/>
      <c r="U1298" s="38"/>
      <c r="V1298" s="38"/>
      <c r="W1298" s="38"/>
      <c r="X1298" s="38"/>
      <c r="Y1298" s="49"/>
      <c r="Z1298" s="49"/>
      <c r="AO1298"/>
      <c r="AP1298"/>
      <c r="AQ1298"/>
      <c r="AZ1298"/>
      <c r="BP1298" s="293"/>
    </row>
    <row r="1299" spans="12:68" ht="15" customHeight="1">
      <c r="L1299" s="296"/>
      <c r="M1299" s="30"/>
      <c r="N1299" s="38"/>
      <c r="O1299" s="38"/>
      <c r="P1299" s="38"/>
      <c r="Q1299" s="38"/>
      <c r="R1299" s="38"/>
      <c r="S1299" s="38"/>
      <c r="T1299" s="38"/>
      <c r="U1299" s="38"/>
      <c r="V1299" s="38"/>
      <c r="W1299" s="38"/>
      <c r="X1299" s="38"/>
      <c r="Y1299" s="49"/>
      <c r="Z1299" s="49"/>
      <c r="AO1299"/>
      <c r="AP1299"/>
      <c r="AQ1299"/>
      <c r="AZ1299"/>
      <c r="BP1299" s="293"/>
    </row>
    <row r="1300" spans="12:68" ht="15" customHeight="1">
      <c r="L1300" s="296"/>
      <c r="M1300" s="30"/>
      <c r="N1300" s="38"/>
      <c r="O1300" s="38"/>
      <c r="P1300" s="38"/>
      <c r="Q1300" s="38"/>
      <c r="R1300" s="38"/>
      <c r="S1300" s="38"/>
      <c r="T1300" s="38"/>
      <c r="U1300" s="38"/>
      <c r="V1300" s="38"/>
      <c r="W1300" s="38"/>
      <c r="X1300" s="38"/>
      <c r="Y1300" s="49"/>
      <c r="Z1300" s="49"/>
      <c r="AO1300"/>
      <c r="AP1300"/>
      <c r="AQ1300"/>
      <c r="AZ1300"/>
      <c r="BP1300" s="293"/>
    </row>
    <row r="1301" spans="12:68" ht="15" customHeight="1">
      <c r="L1301" s="296"/>
      <c r="M1301" s="30"/>
      <c r="N1301" s="38"/>
      <c r="O1301" s="38"/>
      <c r="P1301" s="38"/>
      <c r="Q1301" s="38"/>
      <c r="R1301" s="38"/>
      <c r="S1301" s="38"/>
      <c r="T1301" s="38"/>
      <c r="U1301" s="38"/>
      <c r="V1301" s="38"/>
      <c r="W1301" s="38"/>
      <c r="X1301" s="38"/>
      <c r="Y1301" s="49"/>
      <c r="Z1301" s="49"/>
      <c r="AO1301"/>
      <c r="AP1301"/>
      <c r="AQ1301"/>
      <c r="AZ1301"/>
      <c r="BP1301" s="293"/>
    </row>
    <row r="1302" spans="12:68" ht="15" customHeight="1">
      <c r="L1302" s="296"/>
      <c r="M1302" s="30"/>
      <c r="N1302" s="38"/>
      <c r="O1302" s="38"/>
      <c r="P1302" s="38"/>
      <c r="Q1302" s="38"/>
      <c r="R1302" s="38"/>
      <c r="S1302" s="38"/>
      <c r="T1302" s="38"/>
      <c r="U1302" s="38"/>
      <c r="V1302" s="38"/>
      <c r="W1302" s="38"/>
      <c r="X1302" s="38"/>
      <c r="Y1302" s="49"/>
      <c r="Z1302" s="49"/>
      <c r="AO1302"/>
      <c r="AP1302"/>
      <c r="AQ1302"/>
      <c r="AZ1302"/>
      <c r="BP1302" s="293"/>
    </row>
    <row r="1303" spans="12:68" ht="15" customHeight="1">
      <c r="L1303" s="296"/>
      <c r="M1303" s="30"/>
      <c r="N1303" s="38"/>
      <c r="O1303" s="38"/>
      <c r="P1303" s="38"/>
      <c r="Q1303" s="38"/>
      <c r="R1303" s="38"/>
      <c r="S1303" s="38"/>
      <c r="T1303" s="38"/>
      <c r="U1303" s="38"/>
      <c r="V1303" s="38"/>
      <c r="W1303" s="38"/>
      <c r="X1303" s="38"/>
      <c r="Y1303" s="49"/>
      <c r="Z1303" s="49"/>
      <c r="AO1303"/>
      <c r="AP1303"/>
      <c r="AQ1303"/>
      <c r="AZ1303"/>
      <c r="BP1303" s="293"/>
    </row>
    <row r="1304" spans="12:68" ht="15" customHeight="1">
      <c r="L1304" s="296"/>
      <c r="M1304" s="30"/>
      <c r="N1304" s="38"/>
      <c r="O1304" s="38"/>
      <c r="P1304" s="38"/>
      <c r="Q1304" s="38"/>
      <c r="R1304" s="38"/>
      <c r="S1304" s="38"/>
      <c r="T1304" s="38"/>
      <c r="U1304" s="38"/>
      <c r="V1304" s="38"/>
      <c r="W1304" s="38"/>
      <c r="X1304" s="38"/>
      <c r="Y1304" s="49"/>
      <c r="Z1304" s="49"/>
      <c r="AO1304"/>
      <c r="AP1304"/>
      <c r="AQ1304"/>
      <c r="AZ1304"/>
      <c r="BP1304" s="293"/>
    </row>
    <row r="1305" spans="12:68" ht="15" customHeight="1">
      <c r="L1305" s="296"/>
      <c r="M1305" s="30"/>
      <c r="N1305" s="38"/>
      <c r="O1305" s="38"/>
      <c r="P1305" s="38"/>
      <c r="Q1305" s="38"/>
      <c r="R1305" s="38"/>
      <c r="S1305" s="38"/>
      <c r="T1305" s="38"/>
      <c r="U1305" s="38"/>
      <c r="V1305" s="38"/>
      <c r="W1305" s="38"/>
      <c r="X1305" s="38"/>
      <c r="Y1305" s="49"/>
      <c r="Z1305" s="49"/>
      <c r="AO1305"/>
      <c r="AP1305"/>
      <c r="AQ1305"/>
      <c r="AZ1305"/>
      <c r="BP1305" s="293"/>
    </row>
    <row r="1306" spans="12:68" ht="15" customHeight="1">
      <c r="L1306" s="296"/>
      <c r="M1306" s="30"/>
      <c r="N1306" s="38"/>
      <c r="O1306" s="38"/>
      <c r="P1306" s="38"/>
      <c r="Q1306" s="38"/>
      <c r="R1306" s="38"/>
      <c r="S1306" s="38"/>
      <c r="T1306" s="38"/>
      <c r="U1306" s="38"/>
      <c r="V1306" s="38"/>
      <c r="W1306" s="38"/>
      <c r="X1306" s="38"/>
      <c r="Y1306" s="49"/>
      <c r="Z1306" s="49"/>
      <c r="AO1306"/>
      <c r="AP1306"/>
      <c r="AQ1306"/>
      <c r="AZ1306"/>
      <c r="BP1306" s="293"/>
    </row>
    <row r="1307" spans="12:68" ht="15" customHeight="1">
      <c r="L1307" s="296"/>
      <c r="M1307" s="30"/>
      <c r="N1307" s="38"/>
      <c r="O1307" s="38"/>
      <c r="P1307" s="38"/>
      <c r="Q1307" s="38"/>
      <c r="R1307" s="38"/>
      <c r="S1307" s="38"/>
      <c r="T1307" s="38"/>
      <c r="U1307" s="38"/>
      <c r="V1307" s="38"/>
      <c r="W1307" s="38"/>
      <c r="X1307" s="38"/>
      <c r="Y1307" s="49"/>
      <c r="Z1307" s="49"/>
      <c r="AO1307"/>
      <c r="AP1307"/>
      <c r="AQ1307"/>
      <c r="AZ1307"/>
      <c r="BP1307" s="293"/>
    </row>
    <row r="1308" spans="12:68" ht="15" customHeight="1">
      <c r="L1308" s="296"/>
      <c r="M1308" s="30"/>
      <c r="N1308" s="38"/>
      <c r="O1308" s="38"/>
      <c r="P1308" s="38"/>
      <c r="Q1308" s="38"/>
      <c r="R1308" s="38"/>
      <c r="S1308" s="38"/>
      <c r="T1308" s="38"/>
      <c r="U1308" s="38"/>
      <c r="V1308" s="38"/>
      <c r="W1308" s="38"/>
      <c r="X1308" s="38"/>
      <c r="Y1308" s="49"/>
      <c r="Z1308" s="49"/>
      <c r="AO1308"/>
      <c r="AP1308"/>
      <c r="AQ1308"/>
      <c r="AZ1308"/>
      <c r="BP1308" s="293"/>
    </row>
    <row r="1309" spans="12:68" ht="15" customHeight="1">
      <c r="L1309" s="296"/>
      <c r="M1309" s="30"/>
      <c r="N1309" s="38"/>
      <c r="O1309" s="38"/>
      <c r="P1309" s="38"/>
      <c r="Q1309" s="38"/>
      <c r="R1309" s="38"/>
      <c r="S1309" s="38"/>
      <c r="T1309" s="38"/>
      <c r="U1309" s="38"/>
      <c r="V1309" s="38"/>
      <c r="W1309" s="38"/>
      <c r="X1309" s="38"/>
      <c r="Y1309" s="49"/>
      <c r="Z1309" s="49"/>
      <c r="AO1309"/>
      <c r="AP1309"/>
      <c r="AQ1309"/>
      <c r="AZ1309"/>
      <c r="BP1309" s="293"/>
    </row>
    <row r="1310" spans="12:68" ht="15" customHeight="1">
      <c r="L1310" s="296"/>
      <c r="M1310" s="30"/>
      <c r="N1310" s="38"/>
      <c r="O1310" s="38"/>
      <c r="P1310" s="38"/>
      <c r="Q1310" s="38"/>
      <c r="R1310" s="38"/>
      <c r="S1310" s="38"/>
      <c r="T1310" s="38"/>
      <c r="U1310" s="38"/>
      <c r="V1310" s="38"/>
      <c r="W1310" s="38"/>
      <c r="X1310" s="38"/>
      <c r="Y1310" s="49"/>
      <c r="Z1310" s="49"/>
      <c r="AO1310"/>
      <c r="AP1310"/>
      <c r="AQ1310"/>
      <c r="AZ1310"/>
      <c r="BP1310" s="293"/>
    </row>
    <row r="1311" spans="12:68" ht="15" customHeight="1">
      <c r="L1311" s="296"/>
      <c r="M1311" s="30"/>
      <c r="N1311" s="38"/>
      <c r="O1311" s="38"/>
      <c r="P1311" s="38"/>
      <c r="Q1311" s="38"/>
      <c r="R1311" s="38"/>
      <c r="S1311" s="38"/>
      <c r="T1311" s="38"/>
      <c r="U1311" s="38"/>
      <c r="V1311" s="38"/>
      <c r="W1311" s="38"/>
      <c r="X1311" s="38"/>
      <c r="Y1311" s="49"/>
      <c r="Z1311" s="49"/>
      <c r="AO1311"/>
      <c r="AP1311"/>
      <c r="AQ1311"/>
      <c r="AZ1311"/>
      <c r="BP1311" s="293"/>
    </row>
    <row r="1312" spans="12:68" ht="15" customHeight="1">
      <c r="L1312" s="296"/>
      <c r="M1312" s="30"/>
      <c r="N1312" s="38"/>
      <c r="O1312" s="38"/>
      <c r="P1312" s="38"/>
      <c r="Q1312" s="38"/>
      <c r="R1312" s="38"/>
      <c r="S1312" s="38"/>
      <c r="T1312" s="38"/>
      <c r="U1312" s="38"/>
      <c r="V1312" s="38"/>
      <c r="W1312" s="38"/>
      <c r="X1312" s="38"/>
      <c r="Y1312" s="49"/>
      <c r="Z1312" s="49"/>
      <c r="AO1312"/>
      <c r="AP1312"/>
      <c r="AQ1312"/>
      <c r="AZ1312"/>
      <c r="BP1312" s="293"/>
    </row>
    <row r="1313" spans="12:68" ht="15" customHeight="1">
      <c r="L1313" s="296"/>
      <c r="M1313" s="30"/>
      <c r="N1313" s="38"/>
      <c r="O1313" s="38"/>
      <c r="P1313" s="38"/>
      <c r="Q1313" s="38"/>
      <c r="R1313" s="38"/>
      <c r="S1313" s="38"/>
      <c r="T1313" s="38"/>
      <c r="U1313" s="38"/>
      <c r="V1313" s="38"/>
      <c r="W1313" s="38"/>
      <c r="X1313" s="38"/>
      <c r="Y1313" s="49"/>
      <c r="Z1313" s="49"/>
      <c r="AO1313"/>
      <c r="AP1313"/>
      <c r="AQ1313"/>
      <c r="AZ1313"/>
      <c r="BP1313" s="293"/>
    </row>
    <row r="1314" spans="12:68" ht="15" customHeight="1">
      <c r="L1314" s="296"/>
      <c r="M1314" s="30"/>
      <c r="N1314" s="38"/>
      <c r="O1314" s="38"/>
      <c r="P1314" s="38"/>
      <c r="Q1314" s="38"/>
      <c r="R1314" s="38"/>
      <c r="S1314" s="38"/>
      <c r="T1314" s="38"/>
      <c r="U1314" s="38"/>
      <c r="V1314" s="38"/>
      <c r="W1314" s="38"/>
      <c r="X1314" s="38"/>
      <c r="Y1314" s="49"/>
      <c r="Z1314" s="49"/>
      <c r="AO1314"/>
      <c r="AP1314"/>
      <c r="AQ1314"/>
      <c r="AZ1314"/>
      <c r="BP1314" s="293"/>
    </row>
    <row r="1315" spans="12:68" ht="15" customHeight="1">
      <c r="L1315" s="296"/>
      <c r="M1315" s="30"/>
      <c r="N1315" s="38"/>
      <c r="O1315" s="38"/>
      <c r="P1315" s="38"/>
      <c r="Q1315" s="38"/>
      <c r="R1315" s="38"/>
      <c r="S1315" s="38"/>
      <c r="T1315" s="38"/>
      <c r="U1315" s="38"/>
      <c r="V1315" s="38"/>
      <c r="W1315" s="38"/>
      <c r="X1315" s="38"/>
      <c r="Y1315" s="49"/>
      <c r="Z1315" s="49"/>
      <c r="AO1315"/>
      <c r="AP1315"/>
      <c r="AQ1315"/>
      <c r="AZ1315"/>
      <c r="BP1315" s="293"/>
    </row>
    <row r="1316" spans="12:68" ht="15" customHeight="1">
      <c r="L1316" s="296"/>
      <c r="M1316" s="30"/>
      <c r="N1316" s="38"/>
      <c r="O1316" s="38"/>
      <c r="P1316" s="38"/>
      <c r="Q1316" s="38"/>
      <c r="R1316" s="38"/>
      <c r="S1316" s="38"/>
      <c r="T1316" s="38"/>
      <c r="U1316" s="38"/>
      <c r="V1316" s="38"/>
      <c r="W1316" s="38"/>
      <c r="X1316" s="38"/>
      <c r="Y1316" s="49"/>
      <c r="Z1316" s="49"/>
      <c r="AO1316"/>
      <c r="AP1316"/>
      <c r="AQ1316"/>
      <c r="AZ1316"/>
      <c r="BP1316" s="293"/>
    </row>
    <row r="1317" spans="12:68" ht="15" customHeight="1">
      <c r="L1317" s="296"/>
      <c r="M1317" s="30"/>
      <c r="N1317" s="38"/>
      <c r="O1317" s="38"/>
      <c r="P1317" s="38"/>
      <c r="Q1317" s="38"/>
      <c r="R1317" s="38"/>
      <c r="S1317" s="38"/>
      <c r="T1317" s="38"/>
      <c r="U1317" s="38"/>
      <c r="V1317" s="38"/>
      <c r="W1317" s="38"/>
      <c r="X1317" s="38"/>
      <c r="Y1317" s="49"/>
      <c r="Z1317" s="49"/>
      <c r="AO1317"/>
      <c r="AP1317"/>
      <c r="AQ1317"/>
      <c r="AZ1317"/>
      <c r="BP1317" s="293"/>
    </row>
    <row r="1318" spans="12:68" ht="15" customHeight="1">
      <c r="L1318" s="296"/>
      <c r="M1318" s="30"/>
      <c r="N1318" s="38"/>
      <c r="O1318" s="38"/>
      <c r="P1318" s="38"/>
      <c r="Q1318" s="38"/>
      <c r="R1318" s="38"/>
      <c r="S1318" s="38"/>
      <c r="T1318" s="38"/>
      <c r="U1318" s="38"/>
      <c r="V1318" s="38"/>
      <c r="W1318" s="38"/>
      <c r="X1318" s="38"/>
      <c r="Y1318" s="49"/>
      <c r="Z1318" s="49"/>
      <c r="AO1318"/>
      <c r="AP1318"/>
      <c r="AQ1318"/>
      <c r="AZ1318"/>
      <c r="BP1318" s="293"/>
    </row>
    <row r="1319" spans="12:68" ht="15" customHeight="1">
      <c r="L1319" s="296"/>
      <c r="M1319" s="30"/>
      <c r="N1319" s="38"/>
      <c r="O1319" s="38"/>
      <c r="P1319" s="38"/>
      <c r="Q1319" s="38"/>
      <c r="R1319" s="38"/>
      <c r="S1319" s="38"/>
      <c r="T1319" s="38"/>
      <c r="U1319" s="38"/>
      <c r="V1319" s="38"/>
      <c r="W1319" s="38"/>
      <c r="X1319" s="38"/>
      <c r="Y1319" s="49"/>
      <c r="Z1319" s="49"/>
      <c r="AO1319"/>
      <c r="AP1319"/>
      <c r="AQ1319"/>
      <c r="AZ1319"/>
      <c r="BP1319" s="293"/>
    </row>
    <row r="1320" spans="12:68" ht="15" customHeight="1">
      <c r="L1320" s="296"/>
      <c r="M1320" s="30"/>
      <c r="N1320" s="38"/>
      <c r="O1320" s="38"/>
      <c r="P1320" s="38"/>
      <c r="Q1320" s="38"/>
      <c r="R1320" s="38"/>
      <c r="S1320" s="38"/>
      <c r="T1320" s="38"/>
      <c r="U1320" s="38"/>
      <c r="V1320" s="38"/>
      <c r="W1320" s="38"/>
      <c r="X1320" s="38"/>
      <c r="Y1320" s="49"/>
      <c r="Z1320" s="49"/>
      <c r="AO1320"/>
      <c r="AP1320"/>
      <c r="AQ1320"/>
      <c r="AZ1320"/>
      <c r="BP1320" s="293"/>
    </row>
    <row r="1321" spans="12:68" ht="15" customHeight="1">
      <c r="L1321" s="296"/>
      <c r="M1321" s="30"/>
      <c r="N1321" s="38"/>
      <c r="O1321" s="38"/>
      <c r="P1321" s="38"/>
      <c r="Q1321" s="38"/>
      <c r="R1321" s="38"/>
      <c r="S1321" s="38"/>
      <c r="T1321" s="38"/>
      <c r="U1321" s="38"/>
      <c r="V1321" s="38"/>
      <c r="W1321" s="38"/>
      <c r="X1321" s="38"/>
      <c r="Y1321" s="49"/>
      <c r="Z1321" s="49"/>
      <c r="AO1321"/>
      <c r="AP1321"/>
      <c r="AQ1321"/>
      <c r="AZ1321"/>
      <c r="BP1321" s="293"/>
    </row>
    <row r="1322" spans="12:68" ht="15" customHeight="1">
      <c r="L1322" s="296"/>
      <c r="M1322" s="30"/>
      <c r="N1322" s="38"/>
      <c r="O1322" s="38"/>
      <c r="P1322" s="38"/>
      <c r="Q1322" s="38"/>
      <c r="R1322" s="38"/>
      <c r="S1322" s="38"/>
      <c r="T1322" s="38"/>
      <c r="U1322" s="38"/>
      <c r="V1322" s="38"/>
      <c r="W1322" s="38"/>
      <c r="X1322" s="38"/>
      <c r="Y1322" s="49"/>
      <c r="Z1322" s="49"/>
      <c r="AO1322"/>
      <c r="AP1322"/>
      <c r="AQ1322"/>
      <c r="AZ1322"/>
      <c r="BP1322" s="293"/>
    </row>
    <row r="1323" spans="12:68" ht="15" customHeight="1">
      <c r="L1323" s="296"/>
      <c r="M1323" s="30"/>
      <c r="N1323" s="38"/>
      <c r="O1323" s="38"/>
      <c r="P1323" s="38"/>
      <c r="Q1323" s="38"/>
      <c r="R1323" s="38"/>
      <c r="S1323" s="38"/>
      <c r="T1323" s="38"/>
      <c r="U1323" s="38"/>
      <c r="V1323" s="38"/>
      <c r="W1323" s="38"/>
      <c r="X1323" s="38"/>
      <c r="Y1323" s="49"/>
      <c r="Z1323" s="49"/>
      <c r="AO1323"/>
      <c r="AP1323"/>
      <c r="AQ1323"/>
      <c r="AZ1323"/>
      <c r="BP1323" s="293"/>
    </row>
    <row r="1324" spans="12:68" ht="15" customHeight="1">
      <c r="L1324" s="296"/>
      <c r="M1324" s="30"/>
      <c r="N1324" s="38"/>
      <c r="O1324" s="38"/>
      <c r="P1324" s="38"/>
      <c r="Q1324" s="38"/>
      <c r="R1324" s="38"/>
      <c r="S1324" s="38"/>
      <c r="T1324" s="38"/>
      <c r="U1324" s="38"/>
      <c r="V1324" s="38"/>
      <c r="W1324" s="38"/>
      <c r="X1324" s="38"/>
      <c r="Y1324" s="49"/>
      <c r="Z1324" s="49"/>
      <c r="AO1324"/>
      <c r="AP1324"/>
      <c r="AQ1324"/>
      <c r="AZ1324"/>
      <c r="BP1324" s="293"/>
    </row>
    <row r="1325" spans="12:68" ht="15" customHeight="1">
      <c r="L1325" s="296"/>
      <c r="M1325" s="30"/>
      <c r="N1325" s="38"/>
      <c r="O1325" s="38"/>
      <c r="P1325" s="38"/>
      <c r="Q1325" s="38"/>
      <c r="R1325" s="38"/>
      <c r="S1325" s="38"/>
      <c r="T1325" s="38"/>
      <c r="U1325" s="38"/>
      <c r="V1325" s="38"/>
      <c r="W1325" s="38"/>
      <c r="X1325" s="38"/>
      <c r="Y1325" s="49"/>
      <c r="Z1325" s="49"/>
      <c r="AO1325"/>
      <c r="AP1325"/>
      <c r="AQ1325"/>
      <c r="AZ1325"/>
      <c r="BP1325" s="293"/>
    </row>
    <row r="1326" spans="12:68" ht="15" customHeight="1">
      <c r="L1326" s="296"/>
      <c r="M1326" s="30"/>
      <c r="N1326" s="38"/>
      <c r="O1326" s="38"/>
      <c r="P1326" s="38"/>
      <c r="Q1326" s="38"/>
      <c r="R1326" s="38"/>
      <c r="S1326" s="38"/>
      <c r="T1326" s="38"/>
      <c r="U1326" s="38"/>
      <c r="V1326" s="38"/>
      <c r="W1326" s="38"/>
      <c r="X1326" s="38"/>
      <c r="Y1326" s="49"/>
      <c r="Z1326" s="49"/>
      <c r="AO1326"/>
      <c r="AP1326"/>
      <c r="AQ1326"/>
      <c r="AZ1326"/>
      <c r="BP1326" s="293"/>
    </row>
    <row r="1327" spans="12:68" ht="15" customHeight="1">
      <c r="L1327" s="296"/>
      <c r="M1327" s="30"/>
      <c r="N1327" s="38"/>
      <c r="O1327" s="38"/>
      <c r="P1327" s="38"/>
      <c r="Q1327" s="38"/>
      <c r="R1327" s="38"/>
      <c r="S1327" s="38"/>
      <c r="T1327" s="38"/>
      <c r="U1327" s="38"/>
      <c r="V1327" s="38"/>
      <c r="W1327" s="38"/>
      <c r="X1327" s="38"/>
      <c r="Y1327" s="49"/>
      <c r="Z1327" s="49"/>
      <c r="AO1327"/>
      <c r="AP1327"/>
      <c r="AQ1327"/>
      <c r="AZ1327"/>
      <c r="BP1327" s="293"/>
    </row>
    <row r="1328" spans="12:68" ht="15" customHeight="1">
      <c r="L1328" s="296"/>
      <c r="M1328" s="30"/>
      <c r="N1328" s="38"/>
      <c r="O1328" s="38"/>
      <c r="P1328" s="38"/>
      <c r="Q1328" s="38"/>
      <c r="R1328" s="38"/>
      <c r="S1328" s="38"/>
      <c r="T1328" s="38"/>
      <c r="U1328" s="38"/>
      <c r="V1328" s="38"/>
      <c r="W1328" s="38"/>
      <c r="X1328" s="38"/>
      <c r="Y1328" s="49"/>
      <c r="Z1328" s="49"/>
      <c r="AO1328"/>
      <c r="AP1328"/>
      <c r="AQ1328"/>
      <c r="AZ1328"/>
      <c r="BP1328" s="293"/>
    </row>
    <row r="1329" spans="12:68" ht="15" customHeight="1">
      <c r="L1329" s="296"/>
      <c r="M1329" s="30"/>
      <c r="N1329" s="38"/>
      <c r="O1329" s="38"/>
      <c r="P1329" s="38"/>
      <c r="Q1329" s="38"/>
      <c r="R1329" s="38"/>
      <c r="S1329" s="38"/>
      <c r="T1329" s="38"/>
      <c r="U1329" s="38"/>
      <c r="V1329" s="38"/>
      <c r="W1329" s="38"/>
      <c r="X1329" s="38"/>
      <c r="Y1329" s="49"/>
      <c r="Z1329" s="49"/>
      <c r="AO1329"/>
      <c r="AP1329"/>
      <c r="AQ1329"/>
      <c r="AZ1329"/>
      <c r="BP1329" s="293"/>
    </row>
    <row r="1330" spans="12:68" ht="15" customHeight="1">
      <c r="L1330" s="296"/>
      <c r="M1330" s="30"/>
      <c r="N1330" s="38"/>
      <c r="O1330" s="38"/>
      <c r="P1330" s="38"/>
      <c r="Q1330" s="38"/>
      <c r="R1330" s="38"/>
      <c r="S1330" s="38"/>
      <c r="T1330" s="38"/>
      <c r="U1330" s="38"/>
      <c r="V1330" s="38"/>
      <c r="W1330" s="38"/>
      <c r="X1330" s="38"/>
      <c r="Y1330" s="49"/>
      <c r="Z1330" s="49"/>
      <c r="AO1330"/>
      <c r="AP1330"/>
      <c r="AQ1330"/>
      <c r="AZ1330"/>
      <c r="BP1330" s="293"/>
    </row>
    <row r="1331" spans="12:68" ht="15" customHeight="1">
      <c r="L1331" s="296"/>
      <c r="M1331" s="30"/>
      <c r="N1331" s="38"/>
      <c r="O1331" s="38"/>
      <c r="P1331" s="38"/>
      <c r="Q1331" s="38"/>
      <c r="R1331" s="38"/>
      <c r="S1331" s="38"/>
      <c r="T1331" s="38"/>
      <c r="U1331" s="38"/>
      <c r="V1331" s="38"/>
      <c r="W1331" s="38"/>
      <c r="X1331" s="38"/>
      <c r="Y1331" s="49"/>
      <c r="Z1331" s="49"/>
      <c r="AO1331"/>
      <c r="AP1331"/>
      <c r="AQ1331"/>
      <c r="AZ1331"/>
      <c r="BP1331" s="293"/>
    </row>
    <row r="1332" spans="12:68" ht="15" customHeight="1">
      <c r="L1332" s="296"/>
      <c r="M1332" s="30"/>
      <c r="N1332" s="38"/>
      <c r="O1332" s="38"/>
      <c r="P1332" s="38"/>
      <c r="Q1332" s="38"/>
      <c r="R1332" s="38"/>
      <c r="S1332" s="38"/>
      <c r="T1332" s="38"/>
      <c r="U1332" s="38"/>
      <c r="V1332" s="38"/>
      <c r="W1332" s="38"/>
      <c r="X1332" s="38"/>
      <c r="Y1332" s="49"/>
      <c r="Z1332" s="49"/>
      <c r="AO1332"/>
      <c r="AP1332"/>
      <c r="AQ1332"/>
      <c r="AZ1332"/>
      <c r="BP1332" s="293"/>
    </row>
    <row r="1333" spans="12:68" ht="15" customHeight="1">
      <c r="L1333" s="296"/>
      <c r="M1333" s="30"/>
      <c r="N1333" s="38"/>
      <c r="O1333" s="38"/>
      <c r="P1333" s="38"/>
      <c r="Q1333" s="38"/>
      <c r="R1333" s="38"/>
      <c r="S1333" s="38"/>
      <c r="T1333" s="38"/>
      <c r="U1333" s="38"/>
      <c r="V1333" s="38"/>
      <c r="W1333" s="38"/>
      <c r="X1333" s="38"/>
      <c r="Y1333" s="49"/>
      <c r="Z1333" s="49"/>
      <c r="AO1333"/>
      <c r="AP1333"/>
      <c r="AQ1333"/>
      <c r="AZ1333"/>
      <c r="BP1333" s="293"/>
    </row>
    <row r="1334" spans="12:68" ht="15" customHeight="1">
      <c r="L1334" s="296"/>
      <c r="M1334" s="30"/>
      <c r="N1334" s="38"/>
      <c r="O1334" s="38"/>
      <c r="P1334" s="38"/>
      <c r="Q1334" s="38"/>
      <c r="R1334" s="38"/>
      <c r="S1334" s="38"/>
      <c r="T1334" s="38"/>
      <c r="U1334" s="38"/>
      <c r="V1334" s="38"/>
      <c r="W1334" s="38"/>
      <c r="X1334" s="38"/>
      <c r="Y1334" s="49"/>
      <c r="Z1334" s="49"/>
      <c r="AO1334"/>
      <c r="AP1334"/>
      <c r="AQ1334"/>
      <c r="AZ1334"/>
      <c r="BP1334" s="293"/>
    </row>
    <row r="1335" spans="12:68" ht="15" customHeight="1">
      <c r="L1335" s="296"/>
      <c r="M1335" s="30"/>
      <c r="N1335" s="38"/>
      <c r="O1335" s="38"/>
      <c r="P1335" s="38"/>
      <c r="Q1335" s="38"/>
      <c r="R1335" s="38"/>
      <c r="S1335" s="38"/>
      <c r="T1335" s="38"/>
      <c r="U1335" s="38"/>
      <c r="V1335" s="38"/>
      <c r="W1335" s="38"/>
      <c r="X1335" s="38"/>
      <c r="Y1335" s="49"/>
      <c r="Z1335" s="49"/>
      <c r="AO1335"/>
      <c r="AP1335"/>
      <c r="AQ1335"/>
      <c r="AZ1335"/>
      <c r="BP1335" s="293"/>
    </row>
    <row r="1336" spans="12:68" ht="15" customHeight="1">
      <c r="L1336" s="296"/>
      <c r="M1336" s="30"/>
      <c r="N1336" s="38"/>
      <c r="O1336" s="38"/>
      <c r="P1336" s="38"/>
      <c r="Q1336" s="38"/>
      <c r="R1336" s="38"/>
      <c r="S1336" s="38"/>
      <c r="T1336" s="38"/>
      <c r="U1336" s="38"/>
      <c r="V1336" s="38"/>
      <c r="W1336" s="38"/>
      <c r="X1336" s="38"/>
      <c r="Y1336" s="49"/>
      <c r="Z1336" s="49"/>
      <c r="AO1336"/>
      <c r="AP1336"/>
      <c r="AQ1336"/>
      <c r="AZ1336"/>
      <c r="BP1336" s="293"/>
    </row>
    <row r="1337" spans="12:68" ht="15" customHeight="1">
      <c r="L1337" s="296"/>
      <c r="M1337" s="30"/>
      <c r="N1337" s="38"/>
      <c r="O1337" s="38"/>
      <c r="P1337" s="38"/>
      <c r="Q1337" s="38"/>
      <c r="R1337" s="38"/>
      <c r="S1337" s="38"/>
      <c r="T1337" s="38"/>
      <c r="U1337" s="38"/>
      <c r="V1337" s="38"/>
      <c r="W1337" s="38"/>
      <c r="X1337" s="38"/>
      <c r="Y1337" s="49"/>
      <c r="Z1337" s="49"/>
      <c r="AO1337"/>
      <c r="AP1337"/>
      <c r="AQ1337"/>
      <c r="AZ1337"/>
      <c r="BP1337" s="293"/>
    </row>
    <row r="1338" spans="12:68" ht="15" customHeight="1">
      <c r="L1338" s="296"/>
      <c r="M1338" s="30"/>
      <c r="N1338" s="38"/>
      <c r="O1338" s="38"/>
      <c r="P1338" s="38"/>
      <c r="Q1338" s="38"/>
      <c r="R1338" s="38"/>
      <c r="S1338" s="38"/>
      <c r="T1338" s="38"/>
      <c r="U1338" s="38"/>
      <c r="V1338" s="38"/>
      <c r="W1338" s="38"/>
      <c r="X1338" s="38"/>
      <c r="Y1338" s="49"/>
      <c r="Z1338" s="49"/>
      <c r="AO1338"/>
      <c r="AP1338"/>
      <c r="AQ1338"/>
      <c r="AZ1338"/>
      <c r="BP1338" s="293"/>
    </row>
    <row r="1339" spans="12:68" ht="15" customHeight="1">
      <c r="L1339" s="296"/>
      <c r="M1339" s="30"/>
      <c r="N1339" s="38"/>
      <c r="O1339" s="38"/>
      <c r="P1339" s="38"/>
      <c r="Q1339" s="38"/>
      <c r="R1339" s="38"/>
      <c r="S1339" s="38"/>
      <c r="T1339" s="38"/>
      <c r="U1339" s="38"/>
      <c r="V1339" s="38"/>
      <c r="W1339" s="38"/>
      <c r="X1339" s="38"/>
      <c r="Y1339" s="49"/>
      <c r="Z1339" s="49"/>
      <c r="AO1339"/>
      <c r="AP1339"/>
      <c r="AQ1339"/>
      <c r="AZ1339"/>
      <c r="BP1339" s="293"/>
    </row>
    <row r="1340" spans="12:68" ht="15" customHeight="1">
      <c r="L1340" s="296"/>
      <c r="M1340" s="30"/>
      <c r="N1340" s="38"/>
      <c r="O1340" s="38"/>
      <c r="P1340" s="38"/>
      <c r="Q1340" s="38"/>
      <c r="R1340" s="38"/>
      <c r="S1340" s="38"/>
      <c r="T1340" s="38"/>
      <c r="U1340" s="38"/>
      <c r="V1340" s="38"/>
      <c r="W1340" s="38"/>
      <c r="X1340" s="38"/>
      <c r="Y1340" s="49"/>
      <c r="Z1340" s="49"/>
      <c r="AO1340"/>
      <c r="AP1340"/>
      <c r="AQ1340"/>
      <c r="AZ1340"/>
      <c r="BP1340" s="293"/>
    </row>
    <row r="1341" spans="12:68" ht="15" customHeight="1">
      <c r="L1341" s="296"/>
      <c r="M1341" s="30"/>
      <c r="N1341" s="38"/>
      <c r="O1341" s="38"/>
      <c r="P1341" s="38"/>
      <c r="Q1341" s="38"/>
      <c r="R1341" s="38"/>
      <c r="S1341" s="38"/>
      <c r="T1341" s="38"/>
      <c r="U1341" s="38"/>
      <c r="V1341" s="38"/>
      <c r="W1341" s="38"/>
      <c r="X1341" s="38"/>
      <c r="Y1341" s="49"/>
      <c r="Z1341" s="49"/>
      <c r="AO1341"/>
      <c r="AP1341"/>
      <c r="AQ1341"/>
      <c r="AZ1341"/>
      <c r="BP1341" s="293"/>
    </row>
    <row r="1342" spans="12:68" ht="15" customHeight="1">
      <c r="L1342" s="296"/>
      <c r="M1342" s="30"/>
      <c r="N1342" s="38"/>
      <c r="O1342" s="38"/>
      <c r="P1342" s="38"/>
      <c r="Q1342" s="38"/>
      <c r="R1342" s="38"/>
      <c r="S1342" s="38"/>
      <c r="T1342" s="38"/>
      <c r="U1342" s="38"/>
      <c r="V1342" s="38"/>
      <c r="W1342" s="38"/>
      <c r="X1342" s="38"/>
      <c r="Y1342" s="49"/>
      <c r="Z1342" s="49"/>
      <c r="AO1342"/>
      <c r="AP1342"/>
      <c r="AQ1342"/>
      <c r="AZ1342"/>
      <c r="BP1342" s="293"/>
    </row>
    <row r="1343" spans="12:68" ht="15" customHeight="1">
      <c r="L1343" s="296"/>
      <c r="M1343" s="30"/>
      <c r="N1343" s="38"/>
      <c r="O1343" s="38"/>
      <c r="P1343" s="38"/>
      <c r="Q1343" s="38"/>
      <c r="R1343" s="38"/>
      <c r="S1343" s="38"/>
      <c r="T1343" s="38"/>
      <c r="U1343" s="38"/>
      <c r="V1343" s="38"/>
      <c r="W1343" s="38"/>
      <c r="X1343" s="38"/>
      <c r="Y1343" s="49"/>
      <c r="Z1343" s="49"/>
      <c r="AO1343"/>
      <c r="AP1343"/>
      <c r="AQ1343"/>
      <c r="AZ1343"/>
      <c r="BP1343" s="293"/>
    </row>
    <row r="1344" spans="12:68" ht="15" customHeight="1">
      <c r="L1344" s="296"/>
      <c r="M1344" s="30"/>
      <c r="N1344" s="38"/>
      <c r="O1344" s="38"/>
      <c r="P1344" s="38"/>
      <c r="Q1344" s="38"/>
      <c r="R1344" s="38"/>
      <c r="S1344" s="38"/>
      <c r="T1344" s="38"/>
      <c r="U1344" s="38"/>
      <c r="V1344" s="38"/>
      <c r="W1344" s="38"/>
      <c r="X1344" s="38"/>
      <c r="Y1344" s="49"/>
      <c r="Z1344" s="49"/>
      <c r="AO1344"/>
      <c r="AP1344"/>
      <c r="AQ1344"/>
      <c r="AZ1344"/>
      <c r="BP1344" s="293"/>
    </row>
    <row r="1345" spans="12:68" ht="15" customHeight="1">
      <c r="L1345" s="296"/>
      <c r="M1345" s="30"/>
      <c r="N1345" s="38"/>
      <c r="O1345" s="38"/>
      <c r="P1345" s="38"/>
      <c r="Q1345" s="38"/>
      <c r="R1345" s="38"/>
      <c r="S1345" s="38"/>
      <c r="T1345" s="38"/>
      <c r="U1345" s="38"/>
      <c r="V1345" s="38"/>
      <c r="W1345" s="38"/>
      <c r="X1345" s="38"/>
      <c r="Y1345" s="49"/>
      <c r="Z1345" s="49"/>
      <c r="AO1345"/>
      <c r="AP1345"/>
      <c r="AQ1345"/>
      <c r="AZ1345"/>
      <c r="BP1345" s="293"/>
    </row>
    <row r="1346" spans="12:68" ht="15" customHeight="1">
      <c r="L1346" s="296"/>
      <c r="M1346" s="30"/>
      <c r="N1346" s="38"/>
      <c r="O1346" s="38"/>
      <c r="P1346" s="38"/>
      <c r="Q1346" s="38"/>
      <c r="R1346" s="38"/>
      <c r="S1346" s="38"/>
      <c r="T1346" s="38"/>
      <c r="U1346" s="38"/>
      <c r="V1346" s="38"/>
      <c r="W1346" s="38"/>
      <c r="X1346" s="38"/>
      <c r="Y1346" s="49"/>
      <c r="Z1346" s="49"/>
      <c r="AO1346"/>
      <c r="AP1346"/>
      <c r="AQ1346"/>
      <c r="AZ1346"/>
      <c r="BP1346" s="293"/>
    </row>
    <row r="1347" spans="12:68" ht="15" customHeight="1">
      <c r="L1347" s="296"/>
      <c r="M1347" s="30"/>
      <c r="N1347" s="38"/>
      <c r="O1347" s="38"/>
      <c r="P1347" s="38"/>
      <c r="Q1347" s="38"/>
      <c r="R1347" s="38"/>
      <c r="S1347" s="38"/>
      <c r="T1347" s="38"/>
      <c r="U1347" s="38"/>
      <c r="V1347" s="38"/>
      <c r="W1347" s="38"/>
      <c r="X1347" s="38"/>
      <c r="Y1347" s="49"/>
      <c r="Z1347" s="49"/>
      <c r="AO1347"/>
      <c r="AP1347"/>
      <c r="AQ1347"/>
      <c r="AZ1347"/>
      <c r="BP1347" s="293"/>
    </row>
    <row r="1348" spans="12:68" ht="15" customHeight="1">
      <c r="L1348" s="296"/>
      <c r="M1348" s="30"/>
      <c r="N1348" s="38"/>
      <c r="O1348" s="38"/>
      <c r="P1348" s="38"/>
      <c r="Q1348" s="38"/>
      <c r="R1348" s="38"/>
      <c r="S1348" s="38"/>
      <c r="T1348" s="38"/>
      <c r="U1348" s="38"/>
      <c r="V1348" s="38"/>
      <c r="W1348" s="38"/>
      <c r="X1348" s="38"/>
      <c r="Y1348" s="49"/>
      <c r="Z1348" s="49"/>
      <c r="AO1348"/>
      <c r="AP1348"/>
      <c r="AQ1348"/>
      <c r="AZ1348"/>
      <c r="BP1348" s="293"/>
    </row>
    <row r="1349" spans="12:68" ht="15" customHeight="1">
      <c r="L1349" s="296"/>
      <c r="M1349" s="30"/>
      <c r="N1349" s="38"/>
      <c r="O1349" s="38"/>
      <c r="P1349" s="38"/>
      <c r="Q1349" s="38"/>
      <c r="R1349" s="38"/>
      <c r="S1349" s="38"/>
      <c r="T1349" s="38"/>
      <c r="U1349" s="38"/>
      <c r="V1349" s="38"/>
      <c r="W1349" s="38"/>
      <c r="X1349" s="38"/>
      <c r="Y1349" s="49"/>
      <c r="Z1349" s="49"/>
      <c r="AO1349"/>
      <c r="AP1349"/>
      <c r="AQ1349"/>
      <c r="AZ1349"/>
      <c r="BP1349" s="293"/>
    </row>
    <row r="1350" spans="12:68" ht="15" customHeight="1">
      <c r="L1350" s="296"/>
      <c r="M1350" s="30"/>
      <c r="N1350" s="38"/>
      <c r="O1350" s="38"/>
      <c r="P1350" s="38"/>
      <c r="Q1350" s="38"/>
      <c r="R1350" s="38"/>
      <c r="S1350" s="38"/>
      <c r="T1350" s="38"/>
      <c r="U1350" s="38"/>
      <c r="V1350" s="38"/>
      <c r="W1350" s="38"/>
      <c r="X1350" s="38"/>
      <c r="Y1350" s="49"/>
      <c r="Z1350" s="49"/>
      <c r="AO1350"/>
      <c r="AP1350"/>
      <c r="AQ1350"/>
      <c r="AZ1350"/>
      <c r="BP1350" s="293"/>
    </row>
    <row r="1351" spans="12:68" ht="15" customHeight="1">
      <c r="L1351" s="296"/>
      <c r="M1351" s="30"/>
      <c r="N1351" s="38"/>
      <c r="O1351" s="38"/>
      <c r="P1351" s="38"/>
      <c r="Q1351" s="38"/>
      <c r="R1351" s="38"/>
      <c r="S1351" s="38"/>
      <c r="T1351" s="38"/>
      <c r="U1351" s="38"/>
      <c r="V1351" s="38"/>
      <c r="W1351" s="38"/>
      <c r="X1351" s="38"/>
      <c r="Y1351" s="49"/>
      <c r="Z1351" s="49"/>
      <c r="AO1351"/>
      <c r="AP1351"/>
      <c r="AQ1351"/>
      <c r="AZ1351"/>
      <c r="BP1351" s="293"/>
    </row>
    <row r="1352" spans="12:68" ht="15" customHeight="1">
      <c r="L1352" s="296"/>
      <c r="M1352" s="30"/>
      <c r="N1352" s="38"/>
      <c r="O1352" s="38"/>
      <c r="P1352" s="38"/>
      <c r="Q1352" s="38"/>
      <c r="R1352" s="38"/>
      <c r="S1352" s="38"/>
      <c r="T1352" s="38"/>
      <c r="U1352" s="38"/>
      <c r="V1352" s="38"/>
      <c r="W1352" s="38"/>
      <c r="X1352" s="38"/>
      <c r="Y1352" s="49"/>
      <c r="Z1352" s="49"/>
      <c r="AO1352"/>
      <c r="AP1352"/>
      <c r="AQ1352"/>
      <c r="AZ1352"/>
      <c r="BP1352" s="293"/>
    </row>
    <row r="1353" spans="12:68" ht="15" customHeight="1">
      <c r="L1353" s="296"/>
      <c r="M1353" s="30"/>
      <c r="N1353" s="38"/>
      <c r="O1353" s="38"/>
      <c r="P1353" s="38"/>
      <c r="Q1353" s="38"/>
      <c r="R1353" s="38"/>
      <c r="S1353" s="38"/>
      <c r="T1353" s="38"/>
      <c r="U1353" s="38"/>
      <c r="V1353" s="38"/>
      <c r="W1353" s="38"/>
      <c r="X1353" s="38"/>
      <c r="Y1353" s="49"/>
      <c r="Z1353" s="49"/>
      <c r="AO1353"/>
      <c r="AP1353"/>
      <c r="AQ1353"/>
      <c r="AZ1353"/>
      <c r="BP1353" s="293"/>
    </row>
    <row r="1354" spans="12:68" ht="15" customHeight="1">
      <c r="L1354" s="296"/>
      <c r="M1354" s="30"/>
      <c r="N1354" s="38"/>
      <c r="O1354" s="38"/>
      <c r="P1354" s="38"/>
      <c r="Q1354" s="38"/>
      <c r="R1354" s="38"/>
      <c r="S1354" s="38"/>
      <c r="T1354" s="38"/>
      <c r="U1354" s="38"/>
      <c r="V1354" s="38"/>
      <c r="W1354" s="38"/>
      <c r="X1354" s="38"/>
      <c r="Y1354" s="49"/>
      <c r="Z1354" s="49"/>
      <c r="AO1354"/>
      <c r="AP1354"/>
      <c r="AQ1354"/>
      <c r="AZ1354"/>
      <c r="BP1354" s="293"/>
    </row>
    <row r="1355" spans="12:68" ht="15" customHeight="1">
      <c r="L1355" s="296"/>
      <c r="M1355" s="30"/>
      <c r="N1355" s="38"/>
      <c r="O1355" s="38"/>
      <c r="P1355" s="38"/>
      <c r="Q1355" s="38"/>
      <c r="R1355" s="38"/>
      <c r="S1355" s="38"/>
      <c r="T1355" s="38"/>
      <c r="U1355" s="38"/>
      <c r="V1355" s="38"/>
      <c r="W1355" s="38"/>
      <c r="X1355" s="38"/>
      <c r="Y1355" s="49"/>
      <c r="Z1355" s="49"/>
      <c r="AO1355"/>
      <c r="AP1355"/>
      <c r="AQ1355"/>
      <c r="AZ1355"/>
      <c r="BP1355" s="293"/>
    </row>
    <row r="1356" spans="12:68" ht="15" customHeight="1">
      <c r="L1356" s="296"/>
      <c r="M1356" s="30"/>
      <c r="N1356" s="38"/>
      <c r="O1356" s="38"/>
      <c r="P1356" s="38"/>
      <c r="Q1356" s="38"/>
      <c r="R1356" s="38"/>
      <c r="S1356" s="38"/>
      <c r="T1356" s="38"/>
      <c r="U1356" s="38"/>
      <c r="V1356" s="38"/>
      <c r="W1356" s="38"/>
      <c r="X1356" s="38"/>
      <c r="Y1356" s="49"/>
      <c r="Z1356" s="49"/>
      <c r="AO1356"/>
      <c r="AP1356"/>
      <c r="AQ1356"/>
      <c r="AZ1356"/>
      <c r="BP1356" s="293"/>
    </row>
    <row r="1357" spans="12:68" ht="15" customHeight="1">
      <c r="L1357" s="296"/>
      <c r="M1357" s="30"/>
      <c r="N1357" s="38"/>
      <c r="O1357" s="38"/>
      <c r="P1357" s="38"/>
      <c r="Q1357" s="38"/>
      <c r="R1357" s="38"/>
      <c r="S1357" s="38"/>
      <c r="T1357" s="38"/>
      <c r="U1357" s="38"/>
      <c r="V1357" s="38"/>
      <c r="W1357" s="38"/>
      <c r="X1357" s="38"/>
      <c r="Y1357" s="49"/>
      <c r="Z1357" s="49"/>
      <c r="AO1357"/>
      <c r="AP1357"/>
      <c r="AQ1357"/>
      <c r="AZ1357"/>
      <c r="BP1357" s="293"/>
    </row>
    <row r="1358" spans="12:68" ht="15" customHeight="1">
      <c r="L1358" s="296"/>
      <c r="M1358" s="30"/>
      <c r="N1358" s="38"/>
      <c r="O1358" s="38"/>
      <c r="P1358" s="38"/>
      <c r="Q1358" s="38"/>
      <c r="R1358" s="38"/>
      <c r="S1358" s="38"/>
      <c r="T1358" s="38"/>
      <c r="U1358" s="38"/>
      <c r="V1358" s="38"/>
      <c r="W1358" s="38"/>
      <c r="X1358" s="38"/>
      <c r="Y1358" s="49"/>
      <c r="Z1358" s="49"/>
      <c r="AO1358"/>
      <c r="AP1358"/>
      <c r="AQ1358"/>
      <c r="AZ1358"/>
      <c r="BP1358" s="293"/>
    </row>
    <row r="1359" spans="12:68" ht="15" customHeight="1">
      <c r="L1359" s="296"/>
      <c r="M1359" s="30"/>
      <c r="N1359" s="38"/>
      <c r="O1359" s="38"/>
      <c r="P1359" s="38"/>
      <c r="Q1359" s="38"/>
      <c r="R1359" s="38"/>
      <c r="S1359" s="38"/>
      <c r="T1359" s="38"/>
      <c r="U1359" s="38"/>
      <c r="V1359" s="38"/>
      <c r="W1359" s="38"/>
      <c r="X1359" s="38"/>
      <c r="Y1359" s="49"/>
      <c r="Z1359" s="49"/>
      <c r="AO1359"/>
      <c r="AP1359"/>
      <c r="AQ1359"/>
      <c r="AZ1359"/>
      <c r="BP1359" s="293"/>
    </row>
    <row r="1360" spans="12:68" ht="15" customHeight="1">
      <c r="L1360" s="296"/>
      <c r="M1360" s="30"/>
      <c r="N1360" s="38"/>
      <c r="O1360" s="38"/>
      <c r="P1360" s="38"/>
      <c r="Q1360" s="38"/>
      <c r="R1360" s="38"/>
      <c r="S1360" s="38"/>
      <c r="T1360" s="38"/>
      <c r="U1360" s="38"/>
      <c r="V1360" s="38"/>
      <c r="W1360" s="38"/>
      <c r="X1360" s="38"/>
      <c r="Y1360" s="49"/>
      <c r="Z1360" s="49"/>
      <c r="AO1360"/>
      <c r="AP1360"/>
      <c r="AQ1360"/>
      <c r="AZ1360"/>
      <c r="BP1360" s="293"/>
    </row>
    <row r="1361" spans="12:68" ht="15" customHeight="1">
      <c r="L1361" s="296"/>
      <c r="M1361" s="30"/>
      <c r="N1361" s="38"/>
      <c r="O1361" s="38"/>
      <c r="P1361" s="38"/>
      <c r="Q1361" s="38"/>
      <c r="R1361" s="38"/>
      <c r="S1361" s="38"/>
      <c r="T1361" s="38"/>
      <c r="U1361" s="38"/>
      <c r="V1361" s="38"/>
      <c r="W1361" s="38"/>
      <c r="X1361" s="38"/>
      <c r="Y1361" s="49"/>
      <c r="Z1361" s="49"/>
      <c r="AO1361"/>
      <c r="AP1361"/>
      <c r="AQ1361"/>
      <c r="AZ1361"/>
      <c r="BP1361" s="293"/>
    </row>
    <row r="1362" spans="12:68" ht="15" customHeight="1">
      <c r="L1362" s="296"/>
      <c r="M1362" s="30"/>
      <c r="N1362" s="38"/>
      <c r="O1362" s="38"/>
      <c r="P1362" s="38"/>
      <c r="Q1362" s="38"/>
      <c r="R1362" s="38"/>
      <c r="S1362" s="38"/>
      <c r="T1362" s="38"/>
      <c r="U1362" s="38"/>
      <c r="V1362" s="38"/>
      <c r="W1362" s="38"/>
      <c r="X1362" s="38"/>
      <c r="Y1362" s="49"/>
      <c r="Z1362" s="49"/>
      <c r="AO1362"/>
      <c r="AP1362"/>
      <c r="AQ1362"/>
      <c r="AZ1362"/>
      <c r="BP1362" s="293"/>
    </row>
    <row r="1363" spans="12:68" ht="15" customHeight="1">
      <c r="L1363" s="296"/>
      <c r="M1363" s="30"/>
      <c r="N1363" s="38"/>
      <c r="O1363" s="38"/>
      <c r="P1363" s="38"/>
      <c r="Q1363" s="38"/>
      <c r="R1363" s="38"/>
      <c r="S1363" s="38"/>
      <c r="T1363" s="38"/>
      <c r="U1363" s="38"/>
      <c r="V1363" s="38"/>
      <c r="W1363" s="38"/>
      <c r="X1363" s="38"/>
      <c r="Y1363" s="49"/>
      <c r="Z1363" s="49"/>
      <c r="AO1363"/>
      <c r="AP1363"/>
      <c r="AQ1363"/>
      <c r="AZ1363"/>
      <c r="BP1363" s="293"/>
    </row>
    <row r="1364" spans="12:68" ht="15" customHeight="1">
      <c r="L1364" s="296"/>
      <c r="M1364" s="30"/>
      <c r="N1364" s="38"/>
      <c r="O1364" s="38"/>
      <c r="P1364" s="38"/>
      <c r="Q1364" s="38"/>
      <c r="R1364" s="38"/>
      <c r="S1364" s="38"/>
      <c r="T1364" s="38"/>
      <c r="U1364" s="38"/>
      <c r="V1364" s="38"/>
      <c r="W1364" s="38"/>
      <c r="X1364" s="38"/>
      <c r="Y1364" s="49"/>
      <c r="Z1364" s="49"/>
      <c r="AO1364"/>
      <c r="AP1364"/>
      <c r="AQ1364"/>
      <c r="AZ1364"/>
      <c r="BP1364" s="293"/>
    </row>
    <row r="1365" spans="12:68" ht="15" customHeight="1">
      <c r="L1365" s="296"/>
      <c r="M1365" s="30"/>
      <c r="N1365" s="38"/>
      <c r="O1365" s="38"/>
      <c r="P1365" s="38"/>
      <c r="Q1365" s="38"/>
      <c r="R1365" s="38"/>
      <c r="S1365" s="38"/>
      <c r="T1365" s="38"/>
      <c r="U1365" s="38"/>
      <c r="V1365" s="38"/>
      <c r="W1365" s="38"/>
      <c r="X1365" s="38"/>
      <c r="Y1365" s="49"/>
      <c r="Z1365" s="49"/>
      <c r="AO1365"/>
      <c r="AP1365"/>
      <c r="AQ1365"/>
      <c r="AZ1365"/>
      <c r="BP1365" s="293"/>
    </row>
    <row r="1366" spans="12:68" ht="15" customHeight="1">
      <c r="L1366" s="296"/>
      <c r="M1366" s="30"/>
      <c r="N1366" s="38"/>
      <c r="O1366" s="38"/>
      <c r="P1366" s="38"/>
      <c r="Q1366" s="38"/>
      <c r="R1366" s="38"/>
      <c r="S1366" s="38"/>
      <c r="T1366" s="38"/>
      <c r="U1366" s="38"/>
      <c r="V1366" s="38"/>
      <c r="W1366" s="38"/>
      <c r="X1366" s="38"/>
      <c r="Y1366" s="49"/>
      <c r="Z1366" s="49"/>
      <c r="AO1366"/>
      <c r="AP1366"/>
      <c r="AQ1366"/>
      <c r="AZ1366"/>
      <c r="BP1366" s="293"/>
    </row>
    <row r="1367" spans="12:68" ht="15" customHeight="1">
      <c r="L1367" s="296"/>
      <c r="M1367" s="30"/>
      <c r="N1367" s="38"/>
      <c r="O1367" s="38"/>
      <c r="P1367" s="38"/>
      <c r="Q1367" s="38"/>
      <c r="R1367" s="38"/>
      <c r="S1367" s="38"/>
      <c r="T1367" s="38"/>
      <c r="U1367" s="38"/>
      <c r="V1367" s="38"/>
      <c r="W1367" s="38"/>
      <c r="X1367" s="38"/>
      <c r="Y1367" s="49"/>
      <c r="Z1367" s="49"/>
      <c r="AO1367"/>
      <c r="AP1367"/>
      <c r="AQ1367"/>
      <c r="AZ1367"/>
      <c r="BP1367" s="293"/>
    </row>
    <row r="1368" spans="12:68" ht="15" customHeight="1">
      <c r="L1368" s="296"/>
      <c r="M1368" s="30"/>
      <c r="N1368" s="38"/>
      <c r="O1368" s="38"/>
      <c r="P1368" s="38"/>
      <c r="Q1368" s="38"/>
      <c r="R1368" s="38"/>
      <c r="S1368" s="38"/>
      <c r="T1368" s="38"/>
      <c r="U1368" s="38"/>
      <c r="V1368" s="38"/>
      <c r="W1368" s="38"/>
      <c r="X1368" s="38"/>
      <c r="Y1368" s="49"/>
      <c r="Z1368" s="49"/>
      <c r="AO1368"/>
      <c r="AP1368"/>
      <c r="AQ1368"/>
      <c r="AZ1368"/>
      <c r="BP1368" s="293"/>
    </row>
    <row r="1369" spans="12:68" ht="15" customHeight="1">
      <c r="L1369" s="296"/>
      <c r="M1369" s="30"/>
      <c r="N1369" s="38"/>
      <c r="O1369" s="38"/>
      <c r="P1369" s="38"/>
      <c r="Q1369" s="38"/>
      <c r="R1369" s="38"/>
      <c r="S1369" s="38"/>
      <c r="T1369" s="38"/>
      <c r="U1369" s="38"/>
      <c r="V1369" s="38"/>
      <c r="W1369" s="38"/>
      <c r="X1369" s="38"/>
      <c r="Y1369" s="49"/>
      <c r="Z1369" s="49"/>
      <c r="AO1369"/>
      <c r="AP1369"/>
      <c r="AQ1369"/>
      <c r="AZ1369"/>
      <c r="BP1369" s="293"/>
    </row>
    <row r="1370" spans="12:68" ht="15" customHeight="1">
      <c r="L1370" s="296"/>
      <c r="M1370" s="30"/>
      <c r="N1370" s="38"/>
      <c r="O1370" s="38"/>
      <c r="P1370" s="38"/>
      <c r="Q1370" s="38"/>
      <c r="R1370" s="38"/>
      <c r="S1370" s="38"/>
      <c r="T1370" s="38"/>
      <c r="U1370" s="38"/>
      <c r="V1370" s="38"/>
      <c r="W1370" s="38"/>
      <c r="X1370" s="38"/>
      <c r="Y1370" s="49"/>
      <c r="Z1370" s="49"/>
      <c r="AO1370"/>
      <c r="AP1370"/>
      <c r="AQ1370"/>
      <c r="AZ1370"/>
      <c r="BP1370" s="293"/>
    </row>
    <row r="1371" spans="12:68" ht="15" customHeight="1">
      <c r="L1371" s="296"/>
      <c r="M1371" s="30"/>
      <c r="N1371" s="38"/>
      <c r="O1371" s="38"/>
      <c r="P1371" s="38"/>
      <c r="Q1371" s="38"/>
      <c r="R1371" s="38"/>
      <c r="S1371" s="38"/>
      <c r="T1371" s="38"/>
      <c r="U1371" s="38"/>
      <c r="V1371" s="38"/>
      <c r="W1371" s="38"/>
      <c r="X1371" s="38"/>
      <c r="Y1371" s="49"/>
      <c r="Z1371" s="49"/>
      <c r="AO1371"/>
      <c r="AP1371"/>
      <c r="AQ1371"/>
      <c r="AZ1371"/>
      <c r="BP1371" s="293"/>
    </row>
    <row r="1372" spans="12:68" ht="15" customHeight="1">
      <c r="L1372" s="296"/>
      <c r="M1372" s="30"/>
      <c r="N1372" s="38"/>
      <c r="O1372" s="38"/>
      <c r="P1372" s="38"/>
      <c r="Q1372" s="38"/>
      <c r="R1372" s="38"/>
      <c r="S1372" s="38"/>
      <c r="T1372" s="38"/>
      <c r="U1372" s="38"/>
      <c r="V1372" s="38"/>
      <c r="W1372" s="38"/>
      <c r="X1372" s="38"/>
      <c r="Y1372" s="49"/>
      <c r="Z1372" s="49"/>
      <c r="AO1372"/>
      <c r="AP1372"/>
      <c r="AQ1372"/>
      <c r="AZ1372"/>
      <c r="BP1372" s="293"/>
    </row>
    <row r="1373" spans="12:68" ht="15" customHeight="1">
      <c r="L1373" s="296"/>
      <c r="M1373" s="30"/>
      <c r="N1373" s="38"/>
      <c r="O1373" s="38"/>
      <c r="P1373" s="38"/>
      <c r="Q1373" s="38"/>
      <c r="R1373" s="38"/>
      <c r="S1373" s="38"/>
      <c r="T1373" s="38"/>
      <c r="U1373" s="38"/>
      <c r="V1373" s="38"/>
      <c r="W1373" s="38"/>
      <c r="X1373" s="38"/>
      <c r="Y1373" s="49"/>
      <c r="Z1373" s="49"/>
      <c r="AO1373"/>
      <c r="AP1373"/>
      <c r="AQ1373"/>
      <c r="AZ1373"/>
      <c r="BP1373" s="293"/>
    </row>
    <row r="1374" spans="12:68" ht="15" customHeight="1">
      <c r="L1374" s="296"/>
      <c r="M1374" s="30"/>
      <c r="N1374" s="38"/>
      <c r="O1374" s="38"/>
      <c r="P1374" s="38"/>
      <c r="Q1374" s="38"/>
      <c r="R1374" s="38"/>
      <c r="S1374" s="38"/>
      <c r="T1374" s="38"/>
      <c r="U1374" s="38"/>
      <c r="V1374" s="38"/>
      <c r="W1374" s="38"/>
      <c r="X1374" s="38"/>
      <c r="Y1374" s="49"/>
      <c r="Z1374" s="49"/>
      <c r="AO1374"/>
      <c r="AP1374"/>
      <c r="AQ1374"/>
      <c r="AZ1374"/>
      <c r="BP1374" s="293"/>
    </row>
    <row r="1375" spans="12:68" ht="15" customHeight="1">
      <c r="L1375" s="296"/>
      <c r="M1375" s="30"/>
      <c r="N1375" s="38"/>
      <c r="O1375" s="38"/>
      <c r="P1375" s="38"/>
      <c r="Q1375" s="38"/>
      <c r="R1375" s="38"/>
      <c r="S1375" s="38"/>
      <c r="T1375" s="38"/>
      <c r="U1375" s="38"/>
      <c r="V1375" s="38"/>
      <c r="W1375" s="38"/>
      <c r="X1375" s="38"/>
      <c r="Y1375" s="49"/>
      <c r="Z1375" s="49"/>
      <c r="AO1375"/>
      <c r="AP1375"/>
      <c r="AQ1375"/>
      <c r="AZ1375"/>
      <c r="BP1375" s="293"/>
    </row>
    <row r="1376" spans="12:68" ht="15" customHeight="1">
      <c r="L1376" s="296"/>
      <c r="M1376" s="30"/>
      <c r="N1376" s="38"/>
      <c r="O1376" s="38"/>
      <c r="P1376" s="38"/>
      <c r="Q1376" s="38"/>
      <c r="R1376" s="38"/>
      <c r="S1376" s="38"/>
      <c r="T1376" s="38"/>
      <c r="U1376" s="38"/>
      <c r="V1376" s="38"/>
      <c r="W1376" s="38"/>
      <c r="X1376" s="38"/>
      <c r="Y1376" s="49"/>
      <c r="Z1376" s="49"/>
      <c r="AO1376"/>
      <c r="AP1376"/>
      <c r="AQ1376"/>
      <c r="AZ1376"/>
      <c r="BP1376" s="293"/>
    </row>
    <row r="1377" spans="12:68" ht="15" customHeight="1">
      <c r="L1377" s="296"/>
      <c r="M1377" s="30"/>
      <c r="N1377" s="38"/>
      <c r="O1377" s="38"/>
      <c r="P1377" s="38"/>
      <c r="Q1377" s="38"/>
      <c r="R1377" s="38"/>
      <c r="S1377" s="38"/>
      <c r="T1377" s="38"/>
      <c r="U1377" s="38"/>
      <c r="V1377" s="38"/>
      <c r="W1377" s="38"/>
      <c r="X1377" s="38"/>
      <c r="Y1377" s="49"/>
      <c r="Z1377" s="49"/>
      <c r="AO1377"/>
      <c r="AP1377"/>
      <c r="AQ1377"/>
      <c r="AZ1377"/>
      <c r="BP1377" s="293"/>
    </row>
    <row r="1378" spans="12:68" ht="15" customHeight="1">
      <c r="L1378" s="296"/>
      <c r="M1378" s="30"/>
      <c r="N1378" s="38"/>
      <c r="O1378" s="38"/>
      <c r="P1378" s="38"/>
      <c r="Q1378" s="38"/>
      <c r="R1378" s="38"/>
      <c r="S1378" s="38"/>
      <c r="T1378" s="38"/>
      <c r="U1378" s="38"/>
      <c r="V1378" s="38"/>
      <c r="W1378" s="38"/>
      <c r="X1378" s="38"/>
      <c r="Y1378" s="49"/>
      <c r="Z1378" s="49"/>
      <c r="AO1378"/>
      <c r="AP1378"/>
      <c r="AQ1378"/>
      <c r="AZ1378"/>
      <c r="BP1378" s="293"/>
    </row>
    <row r="1379" spans="12:68" ht="15" customHeight="1">
      <c r="L1379" s="296"/>
      <c r="M1379" s="30"/>
      <c r="N1379" s="38"/>
      <c r="O1379" s="38"/>
      <c r="P1379" s="38"/>
      <c r="Q1379" s="38"/>
      <c r="R1379" s="38"/>
      <c r="S1379" s="38"/>
      <c r="T1379" s="38"/>
      <c r="U1379" s="38"/>
      <c r="V1379" s="38"/>
      <c r="W1379" s="38"/>
      <c r="X1379" s="38"/>
      <c r="Y1379" s="49"/>
      <c r="Z1379" s="49"/>
      <c r="AO1379"/>
      <c r="AP1379"/>
      <c r="AQ1379"/>
      <c r="AZ1379"/>
      <c r="BP1379" s="293"/>
    </row>
    <row r="1380" spans="12:68" ht="15" customHeight="1">
      <c r="L1380" s="296"/>
      <c r="M1380" s="30"/>
      <c r="N1380" s="38"/>
      <c r="O1380" s="38"/>
      <c r="P1380" s="38"/>
      <c r="Q1380" s="38"/>
      <c r="R1380" s="38"/>
      <c r="S1380" s="38"/>
      <c r="T1380" s="38"/>
      <c r="U1380" s="38"/>
      <c r="V1380" s="38"/>
      <c r="W1380" s="38"/>
      <c r="X1380" s="38"/>
      <c r="Y1380" s="49"/>
      <c r="Z1380" s="49"/>
      <c r="AO1380"/>
      <c r="AP1380"/>
      <c r="AQ1380"/>
      <c r="AZ1380"/>
      <c r="BP1380" s="293"/>
    </row>
    <row r="1381" spans="12:68" ht="15" customHeight="1">
      <c r="L1381" s="296"/>
      <c r="M1381" s="30"/>
      <c r="N1381" s="38"/>
      <c r="O1381" s="38"/>
      <c r="P1381" s="38"/>
      <c r="Q1381" s="38"/>
      <c r="R1381" s="38"/>
      <c r="S1381" s="38"/>
      <c r="T1381" s="38"/>
      <c r="U1381" s="38"/>
      <c r="V1381" s="38"/>
      <c r="W1381" s="38"/>
      <c r="X1381" s="38"/>
      <c r="Y1381" s="49"/>
      <c r="Z1381" s="49"/>
      <c r="AO1381"/>
      <c r="AP1381"/>
      <c r="AQ1381"/>
      <c r="AZ1381"/>
      <c r="BP1381" s="293"/>
    </row>
    <row r="1382" spans="12:68" ht="15" customHeight="1">
      <c r="L1382" s="296"/>
      <c r="M1382" s="30"/>
      <c r="N1382" s="38"/>
      <c r="O1382" s="38"/>
      <c r="P1382" s="38"/>
      <c r="Q1382" s="38"/>
      <c r="R1382" s="38"/>
      <c r="S1382" s="38"/>
      <c r="T1382" s="38"/>
      <c r="U1382" s="38"/>
      <c r="V1382" s="38"/>
      <c r="W1382" s="38"/>
      <c r="X1382" s="38"/>
      <c r="Y1382" s="49"/>
      <c r="Z1382" s="49"/>
      <c r="AO1382"/>
      <c r="AP1382"/>
      <c r="AQ1382"/>
      <c r="AZ1382"/>
      <c r="BP1382" s="293"/>
    </row>
    <row r="1383" spans="12:68" ht="15" customHeight="1">
      <c r="L1383" s="296"/>
      <c r="M1383" s="30"/>
      <c r="N1383" s="38"/>
      <c r="O1383" s="38"/>
      <c r="P1383" s="38"/>
      <c r="Q1383" s="38"/>
      <c r="R1383" s="38"/>
      <c r="S1383" s="38"/>
      <c r="T1383" s="38"/>
      <c r="U1383" s="38"/>
      <c r="V1383" s="38"/>
      <c r="W1383" s="38"/>
      <c r="X1383" s="38"/>
      <c r="Y1383" s="49"/>
      <c r="Z1383" s="49"/>
      <c r="AO1383"/>
      <c r="AP1383"/>
      <c r="AQ1383"/>
      <c r="AZ1383"/>
      <c r="BP1383" s="293"/>
    </row>
    <row r="1384" spans="12:68" ht="15" customHeight="1">
      <c r="L1384" s="296"/>
      <c r="M1384" s="30"/>
      <c r="N1384" s="38"/>
      <c r="O1384" s="38"/>
      <c r="P1384" s="38"/>
      <c r="Q1384" s="38"/>
      <c r="R1384" s="38"/>
      <c r="S1384" s="38"/>
      <c r="T1384" s="38"/>
      <c r="U1384" s="38"/>
      <c r="V1384" s="38"/>
      <c r="W1384" s="38"/>
      <c r="X1384" s="38"/>
      <c r="Y1384" s="49"/>
      <c r="Z1384" s="49"/>
      <c r="AO1384"/>
      <c r="AP1384"/>
      <c r="AQ1384"/>
      <c r="AZ1384"/>
      <c r="BP1384" s="293"/>
    </row>
    <row r="1385" spans="12:68" ht="15" customHeight="1">
      <c r="L1385" s="296"/>
      <c r="M1385" s="30"/>
      <c r="N1385" s="38"/>
      <c r="O1385" s="38"/>
      <c r="P1385" s="38"/>
      <c r="Q1385" s="38"/>
      <c r="R1385" s="38"/>
      <c r="S1385" s="38"/>
      <c r="T1385" s="38"/>
      <c r="U1385" s="38"/>
      <c r="V1385" s="38"/>
      <c r="W1385" s="38"/>
      <c r="X1385" s="38"/>
      <c r="Y1385" s="49"/>
      <c r="Z1385" s="49"/>
      <c r="AO1385"/>
      <c r="AP1385"/>
      <c r="AQ1385"/>
      <c r="AZ1385"/>
      <c r="BP1385" s="293"/>
    </row>
    <row r="1386" spans="12:68" ht="15" customHeight="1">
      <c r="L1386" s="296"/>
      <c r="M1386" s="30"/>
      <c r="N1386" s="38"/>
      <c r="O1386" s="38"/>
      <c r="P1386" s="38"/>
      <c r="Q1386" s="38"/>
      <c r="R1386" s="38"/>
      <c r="S1386" s="38"/>
      <c r="T1386" s="38"/>
      <c r="U1386" s="38"/>
      <c r="V1386" s="38"/>
      <c r="W1386" s="38"/>
      <c r="X1386" s="38"/>
      <c r="Y1386" s="49"/>
      <c r="Z1386" s="49"/>
      <c r="AO1386"/>
      <c r="AP1386"/>
      <c r="AQ1386"/>
      <c r="AZ1386"/>
      <c r="BP1386" s="293"/>
    </row>
    <row r="1387" spans="12:68" ht="15" customHeight="1">
      <c r="L1387" s="296"/>
      <c r="M1387" s="30"/>
      <c r="N1387" s="38"/>
      <c r="O1387" s="38"/>
      <c r="P1387" s="38"/>
      <c r="Q1387" s="38"/>
      <c r="R1387" s="38"/>
      <c r="S1387" s="38"/>
      <c r="T1387" s="38"/>
      <c r="U1387" s="38"/>
      <c r="V1387" s="38"/>
      <c r="W1387" s="38"/>
      <c r="X1387" s="38"/>
      <c r="Y1387" s="49"/>
      <c r="Z1387" s="49"/>
      <c r="AO1387"/>
      <c r="AP1387"/>
      <c r="AQ1387"/>
      <c r="AZ1387"/>
      <c r="BP1387" s="293"/>
    </row>
    <row r="1388" spans="12:68" ht="15" customHeight="1">
      <c r="L1388" s="296"/>
      <c r="M1388" s="30"/>
      <c r="N1388" s="38"/>
      <c r="O1388" s="38"/>
      <c r="P1388" s="38"/>
      <c r="Q1388" s="38"/>
      <c r="R1388" s="38"/>
      <c r="S1388" s="38"/>
      <c r="T1388" s="38"/>
      <c r="U1388" s="38"/>
      <c r="V1388" s="38"/>
      <c r="W1388" s="38"/>
      <c r="X1388" s="38"/>
      <c r="Y1388" s="49"/>
      <c r="Z1388" s="49"/>
      <c r="AO1388"/>
      <c r="AP1388"/>
      <c r="AQ1388"/>
      <c r="AZ1388"/>
      <c r="BP1388" s="293"/>
    </row>
    <row r="1389" spans="12:68" ht="15" customHeight="1">
      <c r="L1389" s="296"/>
      <c r="M1389" s="30"/>
      <c r="N1389" s="38"/>
      <c r="O1389" s="38"/>
      <c r="P1389" s="38"/>
      <c r="Q1389" s="38"/>
      <c r="R1389" s="38"/>
      <c r="S1389" s="38"/>
      <c r="T1389" s="38"/>
      <c r="U1389" s="38"/>
      <c r="V1389" s="38"/>
      <c r="W1389" s="38"/>
      <c r="X1389" s="38"/>
      <c r="Y1389" s="49"/>
      <c r="Z1389" s="49"/>
      <c r="AO1389"/>
      <c r="AP1389"/>
      <c r="AQ1389"/>
      <c r="AZ1389"/>
      <c r="BP1389" s="293"/>
    </row>
    <row r="1390" spans="12:68" ht="15" customHeight="1">
      <c r="L1390" s="296"/>
      <c r="M1390" s="30"/>
      <c r="N1390" s="38"/>
      <c r="O1390" s="38"/>
      <c r="P1390" s="38"/>
      <c r="Q1390" s="38"/>
      <c r="R1390" s="38"/>
      <c r="S1390" s="38"/>
      <c r="T1390" s="38"/>
      <c r="U1390" s="38"/>
      <c r="V1390" s="38"/>
      <c r="W1390" s="38"/>
      <c r="X1390" s="38"/>
      <c r="Y1390" s="49"/>
      <c r="Z1390" s="49"/>
      <c r="AO1390"/>
      <c r="AP1390"/>
      <c r="AQ1390"/>
      <c r="AZ1390"/>
      <c r="BP1390" s="293"/>
    </row>
    <row r="1391" spans="12:68" ht="15" customHeight="1">
      <c r="L1391" s="296"/>
      <c r="M1391" s="30"/>
      <c r="N1391" s="38"/>
      <c r="O1391" s="38"/>
      <c r="P1391" s="38"/>
      <c r="Q1391" s="38"/>
      <c r="R1391" s="38"/>
      <c r="S1391" s="38"/>
      <c r="T1391" s="38"/>
      <c r="U1391" s="38"/>
      <c r="V1391" s="38"/>
      <c r="W1391" s="38"/>
      <c r="X1391" s="38"/>
      <c r="Y1391" s="49"/>
      <c r="Z1391" s="49"/>
      <c r="AO1391"/>
      <c r="AP1391"/>
      <c r="AQ1391"/>
      <c r="AZ1391"/>
      <c r="BP1391" s="293"/>
    </row>
    <row r="1392" spans="12:68" ht="15" customHeight="1">
      <c r="L1392" s="296"/>
      <c r="M1392" s="30"/>
      <c r="N1392" s="38"/>
      <c r="O1392" s="38"/>
      <c r="P1392" s="38"/>
      <c r="Q1392" s="38"/>
      <c r="R1392" s="38"/>
      <c r="S1392" s="38"/>
      <c r="T1392" s="38"/>
      <c r="U1392" s="38"/>
      <c r="V1392" s="38"/>
      <c r="W1392" s="38"/>
      <c r="X1392" s="38"/>
      <c r="Y1392" s="49"/>
      <c r="Z1392" s="49"/>
      <c r="AO1392"/>
      <c r="AP1392"/>
      <c r="AQ1392"/>
      <c r="AZ1392"/>
      <c r="BP1392" s="293"/>
    </row>
    <row r="1393" spans="12:68" ht="15" customHeight="1">
      <c r="L1393" s="296"/>
      <c r="M1393" s="30"/>
      <c r="N1393" s="38"/>
      <c r="O1393" s="38"/>
      <c r="P1393" s="38"/>
      <c r="Q1393" s="38"/>
      <c r="R1393" s="38"/>
      <c r="S1393" s="38"/>
      <c r="T1393" s="38"/>
      <c r="U1393" s="38"/>
      <c r="V1393" s="38"/>
      <c r="W1393" s="38"/>
      <c r="X1393" s="38"/>
      <c r="Y1393" s="49"/>
      <c r="Z1393" s="49"/>
      <c r="AO1393"/>
      <c r="AP1393"/>
      <c r="AQ1393"/>
      <c r="AZ1393"/>
      <c r="BP1393" s="293"/>
    </row>
    <row r="1394" spans="12:68" ht="15" customHeight="1">
      <c r="L1394" s="296"/>
      <c r="M1394" s="30"/>
      <c r="N1394" s="38"/>
      <c r="O1394" s="38"/>
      <c r="P1394" s="38"/>
      <c r="Q1394" s="38"/>
      <c r="R1394" s="38"/>
      <c r="S1394" s="38"/>
      <c r="T1394" s="38"/>
      <c r="U1394" s="38"/>
      <c r="V1394" s="38"/>
      <c r="W1394" s="38"/>
      <c r="X1394" s="38"/>
      <c r="Y1394" s="49"/>
      <c r="Z1394" s="49"/>
      <c r="AO1394"/>
      <c r="AP1394"/>
      <c r="AQ1394"/>
      <c r="AZ1394"/>
      <c r="BP1394" s="293"/>
    </row>
    <row r="1395" spans="12:68" ht="15" customHeight="1">
      <c r="L1395" s="296"/>
      <c r="M1395" s="30"/>
      <c r="N1395" s="38"/>
      <c r="O1395" s="38"/>
      <c r="P1395" s="38"/>
      <c r="Q1395" s="38"/>
      <c r="R1395" s="38"/>
      <c r="S1395" s="38"/>
      <c r="T1395" s="38"/>
      <c r="U1395" s="38"/>
      <c r="V1395" s="38"/>
      <c r="W1395" s="38"/>
      <c r="X1395" s="38"/>
      <c r="Y1395" s="49"/>
      <c r="Z1395" s="49"/>
      <c r="AO1395"/>
      <c r="AP1395"/>
      <c r="AQ1395"/>
      <c r="AZ1395"/>
      <c r="BP1395" s="293"/>
    </row>
    <row r="1396" spans="12:68" ht="15" customHeight="1">
      <c r="L1396" s="296"/>
      <c r="M1396" s="30"/>
      <c r="N1396" s="38"/>
      <c r="O1396" s="38"/>
      <c r="P1396" s="38"/>
      <c r="Q1396" s="38"/>
      <c r="R1396" s="38"/>
      <c r="S1396" s="38"/>
      <c r="T1396" s="38"/>
      <c r="U1396" s="38"/>
      <c r="V1396" s="38"/>
      <c r="W1396" s="38"/>
      <c r="X1396" s="38"/>
      <c r="Y1396" s="49"/>
      <c r="Z1396" s="49"/>
      <c r="AO1396"/>
      <c r="AP1396"/>
      <c r="AQ1396"/>
      <c r="AZ1396"/>
      <c r="BP1396" s="293"/>
    </row>
    <row r="1397" spans="12:68" ht="15" customHeight="1">
      <c r="L1397" s="296"/>
      <c r="M1397" s="30"/>
      <c r="N1397" s="38"/>
      <c r="O1397" s="38"/>
      <c r="P1397" s="38"/>
      <c r="Q1397" s="38"/>
      <c r="R1397" s="38"/>
      <c r="S1397" s="38"/>
      <c r="T1397" s="38"/>
      <c r="U1397" s="38"/>
      <c r="V1397" s="38"/>
      <c r="W1397" s="38"/>
      <c r="X1397" s="38"/>
      <c r="Y1397" s="49"/>
      <c r="Z1397" s="49"/>
      <c r="AO1397"/>
      <c r="AP1397"/>
      <c r="AQ1397"/>
      <c r="AZ1397"/>
      <c r="BP1397" s="293"/>
    </row>
    <row r="1398" spans="12:68" ht="15" customHeight="1">
      <c r="L1398" s="296"/>
      <c r="M1398" s="30"/>
      <c r="N1398" s="38"/>
      <c r="O1398" s="38"/>
      <c r="P1398" s="38"/>
      <c r="Q1398" s="38"/>
      <c r="R1398" s="38"/>
      <c r="S1398" s="38"/>
      <c r="T1398" s="38"/>
      <c r="U1398" s="38"/>
      <c r="V1398" s="38"/>
      <c r="W1398" s="38"/>
      <c r="X1398" s="38"/>
      <c r="Y1398" s="49"/>
      <c r="Z1398" s="49"/>
      <c r="AO1398"/>
      <c r="AP1398"/>
      <c r="AQ1398"/>
      <c r="AZ1398"/>
      <c r="BP1398" s="293"/>
    </row>
    <row r="1399" spans="12:68" ht="15" customHeight="1">
      <c r="L1399" s="296"/>
      <c r="M1399" s="30"/>
      <c r="N1399" s="38"/>
      <c r="O1399" s="38"/>
      <c r="P1399" s="38"/>
      <c r="Q1399" s="38"/>
      <c r="R1399" s="38"/>
      <c r="S1399" s="38"/>
      <c r="T1399" s="38"/>
      <c r="U1399" s="38"/>
      <c r="V1399" s="38"/>
      <c r="W1399" s="38"/>
      <c r="X1399" s="38"/>
      <c r="Y1399" s="49"/>
      <c r="Z1399" s="49"/>
      <c r="AO1399"/>
      <c r="AP1399"/>
      <c r="AQ1399"/>
      <c r="AZ1399"/>
      <c r="BP1399" s="293"/>
    </row>
    <row r="1400" spans="12:68" ht="15" customHeight="1">
      <c r="L1400" s="296"/>
      <c r="M1400" s="30"/>
      <c r="N1400" s="38"/>
      <c r="O1400" s="38"/>
      <c r="P1400" s="38"/>
      <c r="Q1400" s="38"/>
      <c r="R1400" s="38"/>
      <c r="S1400" s="38"/>
      <c r="T1400" s="38"/>
      <c r="U1400" s="38"/>
      <c r="V1400" s="38"/>
      <c r="W1400" s="38"/>
      <c r="X1400" s="38"/>
      <c r="Y1400" s="49"/>
      <c r="Z1400" s="49"/>
      <c r="AO1400"/>
      <c r="AP1400"/>
      <c r="AQ1400"/>
      <c r="AZ1400"/>
      <c r="BP1400" s="293"/>
    </row>
    <row r="1401" spans="12:68" ht="15" customHeight="1">
      <c r="L1401" s="296"/>
      <c r="M1401" s="30"/>
      <c r="N1401" s="38"/>
      <c r="O1401" s="38"/>
      <c r="P1401" s="38"/>
      <c r="Q1401" s="38"/>
      <c r="R1401" s="38"/>
      <c r="S1401" s="38"/>
      <c r="T1401" s="38"/>
      <c r="U1401" s="38"/>
      <c r="V1401" s="38"/>
      <c r="W1401" s="38"/>
      <c r="X1401" s="38"/>
      <c r="Y1401" s="49"/>
      <c r="Z1401" s="49"/>
      <c r="AO1401"/>
      <c r="AP1401"/>
      <c r="AQ1401"/>
      <c r="AZ1401"/>
      <c r="BP1401" s="293"/>
    </row>
    <row r="1402" spans="12:68" ht="15" customHeight="1">
      <c r="L1402" s="296"/>
      <c r="M1402" s="30"/>
      <c r="N1402" s="38"/>
      <c r="O1402" s="38"/>
      <c r="P1402" s="38"/>
      <c r="Q1402" s="38"/>
      <c r="R1402" s="38"/>
      <c r="S1402" s="38"/>
      <c r="T1402" s="38"/>
      <c r="U1402" s="38"/>
      <c r="V1402" s="38"/>
      <c r="W1402" s="38"/>
      <c r="X1402" s="38"/>
      <c r="Y1402" s="49"/>
      <c r="Z1402" s="49"/>
      <c r="AO1402"/>
      <c r="AP1402"/>
      <c r="AQ1402"/>
      <c r="AZ1402"/>
      <c r="BP1402" s="293"/>
    </row>
    <row r="1403" spans="12:68" ht="15" customHeight="1">
      <c r="L1403" s="296"/>
      <c r="M1403" s="30"/>
      <c r="N1403" s="38"/>
      <c r="O1403" s="38"/>
      <c r="P1403" s="38"/>
      <c r="Q1403" s="38"/>
      <c r="R1403" s="38"/>
      <c r="S1403" s="38"/>
      <c r="T1403" s="38"/>
      <c r="U1403" s="38"/>
      <c r="V1403" s="38"/>
      <c r="W1403" s="38"/>
      <c r="X1403" s="38"/>
      <c r="Y1403" s="49"/>
      <c r="Z1403" s="49"/>
      <c r="AO1403"/>
      <c r="AP1403"/>
      <c r="AQ1403"/>
      <c r="AZ1403"/>
      <c r="BP1403" s="293"/>
    </row>
    <row r="1404" spans="12:68" ht="15" customHeight="1">
      <c r="L1404" s="296"/>
      <c r="M1404" s="30"/>
      <c r="N1404" s="38"/>
      <c r="O1404" s="38"/>
      <c r="P1404" s="38"/>
      <c r="Q1404" s="38"/>
      <c r="R1404" s="38"/>
      <c r="S1404" s="38"/>
      <c r="T1404" s="38"/>
      <c r="U1404" s="38"/>
      <c r="V1404" s="38"/>
      <c r="W1404" s="38"/>
      <c r="X1404" s="38"/>
      <c r="Y1404" s="49"/>
      <c r="Z1404" s="49"/>
      <c r="AO1404"/>
      <c r="AP1404"/>
      <c r="AQ1404"/>
      <c r="AZ1404"/>
      <c r="BP1404" s="293"/>
    </row>
    <row r="1405" spans="12:68" ht="15" customHeight="1">
      <c r="L1405" s="296"/>
      <c r="M1405" s="30"/>
      <c r="N1405" s="38"/>
      <c r="O1405" s="38"/>
      <c r="P1405" s="38"/>
      <c r="Q1405" s="38"/>
      <c r="R1405" s="38"/>
      <c r="S1405" s="38"/>
      <c r="T1405" s="38"/>
      <c r="U1405" s="38"/>
      <c r="V1405" s="38"/>
      <c r="W1405" s="38"/>
      <c r="X1405" s="38"/>
      <c r="Y1405" s="49"/>
      <c r="Z1405" s="49"/>
      <c r="AO1405"/>
      <c r="AP1405"/>
      <c r="AQ1405"/>
      <c r="AZ1405"/>
      <c r="BP1405" s="293"/>
    </row>
    <row r="1406" spans="12:68" ht="15" customHeight="1">
      <c r="L1406" s="296"/>
      <c r="M1406" s="30"/>
      <c r="N1406" s="38"/>
      <c r="O1406" s="38"/>
      <c r="P1406" s="38"/>
      <c r="Q1406" s="38"/>
      <c r="R1406" s="38"/>
      <c r="S1406" s="38"/>
      <c r="T1406" s="38"/>
      <c r="U1406" s="38"/>
      <c r="V1406" s="38"/>
      <c r="W1406" s="38"/>
      <c r="X1406" s="38"/>
      <c r="Y1406" s="49"/>
      <c r="Z1406" s="49"/>
      <c r="AO1406"/>
      <c r="AP1406"/>
      <c r="AQ1406"/>
      <c r="AZ1406"/>
      <c r="BP1406" s="293"/>
    </row>
    <row r="1407" spans="12:68" ht="15" customHeight="1">
      <c r="L1407" s="296"/>
      <c r="M1407" s="30"/>
      <c r="N1407" s="38"/>
      <c r="O1407" s="38"/>
      <c r="P1407" s="38"/>
      <c r="Q1407" s="38"/>
      <c r="R1407" s="38"/>
      <c r="S1407" s="38"/>
      <c r="T1407" s="38"/>
      <c r="U1407" s="38"/>
      <c r="V1407" s="38"/>
      <c r="W1407" s="38"/>
      <c r="X1407" s="38"/>
      <c r="Y1407" s="49"/>
      <c r="Z1407" s="49"/>
      <c r="AO1407"/>
      <c r="AP1407"/>
      <c r="AQ1407"/>
      <c r="AZ1407"/>
      <c r="BP1407" s="293"/>
    </row>
    <row r="1408" spans="12:68" ht="15" customHeight="1">
      <c r="L1408" s="296"/>
      <c r="M1408" s="30"/>
      <c r="N1408" s="38"/>
      <c r="O1408" s="38"/>
      <c r="P1408" s="38"/>
      <c r="Q1408" s="38"/>
      <c r="R1408" s="38"/>
      <c r="S1408" s="38"/>
      <c r="T1408" s="38"/>
      <c r="U1408" s="38"/>
      <c r="V1408" s="38"/>
      <c r="W1408" s="38"/>
      <c r="X1408" s="38"/>
      <c r="Y1408" s="49"/>
      <c r="Z1408" s="49"/>
      <c r="AO1408"/>
      <c r="AP1408"/>
      <c r="AQ1408"/>
      <c r="AZ1408"/>
      <c r="BP1408" s="293"/>
    </row>
    <row r="1409" spans="12:68" ht="15" customHeight="1">
      <c r="L1409" s="296"/>
      <c r="M1409" s="30"/>
      <c r="N1409" s="38"/>
      <c r="O1409" s="38"/>
      <c r="P1409" s="38"/>
      <c r="Q1409" s="38"/>
      <c r="R1409" s="38"/>
      <c r="S1409" s="38"/>
      <c r="T1409" s="38"/>
      <c r="U1409" s="38"/>
      <c r="V1409" s="38"/>
      <c r="W1409" s="38"/>
      <c r="X1409" s="38"/>
      <c r="Y1409" s="49"/>
      <c r="Z1409" s="49"/>
      <c r="AO1409"/>
      <c r="AP1409"/>
      <c r="AQ1409"/>
      <c r="AZ1409"/>
      <c r="BP1409" s="293"/>
    </row>
    <row r="1410" spans="12:68" ht="15" customHeight="1">
      <c r="L1410" s="296"/>
      <c r="M1410" s="30"/>
      <c r="N1410" s="38"/>
      <c r="O1410" s="38"/>
      <c r="P1410" s="38"/>
      <c r="Q1410" s="38"/>
      <c r="R1410" s="38"/>
      <c r="S1410" s="38"/>
      <c r="T1410" s="38"/>
      <c r="U1410" s="38"/>
      <c r="V1410" s="38"/>
      <c r="W1410" s="38"/>
      <c r="X1410" s="38"/>
      <c r="Y1410" s="49"/>
      <c r="Z1410" s="49"/>
      <c r="AO1410"/>
      <c r="AP1410"/>
      <c r="AQ1410"/>
      <c r="AZ1410"/>
      <c r="BP1410" s="293"/>
    </row>
    <row r="1411" spans="12:68" ht="15" customHeight="1">
      <c r="L1411" s="296"/>
      <c r="M1411" s="30"/>
      <c r="N1411" s="38"/>
      <c r="O1411" s="38"/>
      <c r="P1411" s="38"/>
      <c r="Q1411" s="38"/>
      <c r="R1411" s="38"/>
      <c r="S1411" s="38"/>
      <c r="T1411" s="38"/>
      <c r="U1411" s="38"/>
      <c r="V1411" s="38"/>
      <c r="W1411" s="38"/>
      <c r="X1411" s="38"/>
      <c r="Y1411" s="49"/>
      <c r="Z1411" s="49"/>
      <c r="AO1411"/>
      <c r="AP1411"/>
      <c r="AQ1411"/>
      <c r="AZ1411"/>
      <c r="BP1411" s="293"/>
    </row>
    <row r="1412" spans="12:68" ht="15" customHeight="1">
      <c r="L1412" s="296"/>
      <c r="M1412" s="30"/>
      <c r="N1412" s="38"/>
      <c r="O1412" s="38"/>
      <c r="P1412" s="38"/>
      <c r="Q1412" s="38"/>
      <c r="R1412" s="38"/>
      <c r="S1412" s="38"/>
      <c r="T1412" s="38"/>
      <c r="U1412" s="38"/>
      <c r="V1412" s="38"/>
      <c r="W1412" s="38"/>
      <c r="X1412" s="38"/>
      <c r="Y1412" s="49"/>
      <c r="Z1412" s="49"/>
      <c r="AO1412"/>
      <c r="AP1412"/>
      <c r="AQ1412"/>
      <c r="AZ1412"/>
      <c r="BP1412" s="293"/>
    </row>
    <row r="1413" spans="12:68" ht="15" customHeight="1">
      <c r="L1413" s="296"/>
      <c r="M1413" s="30"/>
      <c r="N1413" s="38"/>
      <c r="O1413" s="38"/>
      <c r="P1413" s="38"/>
      <c r="Q1413" s="38"/>
      <c r="R1413" s="38"/>
      <c r="S1413" s="38"/>
      <c r="T1413" s="38"/>
      <c r="U1413" s="38"/>
      <c r="V1413" s="38"/>
      <c r="W1413" s="38"/>
      <c r="X1413" s="38"/>
      <c r="Y1413" s="49"/>
      <c r="Z1413" s="49"/>
      <c r="AO1413"/>
      <c r="AP1413"/>
      <c r="AQ1413"/>
      <c r="AZ1413"/>
      <c r="BP1413" s="293"/>
    </row>
    <row r="1414" spans="12:68" ht="15" customHeight="1">
      <c r="L1414" s="296"/>
      <c r="M1414" s="30"/>
      <c r="N1414" s="38"/>
      <c r="O1414" s="38"/>
      <c r="P1414" s="38"/>
      <c r="Q1414" s="38"/>
      <c r="R1414" s="38"/>
      <c r="S1414" s="38"/>
      <c r="T1414" s="38"/>
      <c r="U1414" s="38"/>
      <c r="V1414" s="38"/>
      <c r="W1414" s="38"/>
      <c r="X1414" s="38"/>
      <c r="Y1414" s="49"/>
      <c r="Z1414" s="49"/>
      <c r="AO1414"/>
      <c r="AP1414"/>
      <c r="AQ1414"/>
      <c r="AZ1414"/>
      <c r="BP1414" s="293"/>
    </row>
    <row r="1415" spans="12:68" ht="15" customHeight="1">
      <c r="L1415" s="296"/>
      <c r="M1415" s="30"/>
      <c r="N1415" s="38"/>
      <c r="O1415" s="38"/>
      <c r="P1415" s="38"/>
      <c r="Q1415" s="38"/>
      <c r="R1415" s="38"/>
      <c r="S1415" s="38"/>
      <c r="T1415" s="38"/>
      <c r="U1415" s="38"/>
      <c r="V1415" s="38"/>
      <c r="W1415" s="38"/>
      <c r="X1415" s="38"/>
      <c r="Y1415" s="49"/>
      <c r="Z1415" s="49"/>
      <c r="AO1415"/>
      <c r="AP1415"/>
      <c r="AQ1415"/>
      <c r="AZ1415"/>
      <c r="BP1415" s="293"/>
    </row>
    <row r="1416" spans="12:68" ht="15" customHeight="1">
      <c r="L1416" s="296"/>
      <c r="M1416" s="30"/>
      <c r="N1416" s="38"/>
      <c r="O1416" s="38"/>
      <c r="P1416" s="38"/>
      <c r="Q1416" s="38"/>
      <c r="R1416" s="38"/>
      <c r="S1416" s="38"/>
      <c r="T1416" s="38"/>
      <c r="U1416" s="38"/>
      <c r="V1416" s="38"/>
      <c r="W1416" s="38"/>
      <c r="X1416" s="38"/>
      <c r="Y1416" s="49"/>
      <c r="Z1416" s="49"/>
      <c r="AO1416"/>
      <c r="AP1416"/>
      <c r="AQ1416"/>
      <c r="AZ1416"/>
      <c r="BP1416" s="293"/>
    </row>
    <row r="1417" spans="12:68" ht="15" customHeight="1">
      <c r="L1417" s="296"/>
      <c r="M1417" s="30"/>
      <c r="N1417" s="38"/>
      <c r="O1417" s="38"/>
      <c r="P1417" s="38"/>
      <c r="Q1417" s="38"/>
      <c r="R1417" s="38"/>
      <c r="S1417" s="38"/>
      <c r="T1417" s="38"/>
      <c r="U1417" s="38"/>
      <c r="V1417" s="38"/>
      <c r="W1417" s="38"/>
      <c r="X1417" s="38"/>
      <c r="Y1417" s="49"/>
      <c r="Z1417" s="49"/>
      <c r="AO1417"/>
      <c r="AP1417"/>
      <c r="AQ1417"/>
      <c r="AZ1417"/>
      <c r="BP1417" s="293"/>
    </row>
    <row r="1418" spans="12:68" ht="15" customHeight="1">
      <c r="L1418" s="296"/>
      <c r="M1418" s="30"/>
      <c r="N1418" s="38"/>
      <c r="O1418" s="38"/>
      <c r="P1418" s="38"/>
      <c r="Q1418" s="38"/>
      <c r="R1418" s="38"/>
      <c r="S1418" s="38"/>
      <c r="T1418" s="38"/>
      <c r="U1418" s="38"/>
      <c r="V1418" s="38"/>
      <c r="W1418" s="38"/>
      <c r="X1418" s="38"/>
      <c r="Y1418" s="49"/>
      <c r="Z1418" s="49"/>
      <c r="AO1418"/>
      <c r="AP1418"/>
      <c r="AQ1418"/>
      <c r="AZ1418"/>
      <c r="BP1418" s="293"/>
    </row>
    <row r="1419" spans="12:68" ht="15" customHeight="1">
      <c r="L1419" s="296"/>
      <c r="M1419" s="30"/>
      <c r="N1419" s="38"/>
      <c r="O1419" s="38"/>
      <c r="P1419" s="38"/>
      <c r="Q1419" s="38"/>
      <c r="R1419" s="38"/>
      <c r="S1419" s="38"/>
      <c r="T1419" s="38"/>
      <c r="U1419" s="38"/>
      <c r="V1419" s="38"/>
      <c r="W1419" s="38"/>
      <c r="X1419" s="38"/>
      <c r="Y1419" s="49"/>
      <c r="Z1419" s="49"/>
      <c r="AO1419"/>
      <c r="AP1419"/>
      <c r="AQ1419"/>
      <c r="AZ1419"/>
      <c r="BP1419" s="293"/>
    </row>
    <row r="1420" spans="12:68" ht="15" customHeight="1">
      <c r="L1420" s="296"/>
      <c r="M1420" s="30"/>
      <c r="N1420" s="38"/>
      <c r="O1420" s="38"/>
      <c r="P1420" s="38"/>
      <c r="Q1420" s="38"/>
      <c r="R1420" s="38"/>
      <c r="S1420" s="38"/>
      <c r="T1420" s="38"/>
      <c r="U1420" s="38"/>
      <c r="V1420" s="38"/>
      <c r="W1420" s="38"/>
      <c r="X1420" s="38"/>
      <c r="Y1420" s="49"/>
      <c r="Z1420" s="49"/>
      <c r="AO1420"/>
      <c r="AP1420"/>
      <c r="AQ1420"/>
      <c r="AZ1420"/>
      <c r="BP1420" s="293"/>
    </row>
    <row r="1421" spans="12:68" ht="15" customHeight="1">
      <c r="L1421" s="296"/>
      <c r="M1421" s="30"/>
      <c r="N1421" s="38"/>
      <c r="O1421" s="38"/>
      <c r="P1421" s="38"/>
      <c r="Q1421" s="38"/>
      <c r="R1421" s="38"/>
      <c r="S1421" s="38"/>
      <c r="T1421" s="38"/>
      <c r="U1421" s="38"/>
      <c r="V1421" s="38"/>
      <c r="W1421" s="38"/>
      <c r="X1421" s="38"/>
      <c r="Y1421" s="49"/>
      <c r="Z1421" s="49"/>
      <c r="AO1421"/>
      <c r="AP1421"/>
      <c r="AQ1421"/>
      <c r="AZ1421"/>
      <c r="BP1421" s="293"/>
    </row>
    <row r="1422" spans="12:68" ht="15" customHeight="1">
      <c r="L1422" s="296"/>
      <c r="M1422" s="30"/>
      <c r="N1422" s="38"/>
      <c r="O1422" s="38"/>
      <c r="P1422" s="38"/>
      <c r="Q1422" s="38"/>
      <c r="R1422" s="38"/>
      <c r="S1422" s="38"/>
      <c r="T1422" s="38"/>
      <c r="U1422" s="38"/>
      <c r="V1422" s="38"/>
      <c r="W1422" s="38"/>
      <c r="X1422" s="38"/>
      <c r="Y1422" s="49"/>
      <c r="Z1422" s="49"/>
      <c r="AO1422"/>
      <c r="AP1422"/>
      <c r="AQ1422"/>
      <c r="AZ1422"/>
      <c r="BP1422" s="293"/>
    </row>
    <row r="1423" spans="12:68" ht="15" customHeight="1">
      <c r="L1423" s="296"/>
      <c r="M1423" s="30"/>
      <c r="N1423" s="38"/>
      <c r="O1423" s="38"/>
      <c r="P1423" s="38"/>
      <c r="Q1423" s="38"/>
      <c r="R1423" s="38"/>
      <c r="S1423" s="38"/>
      <c r="T1423" s="38"/>
      <c r="U1423" s="38"/>
      <c r="V1423" s="38"/>
      <c r="W1423" s="38"/>
      <c r="X1423" s="38"/>
      <c r="Y1423" s="49"/>
      <c r="Z1423" s="49"/>
      <c r="AO1423"/>
      <c r="AP1423"/>
      <c r="AQ1423"/>
      <c r="AZ1423"/>
      <c r="BP1423" s="293"/>
    </row>
    <row r="1424" spans="12:68" ht="15" customHeight="1">
      <c r="L1424" s="296"/>
      <c r="M1424" s="30"/>
      <c r="N1424" s="38"/>
      <c r="O1424" s="38"/>
      <c r="P1424" s="38"/>
      <c r="Q1424" s="38"/>
      <c r="R1424" s="38"/>
      <c r="S1424" s="38"/>
      <c r="T1424" s="38"/>
      <c r="U1424" s="38"/>
      <c r="V1424" s="38"/>
      <c r="W1424" s="38"/>
      <c r="X1424" s="38"/>
      <c r="Y1424" s="49"/>
      <c r="Z1424" s="49"/>
      <c r="AO1424"/>
      <c r="AP1424"/>
      <c r="AQ1424"/>
      <c r="AZ1424"/>
      <c r="BP1424" s="293"/>
    </row>
    <row r="1425" spans="12:68" ht="15" customHeight="1">
      <c r="L1425" s="296"/>
      <c r="M1425" s="30"/>
      <c r="N1425" s="38"/>
      <c r="O1425" s="38"/>
      <c r="P1425" s="38"/>
      <c r="Q1425" s="38"/>
      <c r="R1425" s="38"/>
      <c r="S1425" s="38"/>
      <c r="T1425" s="38"/>
      <c r="U1425" s="38"/>
      <c r="V1425" s="38"/>
      <c r="W1425" s="38"/>
      <c r="X1425" s="38"/>
      <c r="Y1425" s="49"/>
      <c r="Z1425" s="49"/>
      <c r="AO1425"/>
      <c r="AP1425"/>
      <c r="AQ1425"/>
      <c r="AZ1425"/>
      <c r="BP1425" s="293"/>
    </row>
    <row r="1426" spans="12:68" ht="15" customHeight="1">
      <c r="L1426" s="296"/>
      <c r="M1426" s="30"/>
      <c r="N1426" s="38"/>
      <c r="O1426" s="38"/>
      <c r="P1426" s="38"/>
      <c r="Q1426" s="38"/>
      <c r="R1426" s="38"/>
      <c r="S1426" s="38"/>
      <c r="T1426" s="38"/>
      <c r="U1426" s="38"/>
      <c r="V1426" s="38"/>
      <c r="W1426" s="38"/>
      <c r="X1426" s="38"/>
      <c r="Y1426" s="49"/>
      <c r="Z1426" s="49"/>
      <c r="AO1426"/>
      <c r="AP1426"/>
      <c r="AQ1426"/>
      <c r="AZ1426"/>
      <c r="BP1426" s="293"/>
    </row>
    <row r="1427" spans="12:68" ht="15" customHeight="1">
      <c r="L1427" s="296"/>
      <c r="M1427" s="30"/>
      <c r="N1427" s="38"/>
      <c r="O1427" s="38"/>
      <c r="P1427" s="38"/>
      <c r="Q1427" s="38"/>
      <c r="R1427" s="38"/>
      <c r="S1427" s="38"/>
      <c r="T1427" s="38"/>
      <c r="U1427" s="38"/>
      <c r="V1427" s="38"/>
      <c r="W1427" s="38"/>
      <c r="X1427" s="38"/>
      <c r="Y1427" s="49"/>
      <c r="Z1427" s="49"/>
      <c r="AO1427"/>
      <c r="AP1427"/>
      <c r="AQ1427"/>
      <c r="AZ1427"/>
      <c r="BP1427" s="293"/>
    </row>
    <row r="1428" spans="12:68" ht="15" customHeight="1">
      <c r="L1428" s="296"/>
      <c r="M1428" s="30"/>
      <c r="N1428" s="38"/>
      <c r="O1428" s="38"/>
      <c r="P1428" s="38"/>
      <c r="Q1428" s="38"/>
      <c r="R1428" s="38"/>
      <c r="S1428" s="38"/>
      <c r="T1428" s="38"/>
      <c r="U1428" s="38"/>
      <c r="V1428" s="38"/>
      <c r="W1428" s="38"/>
      <c r="X1428" s="38"/>
      <c r="Y1428" s="49"/>
      <c r="Z1428" s="49"/>
      <c r="AO1428"/>
      <c r="AP1428"/>
      <c r="AQ1428"/>
      <c r="AZ1428"/>
      <c r="BP1428" s="293"/>
    </row>
    <row r="1429" spans="12:68" ht="15" customHeight="1">
      <c r="L1429" s="296"/>
      <c r="M1429" s="30"/>
      <c r="N1429" s="38"/>
      <c r="O1429" s="38"/>
      <c r="P1429" s="38"/>
      <c r="Q1429" s="38"/>
      <c r="R1429" s="38"/>
      <c r="S1429" s="38"/>
      <c r="T1429" s="38"/>
      <c r="U1429" s="38"/>
      <c r="V1429" s="38"/>
      <c r="W1429" s="38"/>
      <c r="X1429" s="38"/>
      <c r="Y1429" s="49"/>
      <c r="Z1429" s="49"/>
      <c r="AO1429"/>
      <c r="AP1429"/>
      <c r="AQ1429"/>
      <c r="AZ1429"/>
      <c r="BP1429" s="293"/>
    </row>
    <row r="1430" spans="12:68" ht="15" customHeight="1">
      <c r="L1430" s="296"/>
      <c r="M1430" s="30"/>
      <c r="N1430" s="38"/>
      <c r="O1430" s="38"/>
      <c r="P1430" s="38"/>
      <c r="Q1430" s="38"/>
      <c r="R1430" s="38"/>
      <c r="S1430" s="38"/>
      <c r="T1430" s="38"/>
      <c r="U1430" s="38"/>
      <c r="V1430" s="38"/>
      <c r="W1430" s="38"/>
      <c r="X1430" s="38"/>
      <c r="Y1430" s="49"/>
      <c r="Z1430" s="49"/>
      <c r="AO1430"/>
      <c r="AP1430"/>
      <c r="AQ1430"/>
      <c r="AZ1430"/>
      <c r="BP1430" s="293"/>
    </row>
    <row r="1431" spans="12:68" ht="15" customHeight="1">
      <c r="L1431" s="296"/>
      <c r="M1431" s="30"/>
      <c r="N1431" s="38"/>
      <c r="O1431" s="38"/>
      <c r="P1431" s="38"/>
      <c r="Q1431" s="38"/>
      <c r="R1431" s="38"/>
      <c r="S1431" s="38"/>
      <c r="T1431" s="38"/>
      <c r="U1431" s="38"/>
      <c r="V1431" s="38"/>
      <c r="W1431" s="38"/>
      <c r="X1431" s="38"/>
      <c r="Y1431" s="49"/>
      <c r="Z1431" s="49"/>
      <c r="AO1431"/>
      <c r="AP1431"/>
      <c r="AQ1431"/>
      <c r="AZ1431"/>
      <c r="BP1431" s="293"/>
    </row>
    <row r="1432" spans="12:68" ht="15" customHeight="1">
      <c r="L1432" s="296"/>
      <c r="M1432" s="30"/>
      <c r="N1432" s="38"/>
      <c r="O1432" s="38"/>
      <c r="P1432" s="38"/>
      <c r="Q1432" s="38"/>
      <c r="R1432" s="38"/>
      <c r="S1432" s="38"/>
      <c r="T1432" s="38"/>
      <c r="U1432" s="38"/>
      <c r="V1432" s="38"/>
      <c r="W1432" s="38"/>
      <c r="X1432" s="38"/>
      <c r="Y1432" s="49"/>
      <c r="Z1432" s="49"/>
      <c r="AO1432"/>
      <c r="AP1432"/>
      <c r="AQ1432"/>
      <c r="AZ1432"/>
      <c r="BP1432" s="293"/>
    </row>
    <row r="1433" spans="12:68" ht="15" customHeight="1">
      <c r="L1433" s="296"/>
      <c r="M1433" s="30"/>
      <c r="N1433" s="38"/>
      <c r="O1433" s="38"/>
      <c r="P1433" s="38"/>
      <c r="Q1433" s="38"/>
      <c r="R1433" s="38"/>
      <c r="S1433" s="38"/>
      <c r="T1433" s="38"/>
      <c r="U1433" s="38"/>
      <c r="V1433" s="38"/>
      <c r="W1433" s="38"/>
      <c r="X1433" s="38"/>
      <c r="Y1433" s="49"/>
      <c r="Z1433" s="49"/>
      <c r="AO1433"/>
      <c r="AP1433"/>
      <c r="AQ1433"/>
      <c r="AZ1433"/>
      <c r="BP1433" s="293"/>
    </row>
    <row r="1434" spans="12:68" ht="15" customHeight="1">
      <c r="L1434" s="296"/>
      <c r="M1434" s="30"/>
      <c r="N1434" s="38"/>
      <c r="O1434" s="38"/>
      <c r="P1434" s="38"/>
      <c r="Q1434" s="38"/>
      <c r="R1434" s="38"/>
      <c r="S1434" s="38"/>
      <c r="T1434" s="38"/>
      <c r="U1434" s="38"/>
      <c r="V1434" s="38"/>
      <c r="W1434" s="38"/>
      <c r="X1434" s="38"/>
      <c r="Y1434" s="49"/>
      <c r="Z1434" s="49"/>
      <c r="AO1434"/>
      <c r="AP1434"/>
      <c r="AQ1434"/>
      <c r="AZ1434"/>
      <c r="BP1434" s="293"/>
    </row>
    <row r="1435" spans="12:68" ht="15" customHeight="1">
      <c r="L1435" s="296"/>
      <c r="M1435" s="30"/>
      <c r="N1435" s="38"/>
      <c r="O1435" s="38"/>
      <c r="P1435" s="38"/>
      <c r="Q1435" s="38"/>
      <c r="R1435" s="38"/>
      <c r="S1435" s="38"/>
      <c r="T1435" s="38"/>
      <c r="U1435" s="38"/>
      <c r="V1435" s="38"/>
      <c r="W1435" s="38"/>
      <c r="X1435" s="38"/>
      <c r="Y1435" s="49"/>
      <c r="Z1435" s="49"/>
      <c r="AO1435"/>
      <c r="AP1435"/>
      <c r="AQ1435"/>
      <c r="AZ1435"/>
      <c r="BP1435" s="293"/>
    </row>
    <row r="1436" spans="12:68" ht="15" customHeight="1">
      <c r="L1436" s="296"/>
      <c r="M1436" s="30"/>
      <c r="N1436" s="38"/>
      <c r="O1436" s="38"/>
      <c r="P1436" s="38"/>
      <c r="Q1436" s="38"/>
      <c r="R1436" s="38"/>
      <c r="S1436" s="38"/>
      <c r="T1436" s="38"/>
      <c r="U1436" s="38"/>
      <c r="V1436" s="38"/>
      <c r="W1436" s="38"/>
      <c r="X1436" s="38"/>
      <c r="Y1436" s="49"/>
      <c r="Z1436" s="49"/>
      <c r="AO1436"/>
      <c r="AP1436"/>
      <c r="AQ1436"/>
      <c r="AZ1436"/>
      <c r="BP1436" s="293"/>
    </row>
    <row r="1437" spans="12:68" ht="15" customHeight="1">
      <c r="L1437" s="296"/>
      <c r="M1437" s="30"/>
      <c r="N1437" s="38"/>
      <c r="O1437" s="38"/>
      <c r="P1437" s="38"/>
      <c r="Q1437" s="38"/>
      <c r="R1437" s="38"/>
      <c r="S1437" s="38"/>
      <c r="T1437" s="38"/>
      <c r="U1437" s="38"/>
      <c r="V1437" s="38"/>
      <c r="W1437" s="38"/>
      <c r="X1437" s="38"/>
      <c r="Y1437" s="49"/>
      <c r="Z1437" s="49"/>
      <c r="AO1437"/>
      <c r="AP1437"/>
      <c r="AQ1437"/>
      <c r="AZ1437"/>
      <c r="BP1437" s="293"/>
    </row>
    <row r="1438" spans="12:68" ht="15" customHeight="1">
      <c r="L1438" s="296"/>
      <c r="M1438" s="30"/>
      <c r="N1438" s="38"/>
      <c r="O1438" s="38"/>
      <c r="P1438" s="38"/>
      <c r="Q1438" s="38"/>
      <c r="R1438" s="38"/>
      <c r="S1438" s="38"/>
      <c r="T1438" s="38"/>
      <c r="U1438" s="38"/>
      <c r="V1438" s="38"/>
      <c r="W1438" s="38"/>
      <c r="X1438" s="38"/>
      <c r="Y1438" s="49"/>
      <c r="Z1438" s="49"/>
      <c r="AO1438"/>
      <c r="AP1438"/>
      <c r="AQ1438"/>
      <c r="AZ1438"/>
      <c r="BP1438" s="293"/>
    </row>
    <row r="1439" spans="12:68" ht="15" customHeight="1">
      <c r="L1439" s="296"/>
      <c r="M1439" s="30"/>
      <c r="N1439" s="38"/>
      <c r="O1439" s="38"/>
      <c r="P1439" s="38"/>
      <c r="Q1439" s="38"/>
      <c r="R1439" s="38"/>
      <c r="S1439" s="38"/>
      <c r="T1439" s="38"/>
      <c r="U1439" s="38"/>
      <c r="V1439" s="38"/>
      <c r="W1439" s="38"/>
      <c r="X1439" s="38"/>
      <c r="Y1439" s="49"/>
      <c r="Z1439" s="49"/>
      <c r="AO1439"/>
      <c r="AP1439"/>
      <c r="AQ1439"/>
      <c r="AZ1439"/>
      <c r="BP1439" s="293"/>
    </row>
    <row r="1440" spans="12:68" ht="15" customHeight="1">
      <c r="L1440" s="296"/>
      <c r="M1440" s="30"/>
      <c r="N1440" s="38"/>
      <c r="O1440" s="38"/>
      <c r="P1440" s="38"/>
      <c r="Q1440" s="38"/>
      <c r="R1440" s="38"/>
      <c r="S1440" s="38"/>
      <c r="T1440" s="38"/>
      <c r="U1440" s="38"/>
      <c r="V1440" s="38"/>
      <c r="W1440" s="38"/>
      <c r="X1440" s="38"/>
      <c r="Y1440" s="49"/>
      <c r="Z1440" s="49"/>
      <c r="AO1440"/>
      <c r="AP1440"/>
      <c r="AQ1440"/>
      <c r="AZ1440"/>
      <c r="BP1440" s="293"/>
    </row>
    <row r="1441" spans="12:68" ht="15" customHeight="1">
      <c r="L1441" s="296"/>
      <c r="M1441" s="30"/>
      <c r="N1441" s="38"/>
      <c r="O1441" s="38"/>
      <c r="P1441" s="38"/>
      <c r="Q1441" s="38"/>
      <c r="R1441" s="38"/>
      <c r="S1441" s="38"/>
      <c r="T1441" s="38"/>
      <c r="U1441" s="38"/>
      <c r="V1441" s="38"/>
      <c r="W1441" s="38"/>
      <c r="X1441" s="38"/>
      <c r="Y1441" s="49"/>
      <c r="Z1441" s="49"/>
      <c r="AO1441"/>
      <c r="AP1441"/>
      <c r="AQ1441"/>
      <c r="AZ1441"/>
      <c r="BP1441" s="293"/>
    </row>
    <row r="1442" spans="12:68" ht="15" customHeight="1">
      <c r="L1442" s="296"/>
      <c r="M1442" s="30"/>
      <c r="N1442" s="38"/>
      <c r="O1442" s="38"/>
      <c r="P1442" s="38"/>
      <c r="Q1442" s="38"/>
      <c r="R1442" s="38"/>
      <c r="S1442" s="38"/>
      <c r="T1442" s="38"/>
      <c r="U1442" s="38"/>
      <c r="V1442" s="38"/>
      <c r="W1442" s="38"/>
      <c r="X1442" s="38"/>
      <c r="Y1442" s="49"/>
      <c r="Z1442" s="49"/>
      <c r="AO1442"/>
      <c r="AP1442"/>
      <c r="AQ1442"/>
      <c r="AZ1442"/>
      <c r="BP1442" s="293"/>
    </row>
    <row r="1443" spans="12:68" ht="15" customHeight="1">
      <c r="L1443" s="296"/>
      <c r="M1443" s="30"/>
      <c r="N1443" s="38"/>
      <c r="O1443" s="38"/>
      <c r="P1443" s="38"/>
      <c r="Q1443" s="38"/>
      <c r="R1443" s="38"/>
      <c r="S1443" s="38"/>
      <c r="T1443" s="38"/>
      <c r="U1443" s="38"/>
      <c r="V1443" s="38"/>
      <c r="W1443" s="38"/>
      <c r="X1443" s="38"/>
      <c r="Y1443" s="49"/>
      <c r="Z1443" s="49"/>
      <c r="AO1443"/>
      <c r="AP1443"/>
      <c r="AQ1443"/>
      <c r="AZ1443"/>
      <c r="BP1443" s="293"/>
    </row>
    <row r="1444" spans="12:68" ht="15" customHeight="1">
      <c r="L1444" s="296"/>
      <c r="M1444" s="30"/>
      <c r="N1444" s="38"/>
      <c r="O1444" s="38"/>
      <c r="P1444" s="38"/>
      <c r="Q1444" s="38"/>
      <c r="R1444" s="38"/>
      <c r="S1444" s="38"/>
      <c r="T1444" s="38"/>
      <c r="U1444" s="38"/>
      <c r="V1444" s="38"/>
      <c r="W1444" s="38"/>
      <c r="X1444" s="38"/>
      <c r="Y1444" s="49"/>
      <c r="Z1444" s="49"/>
      <c r="AO1444"/>
      <c r="AP1444"/>
      <c r="AQ1444"/>
      <c r="AZ1444"/>
      <c r="BP1444" s="293"/>
    </row>
    <row r="1445" spans="12:68" ht="15" customHeight="1">
      <c r="L1445" s="296"/>
      <c r="M1445" s="30"/>
      <c r="N1445" s="38"/>
      <c r="O1445" s="38"/>
      <c r="P1445" s="38"/>
      <c r="Q1445" s="38"/>
      <c r="R1445" s="38"/>
      <c r="S1445" s="38"/>
      <c r="T1445" s="38"/>
      <c r="U1445" s="38"/>
      <c r="V1445" s="38"/>
      <c r="W1445" s="38"/>
      <c r="X1445" s="38"/>
      <c r="Y1445" s="49"/>
      <c r="Z1445" s="49"/>
      <c r="AO1445"/>
      <c r="AP1445"/>
      <c r="AQ1445"/>
      <c r="AZ1445"/>
      <c r="BP1445" s="293"/>
    </row>
    <row r="1446" spans="12:68" ht="15" customHeight="1">
      <c r="L1446" s="296"/>
      <c r="M1446" s="30"/>
      <c r="N1446" s="38"/>
      <c r="O1446" s="38"/>
      <c r="P1446" s="38"/>
      <c r="Q1446" s="38"/>
      <c r="R1446" s="38"/>
      <c r="S1446" s="38"/>
      <c r="T1446" s="38"/>
      <c r="U1446" s="38"/>
      <c r="V1446" s="38"/>
      <c r="W1446" s="38"/>
      <c r="X1446" s="38"/>
      <c r="Y1446" s="49"/>
      <c r="Z1446" s="49"/>
      <c r="AO1446"/>
      <c r="AP1446"/>
      <c r="AQ1446"/>
      <c r="AZ1446"/>
      <c r="BP1446" s="293"/>
    </row>
    <row r="1447" spans="12:68" ht="15" customHeight="1">
      <c r="L1447" s="296"/>
      <c r="M1447" s="30"/>
      <c r="N1447" s="38"/>
      <c r="O1447" s="38"/>
      <c r="P1447" s="38"/>
      <c r="Q1447" s="38"/>
      <c r="R1447" s="38"/>
      <c r="S1447" s="38"/>
      <c r="T1447" s="38"/>
      <c r="U1447" s="38"/>
      <c r="V1447" s="38"/>
      <c r="W1447" s="38"/>
      <c r="X1447" s="38"/>
      <c r="Y1447" s="49"/>
      <c r="Z1447" s="49"/>
      <c r="AO1447"/>
      <c r="AP1447"/>
      <c r="AQ1447"/>
      <c r="AZ1447"/>
      <c r="BP1447" s="293"/>
    </row>
    <row r="1448" spans="12:68" ht="15" customHeight="1">
      <c r="L1448" s="296"/>
      <c r="M1448" s="30"/>
      <c r="N1448" s="38"/>
      <c r="O1448" s="38"/>
      <c r="P1448" s="38"/>
      <c r="Q1448" s="38"/>
      <c r="R1448" s="38"/>
      <c r="S1448" s="38"/>
      <c r="T1448" s="38"/>
      <c r="U1448" s="38"/>
      <c r="V1448" s="38"/>
      <c r="W1448" s="38"/>
      <c r="X1448" s="38"/>
      <c r="Y1448" s="49"/>
      <c r="Z1448" s="49"/>
      <c r="AO1448"/>
      <c r="AP1448"/>
      <c r="AQ1448"/>
      <c r="AZ1448"/>
      <c r="BP1448" s="293"/>
    </row>
    <row r="1449" spans="12:68" ht="15" customHeight="1">
      <c r="L1449" s="296"/>
      <c r="M1449" s="30"/>
      <c r="N1449" s="38"/>
      <c r="O1449" s="38"/>
      <c r="P1449" s="38"/>
      <c r="Q1449" s="38"/>
      <c r="R1449" s="38"/>
      <c r="S1449" s="38"/>
      <c r="T1449" s="38"/>
      <c r="U1449" s="38"/>
      <c r="V1449" s="38"/>
      <c r="W1449" s="38"/>
      <c r="X1449" s="38"/>
      <c r="Y1449" s="49"/>
      <c r="Z1449" s="49"/>
      <c r="AO1449"/>
      <c r="AP1449"/>
      <c r="AQ1449"/>
      <c r="AZ1449"/>
      <c r="BP1449" s="293"/>
    </row>
    <row r="1450" spans="12:68" ht="15" customHeight="1">
      <c r="L1450" s="296"/>
      <c r="M1450" s="30"/>
      <c r="N1450" s="38"/>
      <c r="O1450" s="38"/>
      <c r="P1450" s="38"/>
      <c r="Q1450" s="38"/>
      <c r="R1450" s="38"/>
      <c r="S1450" s="38"/>
      <c r="T1450" s="38"/>
      <c r="U1450" s="38"/>
      <c r="V1450" s="38"/>
      <c r="W1450" s="38"/>
      <c r="X1450" s="38"/>
      <c r="Y1450" s="49"/>
      <c r="Z1450" s="49"/>
      <c r="AO1450"/>
      <c r="AP1450"/>
      <c r="AQ1450"/>
      <c r="AZ1450"/>
      <c r="BP1450" s="293"/>
    </row>
    <row r="1451" spans="12:68" ht="15" customHeight="1">
      <c r="L1451" s="296"/>
      <c r="M1451" s="30"/>
      <c r="N1451" s="38"/>
      <c r="O1451" s="38"/>
      <c r="P1451" s="38"/>
      <c r="Q1451" s="38"/>
      <c r="R1451" s="38"/>
      <c r="S1451" s="38"/>
      <c r="T1451" s="38"/>
      <c r="U1451" s="38"/>
      <c r="V1451" s="38"/>
      <c r="W1451" s="38"/>
      <c r="X1451" s="38"/>
      <c r="Y1451" s="49"/>
      <c r="Z1451" s="49"/>
      <c r="AO1451"/>
      <c r="AP1451"/>
      <c r="AQ1451"/>
      <c r="AZ1451"/>
      <c r="BP1451" s="293"/>
    </row>
    <row r="1452" spans="12:68" ht="15" customHeight="1">
      <c r="L1452" s="296"/>
      <c r="M1452" s="30"/>
      <c r="N1452" s="38"/>
      <c r="O1452" s="38"/>
      <c r="P1452" s="38"/>
      <c r="Q1452" s="38"/>
      <c r="R1452" s="38"/>
      <c r="S1452" s="38"/>
      <c r="T1452" s="38"/>
      <c r="U1452" s="38"/>
      <c r="V1452" s="38"/>
      <c r="W1452" s="38"/>
      <c r="X1452" s="38"/>
      <c r="Y1452" s="49"/>
      <c r="Z1452" s="49"/>
      <c r="AO1452"/>
      <c r="AP1452"/>
      <c r="AQ1452"/>
      <c r="AZ1452"/>
      <c r="BP1452" s="293"/>
    </row>
    <row r="1453" spans="12:68" ht="15" customHeight="1">
      <c r="L1453" s="296"/>
      <c r="M1453" s="30"/>
      <c r="N1453" s="38"/>
      <c r="O1453" s="38"/>
      <c r="P1453" s="38"/>
      <c r="Q1453" s="38"/>
      <c r="R1453" s="38"/>
      <c r="S1453" s="38"/>
      <c r="T1453" s="38"/>
      <c r="U1453" s="38"/>
      <c r="V1453" s="38"/>
      <c r="W1453" s="38"/>
      <c r="X1453" s="38"/>
      <c r="Y1453" s="49"/>
      <c r="Z1453" s="49"/>
      <c r="AO1453"/>
      <c r="AP1453"/>
      <c r="AQ1453"/>
      <c r="AZ1453"/>
      <c r="BP1453" s="293"/>
    </row>
    <row r="1454" spans="12:68" ht="15" customHeight="1">
      <c r="L1454" s="296"/>
      <c r="M1454" s="30"/>
      <c r="N1454" s="38"/>
      <c r="O1454" s="38"/>
      <c r="P1454" s="38"/>
      <c r="Q1454" s="38"/>
      <c r="R1454" s="38"/>
      <c r="S1454" s="38"/>
      <c r="T1454" s="38"/>
      <c r="U1454" s="38"/>
      <c r="V1454" s="38"/>
      <c r="W1454" s="38"/>
      <c r="X1454" s="38"/>
      <c r="Y1454" s="49"/>
      <c r="Z1454" s="49"/>
      <c r="AO1454"/>
      <c r="AP1454"/>
      <c r="AQ1454"/>
      <c r="AZ1454"/>
      <c r="BP1454" s="293"/>
    </row>
    <row r="1455" spans="12:68" ht="15" customHeight="1">
      <c r="L1455" s="296"/>
      <c r="M1455" s="30"/>
      <c r="N1455" s="38"/>
      <c r="O1455" s="38"/>
      <c r="P1455" s="38"/>
      <c r="Q1455" s="38"/>
      <c r="R1455" s="38"/>
      <c r="S1455" s="38"/>
      <c r="T1455" s="38"/>
      <c r="U1455" s="38"/>
      <c r="V1455" s="38"/>
      <c r="W1455" s="38"/>
      <c r="X1455" s="38"/>
      <c r="Y1455" s="49"/>
      <c r="Z1455" s="49"/>
      <c r="AO1455"/>
      <c r="AP1455"/>
      <c r="AQ1455"/>
      <c r="AZ1455"/>
      <c r="BP1455" s="293"/>
    </row>
    <row r="1456" spans="12:68" ht="15" customHeight="1">
      <c r="L1456" s="296"/>
      <c r="M1456" s="30"/>
      <c r="N1456" s="38"/>
      <c r="O1456" s="38"/>
      <c r="P1456" s="38"/>
      <c r="Q1456" s="38"/>
      <c r="R1456" s="38"/>
      <c r="S1456" s="38"/>
      <c r="T1456" s="38"/>
      <c r="U1456" s="38"/>
      <c r="V1456" s="38"/>
      <c r="W1456" s="38"/>
      <c r="X1456" s="38"/>
      <c r="Y1456" s="49"/>
      <c r="Z1456" s="49"/>
      <c r="AO1456"/>
      <c r="AP1456"/>
      <c r="AQ1456"/>
      <c r="AZ1456"/>
      <c r="BP1456" s="293"/>
    </row>
    <row r="1457" spans="8:68" ht="15" customHeight="1">
      <c r="L1457" s="296"/>
      <c r="M1457" s="30"/>
      <c r="N1457" s="38"/>
      <c r="O1457" s="38"/>
      <c r="P1457" s="38"/>
      <c r="Q1457" s="38"/>
      <c r="R1457" s="38"/>
      <c r="S1457" s="38"/>
      <c r="T1457" s="38"/>
      <c r="U1457" s="38"/>
      <c r="V1457" s="38"/>
      <c r="W1457" s="38"/>
      <c r="X1457" s="38"/>
      <c r="Y1457" s="49"/>
      <c r="Z1457" s="49"/>
      <c r="AO1457"/>
      <c r="AP1457"/>
      <c r="AQ1457"/>
      <c r="AZ1457"/>
      <c r="BP1457" s="293"/>
    </row>
    <row r="1458" spans="8:68" ht="15" customHeight="1">
      <c r="L1458" s="296"/>
      <c r="M1458" s="30"/>
      <c r="N1458" s="38"/>
      <c r="O1458" s="38"/>
      <c r="P1458" s="38"/>
      <c r="Q1458" s="38"/>
      <c r="R1458" s="38"/>
      <c r="S1458" s="38"/>
      <c r="T1458" s="38"/>
      <c r="U1458" s="38"/>
      <c r="V1458" s="38"/>
      <c r="W1458" s="38"/>
      <c r="X1458" s="38"/>
      <c r="Y1458" s="49"/>
      <c r="Z1458" s="49"/>
      <c r="AO1458"/>
      <c r="AP1458"/>
      <c r="AQ1458"/>
      <c r="AZ1458"/>
      <c r="BP1458" s="293"/>
    </row>
    <row r="1459" spans="8:68" ht="15" customHeight="1">
      <c r="L1459" s="296"/>
      <c r="M1459" s="30"/>
      <c r="N1459" s="38"/>
      <c r="O1459" s="38"/>
      <c r="P1459" s="38"/>
      <c r="Q1459" s="38"/>
      <c r="R1459" s="38"/>
      <c r="S1459" s="38"/>
      <c r="T1459" s="38"/>
      <c r="U1459" s="38"/>
      <c r="V1459" s="38"/>
      <c r="W1459" s="38"/>
      <c r="X1459" s="38"/>
      <c r="Y1459" s="49"/>
      <c r="Z1459" s="49"/>
      <c r="AO1459"/>
      <c r="AP1459"/>
      <c r="AQ1459"/>
      <c r="AZ1459"/>
      <c r="BP1459" s="293"/>
    </row>
    <row r="1460" spans="8:68" ht="15" customHeight="1">
      <c r="L1460" s="296"/>
      <c r="M1460" s="30"/>
      <c r="N1460" s="38"/>
      <c r="O1460" s="38"/>
      <c r="P1460" s="38"/>
      <c r="Q1460" s="38"/>
      <c r="R1460" s="38"/>
      <c r="S1460" s="38"/>
      <c r="T1460" s="38"/>
      <c r="U1460" s="38"/>
      <c r="V1460" s="38"/>
      <c r="W1460" s="38"/>
      <c r="X1460" s="38"/>
      <c r="Y1460" s="49"/>
      <c r="Z1460" s="49"/>
      <c r="AO1460"/>
      <c r="AP1460"/>
      <c r="AQ1460"/>
      <c r="AZ1460"/>
      <c r="BP1460" s="293"/>
    </row>
    <row r="1461" spans="8:68" ht="15" customHeight="1">
      <c r="L1461" s="296"/>
      <c r="M1461" s="30"/>
      <c r="N1461" s="38"/>
      <c r="O1461" s="38"/>
      <c r="P1461" s="38"/>
      <c r="Q1461" s="38"/>
      <c r="R1461" s="38"/>
      <c r="S1461" s="38"/>
      <c r="T1461" s="38"/>
      <c r="U1461" s="38"/>
      <c r="V1461" s="38"/>
      <c r="W1461" s="38"/>
      <c r="X1461" s="38"/>
      <c r="Y1461" s="49"/>
      <c r="Z1461" s="49"/>
      <c r="AO1461"/>
      <c r="AP1461"/>
      <c r="AQ1461"/>
      <c r="AZ1461"/>
      <c r="BP1461" s="293"/>
    </row>
    <row r="1462" spans="8:68" ht="15" customHeight="1">
      <c r="L1462" s="296"/>
      <c r="M1462" s="30"/>
      <c r="N1462" s="38"/>
      <c r="O1462" s="38"/>
      <c r="P1462" s="38"/>
      <c r="Q1462" s="38"/>
      <c r="R1462" s="38"/>
      <c r="S1462" s="38"/>
      <c r="T1462" s="38"/>
      <c r="U1462" s="38"/>
      <c r="V1462" s="38"/>
      <c r="W1462" s="38"/>
      <c r="X1462" s="38"/>
      <c r="Y1462" s="49"/>
      <c r="Z1462" s="49"/>
      <c r="AO1462"/>
      <c r="AP1462"/>
      <c r="AQ1462"/>
      <c r="AZ1462"/>
      <c r="BP1462" s="293"/>
    </row>
    <row r="1463" spans="8:68" ht="15" customHeight="1">
      <c r="L1463" s="296"/>
      <c r="M1463" s="30"/>
      <c r="N1463" s="38"/>
      <c r="O1463" s="38"/>
      <c r="P1463" s="38"/>
      <c r="Q1463" s="38"/>
      <c r="R1463" s="38"/>
      <c r="S1463" s="38"/>
      <c r="T1463" s="38"/>
      <c r="U1463" s="38"/>
      <c r="V1463" s="38"/>
      <c r="W1463" s="38"/>
      <c r="X1463" s="38"/>
      <c r="Y1463" s="49"/>
      <c r="Z1463" s="49"/>
      <c r="AO1463"/>
      <c r="AP1463"/>
      <c r="AQ1463"/>
      <c r="AZ1463"/>
      <c r="BP1463" s="293"/>
    </row>
    <row r="1464" spans="8:68" ht="15" customHeight="1">
      <c r="L1464" s="296"/>
      <c r="M1464" s="30"/>
      <c r="N1464" s="38"/>
      <c r="O1464" s="38"/>
      <c r="P1464" s="38"/>
      <c r="Q1464" s="38"/>
      <c r="R1464" s="38"/>
      <c r="S1464" s="38"/>
      <c r="T1464" s="38"/>
      <c r="U1464" s="38"/>
      <c r="V1464" s="38"/>
      <c r="W1464" s="38"/>
      <c r="X1464" s="38"/>
      <c r="Y1464" s="49"/>
      <c r="Z1464" s="49"/>
      <c r="AO1464"/>
      <c r="AP1464"/>
      <c r="AQ1464"/>
      <c r="AZ1464"/>
      <c r="BP1464" s="293"/>
    </row>
    <row r="1465" spans="8:68" ht="15" customHeight="1">
      <c r="L1465" s="296"/>
      <c r="M1465" s="30"/>
      <c r="N1465" s="38"/>
      <c r="O1465" s="38"/>
      <c r="P1465" s="38"/>
      <c r="Q1465" s="38"/>
      <c r="R1465" s="38"/>
      <c r="S1465" s="38"/>
      <c r="T1465" s="38"/>
      <c r="U1465" s="38"/>
      <c r="V1465" s="38"/>
      <c r="W1465" s="38"/>
      <c r="X1465" s="38"/>
      <c r="Y1465" s="49"/>
      <c r="Z1465" s="49"/>
      <c r="AO1465"/>
      <c r="AP1465"/>
      <c r="AQ1465"/>
      <c r="AZ1465"/>
      <c r="BP1465" s="293"/>
    </row>
    <row r="1466" spans="8:68" ht="15" customHeight="1">
      <c r="L1466" s="296"/>
      <c r="M1466" s="30"/>
      <c r="N1466" s="38"/>
      <c r="O1466" s="38"/>
      <c r="P1466" s="38"/>
      <c r="Q1466" s="38"/>
      <c r="R1466" s="38"/>
      <c r="S1466" s="38"/>
      <c r="T1466" s="38"/>
      <c r="U1466" s="38"/>
      <c r="V1466" s="38"/>
      <c r="W1466" s="38"/>
      <c r="X1466" s="38"/>
      <c r="Y1466" s="49"/>
      <c r="Z1466" s="49"/>
      <c r="AO1466"/>
      <c r="AP1466"/>
      <c r="AQ1466"/>
      <c r="AZ1466"/>
      <c r="BP1466" s="293"/>
    </row>
    <row r="1467" spans="8:68" ht="15" customHeight="1">
      <c r="L1467" s="296"/>
      <c r="M1467" s="30"/>
      <c r="N1467" s="38"/>
      <c r="O1467" s="38"/>
      <c r="P1467" s="38"/>
      <c r="Q1467" s="38"/>
      <c r="R1467" s="38"/>
      <c r="S1467" s="38"/>
      <c r="T1467" s="38"/>
      <c r="U1467" s="38"/>
      <c r="V1467" s="38"/>
      <c r="W1467" s="38"/>
      <c r="X1467" s="38"/>
      <c r="Y1467" s="49"/>
      <c r="Z1467" s="49"/>
      <c r="AO1467"/>
      <c r="AP1467"/>
      <c r="AQ1467"/>
      <c r="AZ1467"/>
      <c r="BP1467" s="293"/>
    </row>
    <row r="1468" spans="8:68" ht="15" customHeight="1">
      <c r="L1468" s="296"/>
      <c r="M1468" s="30"/>
      <c r="N1468" s="38"/>
      <c r="O1468" s="38"/>
      <c r="P1468" s="38"/>
      <c r="Q1468" s="38"/>
      <c r="R1468" s="38"/>
      <c r="S1468" s="38"/>
      <c r="T1468" s="38"/>
      <c r="U1468" s="38"/>
      <c r="V1468" s="38"/>
      <c r="W1468" s="38"/>
      <c r="X1468" s="38"/>
      <c r="Y1468" s="49"/>
      <c r="Z1468" s="49"/>
      <c r="AO1468"/>
      <c r="AP1468"/>
      <c r="AQ1468"/>
      <c r="AZ1468"/>
      <c r="BP1468" s="293"/>
    </row>
    <row r="1469" spans="8:68" s="2" customFormat="1">
      <c r="H1469" s="202"/>
      <c r="I1469" s="10"/>
      <c r="J1469" s="10"/>
      <c r="K1469" s="10"/>
      <c r="L1469" s="20"/>
      <c r="M1469" s="31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51"/>
      <c r="Z1469" s="51"/>
      <c r="AA1469"/>
      <c r="AB1469"/>
      <c r="AC1469"/>
      <c r="AD1469"/>
      <c r="AE1469"/>
      <c r="AF1469"/>
      <c r="AG1469"/>
      <c r="AH1469"/>
      <c r="AI1469"/>
      <c r="AJ1469" s="185"/>
      <c r="AK1469" s="185"/>
      <c r="AL1469" s="185"/>
      <c r="AM1469" s="185"/>
      <c r="AN1469"/>
      <c r="AO1469" s="1"/>
      <c r="AP1469" s="1"/>
      <c r="AQ1469" s="1"/>
      <c r="AR1469" s="1"/>
      <c r="AS1469"/>
      <c r="AT1469"/>
      <c r="AU1469"/>
      <c r="AV1469"/>
      <c r="AW1469"/>
      <c r="AX1469"/>
      <c r="AY1469"/>
      <c r="AZ1469" s="1"/>
      <c r="BA1469"/>
      <c r="BB1469"/>
      <c r="BC1469"/>
      <c r="BD1469"/>
      <c r="BE1469"/>
      <c r="BF1469" s="1"/>
      <c r="BG1469"/>
      <c r="BH1469"/>
      <c r="BI1469"/>
      <c r="BJ1469"/>
      <c r="BK1469"/>
      <c r="BL1469"/>
      <c r="BM1469"/>
      <c r="BN1469"/>
      <c r="BO1469"/>
    </row>
    <row r="1470" spans="8:68" s="2" customFormat="1">
      <c r="H1470" s="202"/>
      <c r="I1470" s="10"/>
      <c r="J1470" s="10"/>
      <c r="K1470" s="10"/>
      <c r="L1470" s="20"/>
      <c r="M1470" s="31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51"/>
      <c r="Z1470" s="51"/>
      <c r="AA1470"/>
      <c r="AB1470"/>
      <c r="AC1470"/>
      <c r="AD1470"/>
      <c r="AE1470"/>
      <c r="AF1470"/>
      <c r="AG1470"/>
      <c r="AH1470"/>
      <c r="AI1470"/>
      <c r="AJ1470" s="185"/>
      <c r="AK1470" s="185"/>
      <c r="AL1470" s="185"/>
      <c r="AM1470" s="185"/>
      <c r="AN1470"/>
      <c r="AO1470" s="1"/>
      <c r="AP1470" s="1"/>
      <c r="AQ1470" s="1"/>
      <c r="AR1470" s="1"/>
      <c r="AS1470"/>
      <c r="AT1470"/>
      <c r="AU1470"/>
      <c r="AV1470"/>
      <c r="AW1470"/>
      <c r="AX1470"/>
      <c r="AY1470"/>
      <c r="AZ1470" s="1"/>
      <c r="BA1470"/>
      <c r="BB1470"/>
      <c r="BC1470"/>
      <c r="BD1470"/>
      <c r="BE1470"/>
      <c r="BF1470" s="1"/>
      <c r="BG1470"/>
      <c r="BH1470"/>
      <c r="BI1470"/>
      <c r="BJ1470"/>
      <c r="BK1470"/>
      <c r="BL1470"/>
      <c r="BM1470"/>
      <c r="BN1470"/>
      <c r="BO1470"/>
    </row>
    <row r="1471" spans="8:68" s="2" customFormat="1">
      <c r="H1471" s="202"/>
      <c r="I1471" s="10"/>
      <c r="J1471" s="10"/>
      <c r="K1471" s="10"/>
      <c r="L1471" s="20"/>
      <c r="M1471" s="31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51"/>
      <c r="Z1471" s="51"/>
      <c r="AA1471"/>
      <c r="AB1471"/>
      <c r="AC1471"/>
      <c r="AD1471"/>
      <c r="AE1471"/>
      <c r="AF1471"/>
      <c r="AG1471"/>
      <c r="AH1471"/>
      <c r="AI1471"/>
      <c r="AJ1471" s="185"/>
      <c r="AK1471" s="185"/>
      <c r="AL1471" s="185"/>
      <c r="AM1471" s="185"/>
      <c r="AN1471"/>
      <c r="AO1471" s="1"/>
      <c r="AP1471" s="1"/>
      <c r="AQ1471" s="1"/>
      <c r="AR1471" s="1"/>
      <c r="AS1471"/>
      <c r="AT1471"/>
      <c r="AU1471"/>
      <c r="AV1471"/>
      <c r="AW1471"/>
      <c r="AX1471"/>
      <c r="AY1471"/>
      <c r="AZ1471" s="1"/>
      <c r="BA1471"/>
      <c r="BB1471"/>
      <c r="BC1471"/>
      <c r="BD1471"/>
      <c r="BE1471"/>
      <c r="BF1471" s="1"/>
      <c r="BG1471"/>
      <c r="BH1471"/>
      <c r="BI1471"/>
      <c r="BJ1471"/>
      <c r="BK1471"/>
      <c r="BL1471"/>
      <c r="BM1471"/>
      <c r="BN1471"/>
      <c r="BO1471"/>
    </row>
    <row r="1472" spans="8:68" s="2" customFormat="1">
      <c r="H1472" s="202"/>
      <c r="I1472" s="10"/>
      <c r="J1472" s="10"/>
      <c r="K1472" s="10"/>
      <c r="L1472" s="20"/>
      <c r="M1472" s="31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51"/>
      <c r="Z1472" s="51"/>
      <c r="AA1472"/>
      <c r="AB1472"/>
      <c r="AC1472"/>
      <c r="AD1472"/>
      <c r="AE1472"/>
      <c r="AF1472"/>
      <c r="AG1472"/>
      <c r="AH1472"/>
      <c r="AI1472"/>
      <c r="AJ1472" s="185"/>
      <c r="AK1472" s="185"/>
      <c r="AL1472" s="185"/>
      <c r="AM1472" s="185"/>
      <c r="AN1472"/>
      <c r="AO1472" s="1"/>
      <c r="AP1472" s="1"/>
      <c r="AQ1472" s="1"/>
      <c r="AR1472" s="1"/>
      <c r="AS1472"/>
      <c r="AT1472"/>
      <c r="AU1472"/>
      <c r="AV1472"/>
      <c r="AW1472"/>
      <c r="AX1472"/>
      <c r="AY1472"/>
      <c r="AZ1472" s="1"/>
      <c r="BA1472"/>
      <c r="BB1472"/>
      <c r="BC1472"/>
      <c r="BD1472"/>
      <c r="BE1472"/>
      <c r="BF1472" s="1"/>
      <c r="BG1472"/>
      <c r="BH1472"/>
      <c r="BI1472"/>
      <c r="BJ1472"/>
      <c r="BK1472"/>
      <c r="BL1472"/>
      <c r="BM1472"/>
      <c r="BN1472"/>
      <c r="BO1472"/>
    </row>
    <row r="1473" spans="8:67" s="2" customFormat="1">
      <c r="H1473" s="202"/>
      <c r="I1473" s="10"/>
      <c r="J1473" s="10"/>
      <c r="K1473" s="10"/>
      <c r="L1473" s="20"/>
      <c r="M1473" s="31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51"/>
      <c r="Z1473" s="51"/>
      <c r="AA1473"/>
      <c r="AB1473"/>
      <c r="AC1473"/>
      <c r="AD1473"/>
      <c r="AE1473"/>
      <c r="AF1473"/>
      <c r="AG1473"/>
      <c r="AH1473"/>
      <c r="AI1473"/>
      <c r="AJ1473" s="185"/>
      <c r="AK1473" s="185"/>
      <c r="AL1473" s="185"/>
      <c r="AM1473" s="185"/>
      <c r="AN1473"/>
      <c r="AO1473" s="1"/>
      <c r="AP1473" s="1"/>
      <c r="AQ1473" s="1"/>
      <c r="AR1473" s="1"/>
      <c r="AS1473"/>
      <c r="AT1473"/>
      <c r="AU1473"/>
      <c r="AV1473"/>
      <c r="AW1473"/>
      <c r="AX1473"/>
      <c r="AY1473"/>
      <c r="AZ1473" s="1"/>
      <c r="BA1473"/>
      <c r="BB1473"/>
      <c r="BC1473"/>
      <c r="BD1473"/>
      <c r="BE1473"/>
      <c r="BF1473" s="1"/>
      <c r="BG1473"/>
      <c r="BH1473"/>
      <c r="BI1473"/>
      <c r="BJ1473"/>
      <c r="BK1473"/>
      <c r="BL1473"/>
      <c r="BM1473"/>
      <c r="BN1473"/>
      <c r="BO1473"/>
    </row>
    <row r="1474" spans="8:67" s="2" customFormat="1">
      <c r="H1474" s="202"/>
      <c r="I1474" s="10"/>
      <c r="J1474" s="10"/>
      <c r="K1474" s="10"/>
      <c r="L1474" s="20"/>
      <c r="M1474" s="31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51"/>
      <c r="Z1474" s="51"/>
      <c r="AA1474"/>
      <c r="AB1474"/>
      <c r="AC1474"/>
      <c r="AD1474"/>
      <c r="AE1474"/>
      <c r="AF1474"/>
      <c r="AG1474"/>
      <c r="AH1474"/>
      <c r="AI1474"/>
      <c r="AJ1474" s="185"/>
      <c r="AK1474" s="185"/>
      <c r="AL1474" s="185"/>
      <c r="AM1474" s="185"/>
      <c r="AN1474"/>
      <c r="AO1474" s="1"/>
      <c r="AP1474" s="1"/>
      <c r="AQ1474" s="1"/>
      <c r="AR1474" s="1"/>
      <c r="AS1474"/>
      <c r="AT1474"/>
      <c r="AU1474"/>
      <c r="AV1474"/>
      <c r="AW1474"/>
      <c r="AX1474"/>
      <c r="AY1474"/>
      <c r="AZ1474" s="1"/>
      <c r="BA1474"/>
      <c r="BB1474"/>
      <c r="BC1474"/>
      <c r="BD1474"/>
      <c r="BE1474"/>
      <c r="BF1474" s="1"/>
      <c r="BG1474"/>
      <c r="BH1474"/>
      <c r="BI1474"/>
      <c r="BJ1474"/>
      <c r="BK1474"/>
      <c r="BL1474"/>
      <c r="BM1474"/>
      <c r="BN1474"/>
      <c r="BO1474"/>
    </row>
    <row r="1475" spans="8:67" s="2" customFormat="1">
      <c r="H1475" s="202"/>
      <c r="I1475" s="10"/>
      <c r="J1475" s="10"/>
      <c r="K1475" s="10"/>
      <c r="L1475" s="20"/>
      <c r="M1475" s="31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51"/>
      <c r="Z1475" s="51"/>
      <c r="AA1475"/>
      <c r="AB1475"/>
      <c r="AC1475"/>
      <c r="AD1475"/>
      <c r="AE1475"/>
      <c r="AF1475"/>
      <c r="AG1475"/>
      <c r="AH1475"/>
      <c r="AI1475"/>
      <c r="AJ1475" s="185"/>
      <c r="AK1475" s="185"/>
      <c r="AL1475" s="185"/>
      <c r="AM1475" s="185"/>
      <c r="AN1475"/>
      <c r="AO1475" s="1"/>
      <c r="AP1475" s="1"/>
      <c r="AQ1475" s="1"/>
      <c r="AR1475" s="1"/>
      <c r="AS1475"/>
      <c r="AT1475"/>
      <c r="AU1475"/>
      <c r="AV1475"/>
      <c r="AW1475"/>
      <c r="AX1475"/>
      <c r="AY1475"/>
      <c r="AZ1475" s="1"/>
      <c r="BA1475"/>
      <c r="BB1475"/>
      <c r="BC1475"/>
      <c r="BD1475"/>
      <c r="BE1475"/>
      <c r="BF1475" s="1"/>
      <c r="BG1475"/>
      <c r="BH1475"/>
      <c r="BI1475"/>
      <c r="BJ1475"/>
      <c r="BK1475"/>
      <c r="BL1475"/>
      <c r="BM1475"/>
      <c r="BN1475"/>
      <c r="BO1475"/>
    </row>
    <row r="1476" spans="8:67" s="2" customFormat="1">
      <c r="H1476" s="202"/>
      <c r="I1476" s="10"/>
      <c r="J1476" s="10"/>
      <c r="K1476" s="10"/>
      <c r="L1476" s="20"/>
      <c r="M1476" s="31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51"/>
      <c r="Z1476" s="51"/>
      <c r="AA1476"/>
      <c r="AB1476"/>
      <c r="AC1476"/>
      <c r="AD1476"/>
      <c r="AE1476"/>
      <c r="AF1476"/>
      <c r="AG1476"/>
      <c r="AH1476"/>
      <c r="AI1476"/>
      <c r="AJ1476" s="185"/>
      <c r="AK1476" s="185"/>
      <c r="AL1476" s="185"/>
      <c r="AM1476" s="185"/>
      <c r="AN1476"/>
      <c r="AO1476" s="1"/>
      <c r="AP1476" s="1"/>
      <c r="AQ1476" s="1"/>
      <c r="AR1476" s="1"/>
      <c r="AS1476"/>
      <c r="AT1476"/>
      <c r="AU1476"/>
      <c r="AV1476"/>
      <c r="AW1476"/>
      <c r="AX1476"/>
      <c r="AY1476"/>
      <c r="AZ1476" s="1"/>
      <c r="BA1476"/>
      <c r="BB1476"/>
      <c r="BC1476"/>
      <c r="BD1476"/>
      <c r="BE1476"/>
      <c r="BF1476" s="1"/>
      <c r="BG1476"/>
      <c r="BH1476"/>
      <c r="BI1476"/>
      <c r="BJ1476"/>
      <c r="BK1476"/>
      <c r="BL1476"/>
      <c r="BM1476"/>
      <c r="BN1476"/>
      <c r="BO1476"/>
    </row>
    <row r="1477" spans="8:67" s="2" customFormat="1">
      <c r="H1477" s="202"/>
      <c r="I1477" s="10"/>
      <c r="J1477" s="10"/>
      <c r="K1477" s="10"/>
      <c r="L1477" s="20"/>
      <c r="M1477" s="31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51"/>
      <c r="Z1477" s="51"/>
      <c r="AA1477"/>
      <c r="AB1477"/>
      <c r="AC1477"/>
      <c r="AD1477"/>
      <c r="AE1477"/>
      <c r="AF1477"/>
      <c r="AG1477"/>
      <c r="AH1477"/>
      <c r="AI1477"/>
      <c r="AJ1477" s="185"/>
      <c r="AK1477" s="185"/>
      <c r="AL1477" s="185"/>
      <c r="AM1477" s="185"/>
      <c r="AN1477"/>
      <c r="AO1477" s="1"/>
      <c r="AP1477" s="1"/>
      <c r="AQ1477" s="1"/>
      <c r="AR1477" s="1"/>
      <c r="AS1477"/>
      <c r="AT1477"/>
      <c r="AU1477"/>
      <c r="AV1477"/>
      <c r="AW1477"/>
      <c r="AX1477"/>
      <c r="AY1477"/>
      <c r="AZ1477" s="1"/>
      <c r="BA1477"/>
      <c r="BB1477"/>
      <c r="BC1477"/>
      <c r="BD1477"/>
      <c r="BE1477"/>
      <c r="BF1477" s="1"/>
      <c r="BG1477"/>
      <c r="BH1477"/>
      <c r="BI1477"/>
      <c r="BJ1477"/>
      <c r="BK1477"/>
      <c r="BL1477"/>
      <c r="BM1477"/>
      <c r="BN1477"/>
      <c r="BO1477"/>
    </row>
    <row r="1478" spans="8:67" s="2" customFormat="1">
      <c r="H1478" s="202"/>
      <c r="I1478" s="10"/>
      <c r="J1478" s="10"/>
      <c r="K1478" s="10"/>
      <c r="L1478" s="20"/>
      <c r="M1478" s="31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51"/>
      <c r="Z1478" s="51"/>
      <c r="AA1478"/>
      <c r="AB1478"/>
      <c r="AC1478"/>
      <c r="AD1478"/>
      <c r="AE1478"/>
      <c r="AF1478"/>
      <c r="AG1478"/>
      <c r="AH1478"/>
      <c r="AI1478"/>
      <c r="AJ1478" s="185"/>
      <c r="AK1478" s="185"/>
      <c r="AL1478" s="185"/>
      <c r="AM1478" s="185"/>
      <c r="AN1478"/>
      <c r="AO1478" s="1"/>
      <c r="AP1478" s="1"/>
      <c r="AQ1478" s="1"/>
      <c r="AR1478" s="1"/>
      <c r="AS1478"/>
      <c r="AT1478"/>
      <c r="AU1478"/>
      <c r="AV1478"/>
      <c r="AW1478"/>
      <c r="AX1478"/>
      <c r="AY1478"/>
      <c r="AZ1478" s="1"/>
      <c r="BA1478"/>
      <c r="BB1478"/>
      <c r="BC1478"/>
      <c r="BD1478"/>
      <c r="BE1478"/>
      <c r="BF1478" s="1"/>
      <c r="BG1478"/>
      <c r="BH1478"/>
      <c r="BI1478"/>
      <c r="BJ1478"/>
      <c r="BK1478"/>
      <c r="BL1478"/>
      <c r="BM1478"/>
      <c r="BN1478"/>
      <c r="BO1478"/>
    </row>
    <row r="1479" spans="8:67" s="2" customFormat="1">
      <c r="H1479" s="202"/>
      <c r="I1479" s="10"/>
      <c r="J1479" s="10"/>
      <c r="K1479" s="10"/>
      <c r="L1479" s="20"/>
      <c r="M1479" s="31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51"/>
      <c r="Z1479" s="51"/>
      <c r="AA1479"/>
      <c r="AB1479"/>
      <c r="AC1479"/>
      <c r="AD1479"/>
      <c r="AE1479"/>
      <c r="AF1479"/>
      <c r="AG1479"/>
      <c r="AH1479"/>
      <c r="AI1479"/>
      <c r="AJ1479" s="185"/>
      <c r="AK1479" s="185"/>
      <c r="AL1479" s="185"/>
      <c r="AM1479" s="185"/>
      <c r="AN1479"/>
      <c r="AO1479" s="1"/>
      <c r="AP1479" s="1"/>
      <c r="AQ1479" s="1"/>
      <c r="AR1479" s="1"/>
      <c r="AS1479"/>
      <c r="AT1479"/>
      <c r="AU1479"/>
      <c r="AV1479"/>
      <c r="AW1479"/>
      <c r="AX1479"/>
      <c r="AY1479"/>
      <c r="AZ1479" s="1"/>
      <c r="BA1479"/>
      <c r="BB1479"/>
      <c r="BC1479"/>
      <c r="BD1479"/>
      <c r="BE1479"/>
      <c r="BF1479" s="1"/>
      <c r="BG1479"/>
      <c r="BH1479"/>
      <c r="BI1479"/>
      <c r="BJ1479"/>
      <c r="BK1479"/>
      <c r="BL1479"/>
      <c r="BM1479"/>
      <c r="BN1479"/>
      <c r="BO1479"/>
    </row>
    <row r="1480" spans="8:67" s="2" customFormat="1">
      <c r="H1480" s="202"/>
      <c r="I1480" s="10"/>
      <c r="J1480" s="10"/>
      <c r="K1480" s="10"/>
      <c r="L1480" s="20"/>
      <c r="M1480" s="31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51"/>
      <c r="Z1480" s="51"/>
      <c r="AA1480"/>
      <c r="AB1480"/>
      <c r="AC1480"/>
      <c r="AD1480"/>
      <c r="AE1480"/>
      <c r="AF1480"/>
      <c r="AG1480"/>
      <c r="AH1480"/>
      <c r="AI1480"/>
      <c r="AJ1480" s="185"/>
      <c r="AK1480" s="185"/>
      <c r="AL1480" s="185"/>
      <c r="AM1480" s="185"/>
      <c r="AN1480"/>
      <c r="AO1480" s="1"/>
      <c r="AP1480" s="1"/>
      <c r="AQ1480" s="1"/>
      <c r="AR1480" s="1"/>
      <c r="AS1480"/>
      <c r="AT1480"/>
      <c r="AU1480"/>
      <c r="AV1480"/>
      <c r="AW1480"/>
      <c r="AX1480"/>
      <c r="AY1480"/>
      <c r="AZ1480" s="1"/>
      <c r="BA1480"/>
      <c r="BB1480"/>
      <c r="BC1480"/>
      <c r="BD1480"/>
      <c r="BE1480"/>
      <c r="BF1480" s="1"/>
      <c r="BG1480"/>
      <c r="BH1480"/>
      <c r="BI1480"/>
      <c r="BJ1480"/>
      <c r="BK1480"/>
      <c r="BL1480"/>
      <c r="BM1480"/>
      <c r="BN1480"/>
      <c r="BO1480"/>
    </row>
    <row r="1481" spans="8:67" s="2" customFormat="1">
      <c r="H1481" s="202"/>
      <c r="I1481" s="10"/>
      <c r="J1481" s="10"/>
      <c r="K1481" s="10"/>
      <c r="L1481" s="20"/>
      <c r="M1481" s="31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51"/>
      <c r="Z1481" s="51"/>
      <c r="AA1481"/>
      <c r="AB1481"/>
      <c r="AC1481"/>
      <c r="AD1481"/>
      <c r="AE1481"/>
      <c r="AF1481"/>
      <c r="AG1481"/>
      <c r="AH1481"/>
      <c r="AI1481"/>
      <c r="AJ1481" s="185"/>
      <c r="AK1481" s="185"/>
      <c r="AL1481" s="185"/>
      <c r="AM1481" s="185"/>
      <c r="AN1481"/>
      <c r="AO1481" s="1"/>
      <c r="AP1481" s="1"/>
      <c r="AQ1481" s="1"/>
      <c r="AR1481" s="1"/>
      <c r="AS1481"/>
      <c r="AT1481"/>
      <c r="AU1481"/>
      <c r="AV1481"/>
      <c r="AW1481"/>
      <c r="AX1481"/>
      <c r="AY1481"/>
      <c r="AZ1481" s="1"/>
      <c r="BA1481"/>
      <c r="BB1481"/>
      <c r="BC1481"/>
      <c r="BD1481"/>
      <c r="BE1481"/>
      <c r="BF1481" s="1"/>
      <c r="BG1481"/>
      <c r="BH1481"/>
      <c r="BI1481"/>
      <c r="BJ1481"/>
      <c r="BK1481"/>
      <c r="BL1481"/>
      <c r="BM1481"/>
      <c r="BN1481"/>
      <c r="BO1481"/>
    </row>
    <row r="1482" spans="8:67" s="2" customFormat="1">
      <c r="H1482" s="202"/>
      <c r="I1482" s="10"/>
      <c r="J1482" s="10"/>
      <c r="K1482" s="10"/>
      <c r="L1482" s="20"/>
      <c r="M1482" s="31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51"/>
      <c r="Z1482" s="51"/>
      <c r="AA1482"/>
      <c r="AB1482"/>
      <c r="AC1482"/>
      <c r="AD1482"/>
      <c r="AE1482"/>
      <c r="AF1482"/>
      <c r="AG1482"/>
      <c r="AH1482"/>
      <c r="AI1482"/>
      <c r="AJ1482" s="185"/>
      <c r="AK1482" s="185"/>
      <c r="AL1482" s="185"/>
      <c r="AM1482" s="185"/>
      <c r="AN1482"/>
      <c r="AO1482" s="1"/>
      <c r="AP1482" s="1"/>
      <c r="AQ1482" s="1"/>
      <c r="AR1482" s="1"/>
      <c r="AS1482"/>
      <c r="AT1482"/>
      <c r="AU1482"/>
      <c r="AV1482"/>
      <c r="AW1482"/>
      <c r="AX1482"/>
      <c r="AY1482"/>
      <c r="AZ1482" s="1"/>
      <c r="BA1482"/>
      <c r="BB1482"/>
      <c r="BC1482"/>
      <c r="BD1482"/>
      <c r="BE1482"/>
      <c r="BF1482" s="1"/>
      <c r="BG1482"/>
      <c r="BH1482"/>
      <c r="BI1482"/>
      <c r="BJ1482"/>
      <c r="BK1482"/>
      <c r="BL1482"/>
      <c r="BM1482"/>
      <c r="BN1482"/>
      <c r="BO1482"/>
    </row>
    <row r="1483" spans="8:67" s="2" customFormat="1">
      <c r="H1483" s="202"/>
      <c r="I1483" s="10"/>
      <c r="J1483" s="10"/>
      <c r="K1483" s="10"/>
      <c r="L1483" s="20"/>
      <c r="M1483" s="31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51"/>
      <c r="Z1483" s="51"/>
      <c r="AA1483"/>
      <c r="AB1483"/>
      <c r="AC1483"/>
      <c r="AD1483"/>
      <c r="AE1483"/>
      <c r="AF1483"/>
      <c r="AG1483"/>
      <c r="AH1483"/>
      <c r="AI1483"/>
      <c r="AJ1483" s="185"/>
      <c r="AK1483" s="185"/>
      <c r="AL1483" s="185"/>
      <c r="AM1483" s="185"/>
      <c r="AN1483"/>
      <c r="AO1483" s="1"/>
      <c r="AP1483" s="1"/>
      <c r="AQ1483" s="1"/>
      <c r="AR1483" s="1"/>
      <c r="AS1483"/>
      <c r="AT1483"/>
      <c r="AU1483"/>
      <c r="AV1483"/>
      <c r="AW1483"/>
      <c r="AX1483"/>
      <c r="AY1483"/>
      <c r="AZ1483" s="1"/>
      <c r="BA1483"/>
      <c r="BB1483"/>
      <c r="BC1483"/>
      <c r="BD1483"/>
      <c r="BE1483"/>
      <c r="BF1483" s="1"/>
      <c r="BG1483"/>
      <c r="BH1483"/>
      <c r="BI1483"/>
      <c r="BJ1483"/>
      <c r="BK1483"/>
      <c r="BL1483"/>
      <c r="BM1483"/>
      <c r="BN1483"/>
      <c r="BO1483"/>
    </row>
    <row r="1484" spans="8:67" s="2" customFormat="1">
      <c r="H1484" s="202"/>
      <c r="I1484" s="10"/>
      <c r="J1484" s="10"/>
      <c r="K1484" s="10"/>
      <c r="L1484" s="20"/>
      <c r="M1484" s="31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51"/>
      <c r="Z1484" s="51"/>
      <c r="AA1484"/>
      <c r="AB1484"/>
      <c r="AC1484"/>
      <c r="AD1484"/>
      <c r="AE1484"/>
      <c r="AF1484"/>
      <c r="AG1484"/>
      <c r="AH1484"/>
      <c r="AI1484"/>
      <c r="AJ1484" s="185"/>
      <c r="AK1484" s="185"/>
      <c r="AL1484" s="185"/>
      <c r="AM1484" s="185"/>
      <c r="AN1484"/>
      <c r="AO1484" s="1"/>
      <c r="AP1484" s="1"/>
      <c r="AQ1484" s="1"/>
      <c r="AR1484" s="1"/>
      <c r="AS1484"/>
      <c r="AT1484"/>
      <c r="AU1484"/>
      <c r="AV1484"/>
      <c r="AW1484"/>
      <c r="AX1484"/>
      <c r="AY1484"/>
      <c r="AZ1484" s="1"/>
      <c r="BA1484"/>
      <c r="BB1484"/>
      <c r="BC1484"/>
      <c r="BD1484"/>
      <c r="BE1484"/>
      <c r="BF1484" s="1"/>
      <c r="BG1484"/>
      <c r="BH1484"/>
      <c r="BI1484"/>
      <c r="BJ1484"/>
      <c r="BK1484"/>
      <c r="BL1484"/>
      <c r="BM1484"/>
      <c r="BN1484"/>
      <c r="BO1484"/>
    </row>
    <row r="1485" spans="8:67" s="2" customFormat="1">
      <c r="H1485" s="202"/>
      <c r="I1485" s="10"/>
      <c r="J1485" s="10"/>
      <c r="K1485" s="10"/>
      <c r="L1485" s="20"/>
      <c r="M1485" s="31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51"/>
      <c r="Z1485" s="51"/>
      <c r="AA1485"/>
      <c r="AB1485"/>
      <c r="AC1485"/>
      <c r="AD1485"/>
      <c r="AE1485"/>
      <c r="AF1485"/>
      <c r="AG1485"/>
      <c r="AH1485"/>
      <c r="AI1485"/>
      <c r="AJ1485" s="185"/>
      <c r="AK1485" s="185"/>
      <c r="AL1485" s="185"/>
      <c r="AM1485" s="185"/>
      <c r="AN1485"/>
      <c r="AO1485" s="1"/>
      <c r="AP1485" s="1"/>
      <c r="AQ1485" s="1"/>
      <c r="AR1485" s="1"/>
      <c r="AS1485"/>
      <c r="AT1485"/>
      <c r="AU1485"/>
      <c r="AV1485"/>
      <c r="AW1485"/>
      <c r="AX1485"/>
      <c r="AY1485"/>
      <c r="AZ1485" s="1"/>
      <c r="BA1485"/>
      <c r="BB1485"/>
      <c r="BC1485"/>
      <c r="BD1485"/>
      <c r="BE1485"/>
      <c r="BF1485" s="1"/>
      <c r="BG1485"/>
      <c r="BH1485"/>
      <c r="BI1485"/>
      <c r="BJ1485"/>
      <c r="BK1485"/>
      <c r="BL1485"/>
      <c r="BM1485"/>
      <c r="BN1485"/>
      <c r="BO1485"/>
    </row>
    <row r="1486" spans="8:67" s="2" customFormat="1">
      <c r="H1486" s="202"/>
      <c r="I1486" s="10"/>
      <c r="J1486" s="10"/>
      <c r="K1486" s="10"/>
      <c r="L1486" s="20"/>
      <c r="M1486" s="31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51"/>
      <c r="Z1486" s="51"/>
      <c r="AA1486"/>
      <c r="AB1486"/>
      <c r="AC1486"/>
      <c r="AD1486"/>
      <c r="AE1486"/>
      <c r="AF1486"/>
      <c r="AG1486"/>
      <c r="AH1486"/>
      <c r="AI1486"/>
      <c r="AJ1486" s="185"/>
      <c r="AK1486" s="185"/>
      <c r="AL1486" s="185"/>
      <c r="AM1486" s="185"/>
      <c r="AN1486"/>
      <c r="AO1486" s="1"/>
      <c r="AP1486" s="1"/>
      <c r="AQ1486" s="1"/>
      <c r="AR1486" s="1"/>
      <c r="AS1486"/>
      <c r="AT1486"/>
      <c r="AU1486"/>
      <c r="AV1486"/>
      <c r="AW1486"/>
      <c r="AX1486"/>
      <c r="AY1486"/>
      <c r="AZ1486" s="1"/>
      <c r="BA1486"/>
      <c r="BB1486"/>
      <c r="BC1486"/>
      <c r="BD1486"/>
      <c r="BE1486"/>
      <c r="BF1486" s="1"/>
      <c r="BG1486"/>
      <c r="BH1486"/>
      <c r="BI1486"/>
      <c r="BJ1486"/>
      <c r="BK1486"/>
      <c r="BL1486"/>
      <c r="BM1486"/>
      <c r="BN1486"/>
      <c r="BO1486"/>
    </row>
    <row r="1487" spans="8:67" s="2" customFormat="1">
      <c r="H1487" s="202"/>
      <c r="I1487" s="10"/>
      <c r="J1487" s="10"/>
      <c r="K1487" s="10"/>
      <c r="L1487" s="20"/>
      <c r="M1487" s="31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51"/>
      <c r="Z1487" s="51"/>
      <c r="AA1487"/>
      <c r="AB1487"/>
      <c r="AC1487"/>
      <c r="AD1487"/>
      <c r="AE1487"/>
      <c r="AF1487"/>
      <c r="AG1487"/>
      <c r="AH1487"/>
      <c r="AI1487"/>
      <c r="AJ1487" s="185"/>
      <c r="AK1487" s="185"/>
      <c r="AL1487" s="185"/>
      <c r="AM1487" s="185"/>
      <c r="AN1487"/>
      <c r="AO1487" s="1"/>
      <c r="AP1487" s="1"/>
      <c r="AQ1487" s="1"/>
      <c r="AR1487" s="1"/>
      <c r="AS1487"/>
      <c r="AT1487"/>
      <c r="AU1487"/>
      <c r="AV1487"/>
      <c r="AW1487"/>
      <c r="AX1487"/>
      <c r="AY1487"/>
      <c r="AZ1487" s="1"/>
      <c r="BA1487"/>
      <c r="BB1487"/>
      <c r="BC1487"/>
      <c r="BD1487"/>
      <c r="BE1487"/>
      <c r="BF1487" s="1"/>
      <c r="BG1487"/>
      <c r="BH1487"/>
      <c r="BI1487"/>
      <c r="BJ1487"/>
      <c r="BK1487"/>
      <c r="BL1487"/>
      <c r="BM1487"/>
      <c r="BN1487"/>
      <c r="BO1487"/>
    </row>
    <row r="1488" spans="8:67" s="2" customFormat="1">
      <c r="H1488" s="202"/>
      <c r="I1488" s="10"/>
      <c r="J1488" s="10"/>
      <c r="K1488" s="10"/>
      <c r="L1488" s="20"/>
      <c r="M1488" s="31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51"/>
      <c r="Z1488" s="51"/>
      <c r="AA1488"/>
      <c r="AB1488"/>
      <c r="AC1488"/>
      <c r="AD1488"/>
      <c r="AE1488"/>
      <c r="AF1488"/>
      <c r="AG1488"/>
      <c r="AH1488"/>
      <c r="AI1488"/>
      <c r="AJ1488" s="185"/>
      <c r="AK1488" s="185"/>
      <c r="AL1488" s="185"/>
      <c r="AM1488" s="185"/>
      <c r="AN1488"/>
      <c r="AO1488" s="1"/>
      <c r="AP1488" s="1"/>
      <c r="AQ1488" s="1"/>
      <c r="AR1488" s="1"/>
      <c r="AS1488"/>
      <c r="AT1488"/>
      <c r="AU1488"/>
      <c r="AV1488"/>
      <c r="AW1488"/>
      <c r="AX1488"/>
      <c r="AY1488"/>
      <c r="AZ1488" s="1"/>
      <c r="BA1488"/>
      <c r="BB1488"/>
      <c r="BC1488"/>
      <c r="BD1488"/>
      <c r="BE1488"/>
      <c r="BF1488" s="1"/>
      <c r="BG1488"/>
      <c r="BH1488"/>
      <c r="BI1488"/>
      <c r="BJ1488"/>
      <c r="BK1488"/>
      <c r="BL1488"/>
      <c r="BM1488"/>
      <c r="BN1488"/>
      <c r="BO1488"/>
    </row>
    <row r="1489" spans="8:67" s="2" customFormat="1">
      <c r="H1489" s="202"/>
      <c r="I1489" s="10"/>
      <c r="J1489" s="10"/>
      <c r="K1489" s="10"/>
      <c r="L1489" s="20"/>
      <c r="M1489" s="31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51"/>
      <c r="Z1489" s="51"/>
      <c r="AA1489"/>
      <c r="AB1489"/>
      <c r="AC1489"/>
      <c r="AD1489"/>
      <c r="AE1489"/>
      <c r="AF1489"/>
      <c r="AG1489"/>
      <c r="AH1489"/>
      <c r="AI1489"/>
      <c r="AJ1489" s="185"/>
      <c r="AK1489" s="185"/>
      <c r="AL1489" s="185"/>
      <c r="AM1489" s="185"/>
      <c r="AN1489"/>
      <c r="AO1489" s="1"/>
      <c r="AP1489" s="1"/>
      <c r="AQ1489" s="1"/>
      <c r="AR1489" s="1"/>
      <c r="AS1489"/>
      <c r="AT1489"/>
      <c r="AU1489"/>
      <c r="AV1489"/>
      <c r="AW1489"/>
      <c r="AX1489"/>
      <c r="AY1489"/>
      <c r="AZ1489" s="1"/>
      <c r="BA1489"/>
      <c r="BB1489"/>
      <c r="BC1489"/>
      <c r="BD1489"/>
      <c r="BE1489"/>
      <c r="BF1489" s="1"/>
      <c r="BG1489"/>
      <c r="BH1489"/>
      <c r="BI1489"/>
      <c r="BJ1489"/>
      <c r="BK1489"/>
      <c r="BL1489"/>
      <c r="BM1489"/>
      <c r="BN1489"/>
      <c r="BO1489"/>
    </row>
    <row r="1490" spans="8:67" s="2" customFormat="1">
      <c r="H1490" s="202"/>
      <c r="I1490" s="10"/>
      <c r="J1490" s="10"/>
      <c r="K1490" s="10"/>
      <c r="L1490" s="20"/>
      <c r="M1490" s="31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51"/>
      <c r="Z1490" s="51"/>
      <c r="AA1490"/>
      <c r="AB1490"/>
      <c r="AC1490"/>
      <c r="AD1490"/>
      <c r="AE1490"/>
      <c r="AF1490"/>
      <c r="AG1490"/>
      <c r="AH1490"/>
      <c r="AI1490"/>
      <c r="AJ1490" s="185"/>
      <c r="AK1490" s="185"/>
      <c r="AL1490" s="185"/>
      <c r="AM1490" s="185"/>
      <c r="AN1490"/>
      <c r="AO1490" s="1"/>
      <c r="AP1490" s="1"/>
      <c r="AQ1490" s="1"/>
      <c r="AR1490" s="1"/>
      <c r="AS1490"/>
      <c r="AT1490"/>
      <c r="AU1490"/>
      <c r="AV1490"/>
      <c r="AW1490"/>
      <c r="AX1490"/>
      <c r="AY1490"/>
      <c r="AZ1490" s="1"/>
      <c r="BA1490"/>
      <c r="BB1490"/>
      <c r="BC1490"/>
      <c r="BD1490"/>
      <c r="BE1490"/>
      <c r="BF1490" s="1"/>
      <c r="BG1490"/>
      <c r="BH1490"/>
      <c r="BI1490"/>
      <c r="BJ1490"/>
      <c r="BK1490"/>
      <c r="BL1490"/>
      <c r="BM1490"/>
      <c r="BN1490"/>
      <c r="BO1490"/>
    </row>
    <row r="1491" spans="8:67" s="2" customFormat="1">
      <c r="H1491" s="202"/>
      <c r="I1491" s="10"/>
      <c r="J1491" s="10"/>
      <c r="K1491" s="10"/>
      <c r="L1491" s="20"/>
      <c r="M1491" s="31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51"/>
      <c r="Z1491" s="51"/>
      <c r="AA1491"/>
      <c r="AB1491"/>
      <c r="AC1491"/>
      <c r="AD1491"/>
      <c r="AE1491"/>
      <c r="AF1491"/>
      <c r="AG1491"/>
      <c r="AH1491"/>
      <c r="AI1491"/>
      <c r="AJ1491" s="185"/>
      <c r="AK1491" s="185"/>
      <c r="AL1491" s="185"/>
      <c r="AM1491" s="185"/>
      <c r="AN1491"/>
      <c r="AO1491" s="1"/>
      <c r="AP1491" s="1"/>
      <c r="AQ1491" s="1"/>
      <c r="AR1491" s="1"/>
      <c r="AS1491"/>
      <c r="AT1491"/>
      <c r="AU1491"/>
      <c r="AV1491"/>
      <c r="AW1491"/>
      <c r="AX1491"/>
      <c r="AY1491"/>
      <c r="AZ1491" s="1"/>
      <c r="BA1491"/>
      <c r="BB1491"/>
      <c r="BC1491"/>
      <c r="BD1491"/>
      <c r="BE1491"/>
      <c r="BF1491" s="1"/>
      <c r="BG1491"/>
      <c r="BH1491"/>
      <c r="BI1491"/>
      <c r="BJ1491"/>
      <c r="BK1491"/>
      <c r="BL1491"/>
      <c r="BM1491"/>
      <c r="BN1491"/>
      <c r="BO1491"/>
    </row>
    <row r="1492" spans="8:67" s="2" customFormat="1">
      <c r="H1492" s="202"/>
      <c r="I1492" s="10"/>
      <c r="J1492" s="10"/>
      <c r="K1492" s="10"/>
      <c r="L1492" s="20"/>
      <c r="M1492" s="31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51"/>
      <c r="Z1492" s="51"/>
      <c r="AA1492"/>
      <c r="AB1492"/>
      <c r="AC1492"/>
      <c r="AD1492"/>
      <c r="AE1492"/>
      <c r="AF1492"/>
      <c r="AG1492"/>
      <c r="AH1492"/>
      <c r="AI1492"/>
      <c r="AJ1492" s="185"/>
      <c r="AK1492" s="185"/>
      <c r="AL1492" s="185"/>
      <c r="AM1492" s="185"/>
      <c r="AN1492"/>
      <c r="AO1492" s="1"/>
      <c r="AP1492" s="1"/>
      <c r="AQ1492" s="1"/>
      <c r="AR1492" s="1"/>
      <c r="AS1492"/>
      <c r="AT1492"/>
      <c r="AU1492"/>
      <c r="AV1492"/>
      <c r="AW1492"/>
      <c r="AX1492"/>
      <c r="AY1492"/>
      <c r="AZ1492" s="1"/>
      <c r="BA1492"/>
      <c r="BB1492"/>
      <c r="BC1492"/>
      <c r="BD1492"/>
      <c r="BE1492"/>
      <c r="BF1492" s="1"/>
      <c r="BG1492"/>
      <c r="BH1492"/>
      <c r="BI1492"/>
      <c r="BJ1492"/>
      <c r="BK1492"/>
      <c r="BL1492"/>
      <c r="BM1492"/>
      <c r="BN1492"/>
      <c r="BO1492"/>
    </row>
    <row r="1493" spans="8:67" s="2" customFormat="1">
      <c r="H1493" s="202"/>
      <c r="I1493" s="10"/>
      <c r="J1493" s="10"/>
      <c r="K1493" s="10"/>
      <c r="L1493" s="20"/>
      <c r="M1493" s="31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51"/>
      <c r="Z1493" s="51"/>
      <c r="AA1493"/>
      <c r="AB1493"/>
      <c r="AC1493"/>
      <c r="AD1493"/>
      <c r="AE1493"/>
      <c r="AF1493"/>
      <c r="AG1493"/>
      <c r="AH1493"/>
      <c r="AI1493"/>
      <c r="AJ1493" s="185"/>
      <c r="AK1493" s="185"/>
      <c r="AL1493" s="185"/>
      <c r="AM1493" s="185"/>
      <c r="AN1493"/>
      <c r="AO1493" s="1"/>
      <c r="AP1493" s="1"/>
      <c r="AQ1493" s="1"/>
      <c r="AR1493" s="1"/>
      <c r="AS1493"/>
      <c r="AT1493"/>
      <c r="AU1493"/>
      <c r="AV1493"/>
      <c r="AW1493"/>
      <c r="AX1493"/>
      <c r="AY1493"/>
      <c r="AZ1493" s="1"/>
      <c r="BA1493"/>
      <c r="BB1493"/>
      <c r="BC1493"/>
      <c r="BD1493"/>
      <c r="BE1493"/>
      <c r="BF1493" s="1"/>
      <c r="BG1493"/>
      <c r="BH1493"/>
      <c r="BI1493"/>
      <c r="BJ1493"/>
      <c r="BK1493"/>
      <c r="BL1493"/>
      <c r="BM1493"/>
      <c r="BN1493"/>
      <c r="BO1493"/>
    </row>
    <row r="1494" spans="8:67" s="2" customFormat="1">
      <c r="H1494" s="202"/>
      <c r="I1494" s="10"/>
      <c r="J1494" s="10"/>
      <c r="K1494" s="10"/>
      <c r="L1494" s="20"/>
      <c r="M1494" s="31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51"/>
      <c r="Z1494" s="51"/>
      <c r="AA1494"/>
      <c r="AB1494"/>
      <c r="AC1494"/>
      <c r="AD1494"/>
      <c r="AE1494"/>
      <c r="AF1494"/>
      <c r="AG1494"/>
      <c r="AH1494"/>
      <c r="AI1494"/>
      <c r="AJ1494" s="185"/>
      <c r="AK1494" s="185"/>
      <c r="AL1494" s="185"/>
      <c r="AM1494" s="185"/>
      <c r="AN1494"/>
      <c r="AO1494" s="1"/>
      <c r="AP1494" s="1"/>
      <c r="AQ1494" s="1"/>
      <c r="AR1494" s="1"/>
      <c r="AS1494"/>
      <c r="AT1494"/>
      <c r="AU1494"/>
      <c r="AV1494"/>
      <c r="AW1494"/>
      <c r="AX1494"/>
      <c r="AY1494"/>
      <c r="AZ1494" s="1"/>
      <c r="BA1494"/>
      <c r="BB1494"/>
      <c r="BC1494"/>
      <c r="BD1494"/>
      <c r="BE1494"/>
      <c r="BF1494" s="1"/>
      <c r="BG1494"/>
      <c r="BH1494"/>
      <c r="BI1494"/>
      <c r="BJ1494"/>
      <c r="BK1494"/>
      <c r="BL1494"/>
      <c r="BM1494"/>
      <c r="BN1494"/>
      <c r="BO1494"/>
    </row>
    <row r="1495" spans="8:67" s="2" customFormat="1">
      <c r="H1495" s="202"/>
      <c r="I1495" s="10"/>
      <c r="J1495" s="10"/>
      <c r="K1495" s="10"/>
      <c r="L1495" s="20"/>
      <c r="M1495" s="31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51"/>
      <c r="Z1495" s="51"/>
      <c r="AA1495"/>
      <c r="AB1495"/>
      <c r="AC1495"/>
      <c r="AD1495"/>
      <c r="AE1495"/>
      <c r="AF1495"/>
      <c r="AG1495"/>
      <c r="AH1495"/>
      <c r="AI1495"/>
      <c r="AJ1495" s="185"/>
      <c r="AK1495" s="185"/>
      <c r="AL1495" s="185"/>
      <c r="AM1495" s="185"/>
      <c r="AN1495"/>
      <c r="AO1495" s="1"/>
      <c r="AP1495" s="1"/>
      <c r="AQ1495" s="1"/>
      <c r="AR1495" s="1"/>
      <c r="AS1495"/>
      <c r="AT1495"/>
      <c r="AU1495"/>
      <c r="AV1495"/>
      <c r="AW1495"/>
      <c r="AX1495"/>
      <c r="AY1495"/>
      <c r="AZ1495" s="1"/>
      <c r="BA1495"/>
      <c r="BB1495"/>
      <c r="BC1495"/>
      <c r="BD1495"/>
      <c r="BE1495"/>
      <c r="BF1495" s="1"/>
      <c r="BG1495"/>
      <c r="BH1495"/>
      <c r="BI1495"/>
      <c r="BJ1495"/>
      <c r="BK1495"/>
      <c r="BL1495"/>
      <c r="BM1495"/>
      <c r="BN1495"/>
      <c r="BO1495"/>
    </row>
    <row r="1496" spans="8:67" s="2" customFormat="1">
      <c r="H1496" s="202"/>
      <c r="I1496" s="10"/>
      <c r="J1496" s="10"/>
      <c r="K1496" s="10"/>
      <c r="L1496" s="20"/>
      <c r="M1496" s="31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51"/>
      <c r="Z1496" s="51"/>
      <c r="AA1496"/>
      <c r="AB1496"/>
      <c r="AC1496"/>
      <c r="AD1496"/>
      <c r="AE1496"/>
      <c r="AF1496"/>
      <c r="AG1496"/>
      <c r="AH1496"/>
      <c r="AI1496"/>
      <c r="AJ1496" s="185"/>
      <c r="AK1496" s="185"/>
      <c r="AL1496" s="185"/>
      <c r="AM1496" s="185"/>
      <c r="AN1496"/>
      <c r="AO1496" s="1"/>
      <c r="AP1496" s="1"/>
      <c r="AQ1496" s="1"/>
      <c r="AR1496" s="1"/>
      <c r="AS1496"/>
      <c r="AT1496"/>
      <c r="AU1496"/>
      <c r="AV1496"/>
      <c r="AW1496"/>
      <c r="AX1496"/>
      <c r="AY1496"/>
      <c r="AZ1496" s="1"/>
      <c r="BA1496"/>
      <c r="BB1496"/>
      <c r="BC1496"/>
      <c r="BD1496"/>
      <c r="BE1496"/>
      <c r="BF1496" s="1"/>
      <c r="BG1496"/>
      <c r="BH1496"/>
      <c r="BI1496"/>
      <c r="BJ1496"/>
      <c r="BK1496"/>
      <c r="BL1496"/>
      <c r="BM1496"/>
      <c r="BN1496"/>
      <c r="BO1496"/>
    </row>
    <row r="1497" spans="8:67" s="2" customFormat="1">
      <c r="H1497" s="202"/>
      <c r="I1497" s="10"/>
      <c r="J1497" s="10"/>
      <c r="K1497" s="10"/>
      <c r="L1497" s="20"/>
      <c r="M1497" s="31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51"/>
      <c r="Z1497" s="51"/>
      <c r="AA1497"/>
      <c r="AB1497"/>
      <c r="AC1497"/>
      <c r="AD1497"/>
      <c r="AE1497"/>
      <c r="AF1497"/>
      <c r="AG1497"/>
      <c r="AH1497"/>
      <c r="AI1497"/>
      <c r="AJ1497" s="185"/>
      <c r="AK1497" s="185"/>
      <c r="AL1497" s="185"/>
      <c r="AM1497" s="185"/>
      <c r="AN1497"/>
      <c r="AO1497" s="1"/>
      <c r="AP1497" s="1"/>
      <c r="AQ1497" s="1"/>
      <c r="AR1497" s="1"/>
      <c r="AS1497"/>
      <c r="AT1497"/>
      <c r="AU1497"/>
      <c r="AV1497"/>
      <c r="AW1497"/>
      <c r="AX1497"/>
      <c r="AY1497"/>
      <c r="AZ1497" s="1"/>
      <c r="BA1497"/>
      <c r="BB1497"/>
      <c r="BC1497"/>
      <c r="BD1497"/>
      <c r="BE1497"/>
      <c r="BF1497" s="1"/>
      <c r="BG1497"/>
      <c r="BH1497"/>
      <c r="BI1497"/>
      <c r="BJ1497"/>
      <c r="BK1497"/>
      <c r="BL1497"/>
      <c r="BM1497"/>
      <c r="BN1497"/>
      <c r="BO1497"/>
    </row>
    <row r="1498" spans="8:67" s="2" customFormat="1">
      <c r="H1498" s="202"/>
      <c r="I1498" s="10"/>
      <c r="J1498" s="10"/>
      <c r="K1498" s="10"/>
      <c r="L1498" s="20"/>
      <c r="M1498" s="31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51"/>
      <c r="Z1498" s="51"/>
      <c r="AA1498"/>
      <c r="AB1498"/>
      <c r="AC1498"/>
      <c r="AD1498"/>
      <c r="AE1498"/>
      <c r="AF1498"/>
      <c r="AG1498"/>
      <c r="AH1498"/>
      <c r="AI1498"/>
      <c r="AJ1498" s="185"/>
      <c r="AK1498" s="185"/>
      <c r="AL1498" s="185"/>
      <c r="AM1498" s="185"/>
      <c r="AN1498"/>
      <c r="AO1498" s="1"/>
      <c r="AP1498" s="1"/>
      <c r="AQ1498" s="1"/>
      <c r="AR1498" s="1"/>
      <c r="AS1498"/>
      <c r="AT1498"/>
      <c r="AU1498"/>
      <c r="AV1498"/>
      <c r="AW1498"/>
      <c r="AX1498"/>
      <c r="AY1498"/>
      <c r="AZ1498" s="1"/>
      <c r="BA1498"/>
      <c r="BB1498"/>
      <c r="BC1498"/>
      <c r="BD1498"/>
      <c r="BE1498"/>
      <c r="BF1498" s="1"/>
      <c r="BG1498"/>
      <c r="BH1498"/>
      <c r="BI1498"/>
      <c r="BJ1498"/>
      <c r="BK1498"/>
      <c r="BL1498"/>
      <c r="BM1498"/>
      <c r="BN1498"/>
      <c r="BO1498"/>
    </row>
    <row r="1499" spans="8:67" s="2" customFormat="1">
      <c r="H1499" s="202"/>
      <c r="I1499" s="10"/>
      <c r="J1499" s="10"/>
      <c r="K1499" s="10"/>
      <c r="L1499" s="20"/>
      <c r="M1499" s="31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51"/>
      <c r="Z1499" s="51"/>
      <c r="AA1499"/>
      <c r="AB1499"/>
      <c r="AC1499"/>
      <c r="AD1499"/>
      <c r="AE1499"/>
      <c r="AF1499"/>
      <c r="AG1499"/>
      <c r="AH1499"/>
      <c r="AI1499"/>
      <c r="AJ1499" s="185"/>
      <c r="AK1499" s="185"/>
      <c r="AL1499" s="185"/>
      <c r="AM1499" s="185"/>
      <c r="AN1499"/>
      <c r="AO1499" s="1"/>
      <c r="AP1499" s="1"/>
      <c r="AQ1499" s="1"/>
      <c r="AR1499" s="1"/>
      <c r="AS1499"/>
      <c r="AT1499"/>
      <c r="AU1499"/>
      <c r="AV1499"/>
      <c r="AW1499"/>
      <c r="AX1499"/>
      <c r="AY1499"/>
      <c r="AZ1499" s="1"/>
      <c r="BA1499"/>
      <c r="BB1499"/>
      <c r="BC1499"/>
      <c r="BD1499"/>
      <c r="BE1499"/>
      <c r="BF1499" s="1"/>
      <c r="BG1499"/>
      <c r="BH1499"/>
      <c r="BI1499"/>
      <c r="BJ1499"/>
      <c r="BK1499"/>
      <c r="BL1499"/>
      <c r="BM1499"/>
      <c r="BN1499"/>
      <c r="BO1499"/>
    </row>
    <row r="1500" spans="8:67" s="2" customFormat="1">
      <c r="H1500" s="202"/>
      <c r="I1500" s="10"/>
      <c r="J1500" s="10"/>
      <c r="K1500" s="10"/>
      <c r="L1500" s="20"/>
      <c r="M1500" s="31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51"/>
      <c r="Z1500" s="51"/>
      <c r="AA1500"/>
      <c r="AB1500"/>
      <c r="AC1500"/>
      <c r="AD1500"/>
      <c r="AE1500"/>
      <c r="AF1500"/>
      <c r="AG1500"/>
      <c r="AH1500"/>
      <c r="AI1500"/>
      <c r="AJ1500" s="185"/>
      <c r="AK1500" s="185"/>
      <c r="AL1500" s="185"/>
      <c r="AM1500" s="185"/>
      <c r="AN1500"/>
      <c r="AO1500" s="1"/>
      <c r="AP1500" s="1"/>
      <c r="AQ1500" s="1"/>
      <c r="AR1500" s="1"/>
      <c r="AS1500"/>
      <c r="AT1500"/>
      <c r="AU1500"/>
      <c r="AV1500"/>
      <c r="AW1500"/>
      <c r="AX1500"/>
      <c r="AY1500"/>
      <c r="AZ1500" s="1"/>
      <c r="BA1500"/>
      <c r="BB1500"/>
      <c r="BC1500"/>
      <c r="BD1500"/>
      <c r="BE1500"/>
      <c r="BF1500" s="1"/>
      <c r="BG1500"/>
      <c r="BH1500"/>
      <c r="BI1500"/>
      <c r="BJ1500"/>
      <c r="BK1500"/>
      <c r="BL1500"/>
      <c r="BM1500"/>
      <c r="BN1500"/>
      <c r="BO1500"/>
    </row>
    <row r="1501" spans="8:67" s="2" customFormat="1">
      <c r="H1501" s="202"/>
      <c r="I1501" s="10"/>
      <c r="J1501" s="10"/>
      <c r="K1501" s="10"/>
      <c r="L1501" s="20"/>
      <c r="M1501" s="31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51"/>
      <c r="Z1501" s="51"/>
      <c r="AA1501"/>
      <c r="AB1501"/>
      <c r="AC1501"/>
      <c r="AD1501"/>
      <c r="AE1501"/>
      <c r="AF1501"/>
      <c r="AG1501"/>
      <c r="AH1501"/>
      <c r="AI1501"/>
      <c r="AJ1501" s="185"/>
      <c r="AK1501" s="185"/>
      <c r="AL1501" s="185"/>
      <c r="AM1501" s="185"/>
      <c r="AN1501"/>
      <c r="AO1501" s="1"/>
      <c r="AP1501" s="1"/>
      <c r="AQ1501" s="1"/>
      <c r="AR1501" s="1"/>
      <c r="AS1501"/>
      <c r="AT1501"/>
      <c r="AU1501"/>
      <c r="AV1501"/>
      <c r="AW1501"/>
      <c r="AX1501"/>
      <c r="AY1501"/>
      <c r="AZ1501" s="1"/>
      <c r="BA1501"/>
      <c r="BB1501"/>
      <c r="BC1501"/>
      <c r="BD1501"/>
      <c r="BE1501"/>
      <c r="BF1501" s="1"/>
      <c r="BG1501"/>
      <c r="BH1501"/>
      <c r="BI1501"/>
      <c r="BJ1501"/>
      <c r="BK1501"/>
      <c r="BL1501"/>
      <c r="BM1501"/>
      <c r="BN1501"/>
      <c r="BO1501"/>
    </row>
    <row r="1502" spans="8:67" s="2" customFormat="1">
      <c r="H1502" s="202"/>
      <c r="I1502" s="10"/>
      <c r="J1502" s="10"/>
      <c r="K1502" s="10"/>
      <c r="L1502" s="20"/>
      <c r="M1502" s="31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51"/>
      <c r="Z1502" s="51"/>
      <c r="AA1502"/>
      <c r="AB1502"/>
      <c r="AC1502"/>
      <c r="AD1502"/>
      <c r="AE1502"/>
      <c r="AF1502"/>
      <c r="AG1502"/>
      <c r="AH1502"/>
      <c r="AI1502"/>
      <c r="AJ1502" s="185"/>
      <c r="AK1502" s="185"/>
      <c r="AL1502" s="185"/>
      <c r="AM1502" s="185"/>
      <c r="AN1502"/>
      <c r="AO1502" s="1"/>
      <c r="AP1502" s="1"/>
      <c r="AQ1502" s="1"/>
      <c r="AR1502" s="1"/>
      <c r="AS1502"/>
      <c r="AT1502"/>
      <c r="AU1502"/>
      <c r="AV1502"/>
      <c r="AW1502"/>
      <c r="AX1502"/>
      <c r="AY1502"/>
      <c r="AZ1502" s="1"/>
      <c r="BA1502"/>
      <c r="BB1502"/>
      <c r="BC1502"/>
      <c r="BD1502"/>
      <c r="BE1502"/>
      <c r="BF1502" s="1"/>
      <c r="BG1502"/>
      <c r="BH1502"/>
      <c r="BI1502"/>
      <c r="BJ1502"/>
      <c r="BK1502"/>
      <c r="BL1502"/>
      <c r="BM1502"/>
      <c r="BN1502"/>
      <c r="BO1502"/>
    </row>
    <row r="1503" spans="8:67" s="2" customFormat="1">
      <c r="H1503" s="202"/>
      <c r="I1503" s="10"/>
      <c r="J1503" s="10"/>
      <c r="K1503" s="10"/>
      <c r="L1503" s="20"/>
      <c r="M1503" s="31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51"/>
      <c r="Z1503" s="51"/>
      <c r="AA1503"/>
      <c r="AB1503"/>
      <c r="AC1503"/>
      <c r="AD1503"/>
      <c r="AE1503"/>
      <c r="AF1503"/>
      <c r="AG1503"/>
      <c r="AH1503"/>
      <c r="AI1503"/>
      <c r="AJ1503" s="185"/>
      <c r="AK1503" s="185"/>
      <c r="AL1503" s="185"/>
      <c r="AM1503" s="185"/>
      <c r="AN1503"/>
      <c r="AO1503" s="1"/>
      <c r="AP1503" s="1"/>
      <c r="AQ1503" s="1"/>
      <c r="AR1503" s="1"/>
      <c r="AS1503"/>
      <c r="AT1503"/>
      <c r="AU1503"/>
      <c r="AV1503"/>
      <c r="AW1503"/>
      <c r="AX1503"/>
      <c r="AY1503"/>
      <c r="AZ1503" s="1"/>
      <c r="BA1503"/>
      <c r="BB1503"/>
      <c r="BC1503"/>
      <c r="BD1503"/>
      <c r="BE1503"/>
      <c r="BF1503" s="1"/>
      <c r="BG1503"/>
      <c r="BH1503"/>
      <c r="BI1503"/>
      <c r="BJ1503"/>
      <c r="BK1503"/>
      <c r="BL1503"/>
      <c r="BM1503"/>
      <c r="BN1503"/>
      <c r="BO1503"/>
    </row>
    <row r="1504" spans="8:67" s="2" customFormat="1">
      <c r="H1504" s="202"/>
      <c r="I1504" s="10"/>
      <c r="J1504" s="10"/>
      <c r="K1504" s="10"/>
      <c r="L1504" s="20"/>
      <c r="M1504" s="31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51"/>
      <c r="Z1504" s="51"/>
      <c r="AA1504"/>
      <c r="AB1504"/>
      <c r="AC1504"/>
      <c r="AD1504"/>
      <c r="AE1504"/>
      <c r="AF1504"/>
      <c r="AG1504"/>
      <c r="AH1504"/>
      <c r="AI1504"/>
      <c r="AJ1504" s="185"/>
      <c r="AK1504" s="185"/>
      <c r="AL1504" s="185"/>
      <c r="AM1504" s="185"/>
      <c r="AN1504"/>
      <c r="AO1504" s="1"/>
      <c r="AP1504" s="1"/>
      <c r="AQ1504" s="1"/>
      <c r="AR1504" s="1"/>
      <c r="AS1504"/>
      <c r="AT1504"/>
      <c r="AU1504"/>
      <c r="AV1504"/>
      <c r="AW1504"/>
      <c r="AX1504"/>
      <c r="AY1504"/>
      <c r="AZ1504" s="1"/>
      <c r="BA1504"/>
      <c r="BB1504"/>
      <c r="BC1504"/>
      <c r="BD1504"/>
      <c r="BE1504"/>
      <c r="BF1504" s="1"/>
      <c r="BG1504"/>
      <c r="BH1504"/>
      <c r="BI1504"/>
      <c r="BJ1504"/>
      <c r="BK1504"/>
      <c r="BL1504"/>
      <c r="BM1504"/>
      <c r="BN1504"/>
      <c r="BO1504"/>
    </row>
    <row r="1505" spans="8:67" s="2" customFormat="1">
      <c r="H1505" s="202"/>
      <c r="I1505" s="10"/>
      <c r="J1505" s="10"/>
      <c r="K1505" s="10"/>
      <c r="L1505" s="20"/>
      <c r="M1505" s="31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51"/>
      <c r="Z1505" s="51"/>
      <c r="AA1505"/>
      <c r="AB1505"/>
      <c r="AC1505"/>
      <c r="AD1505"/>
      <c r="AE1505"/>
      <c r="AF1505"/>
      <c r="AG1505"/>
      <c r="AH1505"/>
      <c r="AI1505"/>
      <c r="AJ1505" s="185"/>
      <c r="AK1505" s="185"/>
      <c r="AL1505" s="185"/>
      <c r="AM1505" s="185"/>
      <c r="AN1505"/>
      <c r="AO1505" s="1"/>
      <c r="AP1505" s="1"/>
      <c r="AQ1505" s="1"/>
      <c r="AR1505" s="1"/>
      <c r="AS1505"/>
      <c r="AT1505"/>
      <c r="AU1505"/>
      <c r="AV1505"/>
      <c r="AW1505"/>
      <c r="AX1505"/>
      <c r="AY1505"/>
      <c r="AZ1505" s="1"/>
      <c r="BA1505"/>
      <c r="BB1505"/>
      <c r="BC1505"/>
      <c r="BD1505"/>
      <c r="BE1505"/>
      <c r="BF1505" s="1"/>
      <c r="BG1505"/>
      <c r="BH1505"/>
      <c r="BI1505"/>
      <c r="BJ1505"/>
      <c r="BK1505"/>
      <c r="BL1505"/>
      <c r="BM1505"/>
      <c r="BN1505"/>
      <c r="BO1505"/>
    </row>
    <row r="1506" spans="8:67" s="2" customFormat="1">
      <c r="H1506" s="202"/>
      <c r="I1506" s="10"/>
      <c r="J1506" s="10"/>
      <c r="K1506" s="10"/>
      <c r="L1506" s="20"/>
      <c r="M1506" s="31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51"/>
      <c r="Z1506" s="51"/>
      <c r="AA1506"/>
      <c r="AB1506"/>
      <c r="AC1506"/>
      <c r="AD1506"/>
      <c r="AE1506"/>
      <c r="AF1506"/>
      <c r="AG1506"/>
      <c r="AH1506"/>
      <c r="AI1506"/>
      <c r="AJ1506" s="185"/>
      <c r="AK1506" s="185"/>
      <c r="AL1506" s="185"/>
      <c r="AM1506" s="185"/>
      <c r="AN1506"/>
      <c r="AO1506" s="1"/>
      <c r="AP1506" s="1"/>
      <c r="AQ1506" s="1"/>
      <c r="AR1506" s="1"/>
      <c r="AS1506"/>
      <c r="AT1506"/>
      <c r="AU1506"/>
      <c r="AV1506"/>
      <c r="AW1506"/>
      <c r="AX1506"/>
      <c r="AY1506"/>
      <c r="AZ1506" s="1"/>
      <c r="BA1506"/>
      <c r="BB1506"/>
      <c r="BC1506"/>
      <c r="BD1506"/>
      <c r="BE1506"/>
      <c r="BF1506" s="1"/>
      <c r="BG1506"/>
      <c r="BH1506"/>
      <c r="BI1506"/>
      <c r="BJ1506"/>
      <c r="BK1506"/>
      <c r="BL1506"/>
      <c r="BM1506"/>
      <c r="BN1506"/>
      <c r="BO1506"/>
    </row>
    <row r="1507" spans="8:67" s="2" customFormat="1">
      <c r="H1507" s="202"/>
      <c r="I1507" s="10"/>
      <c r="J1507" s="10"/>
      <c r="K1507" s="10"/>
      <c r="L1507" s="20"/>
      <c r="M1507" s="31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51"/>
      <c r="Z1507" s="51"/>
      <c r="AA1507"/>
      <c r="AB1507"/>
      <c r="AC1507"/>
      <c r="AD1507"/>
      <c r="AE1507"/>
      <c r="AF1507"/>
      <c r="AG1507"/>
      <c r="AH1507"/>
      <c r="AI1507"/>
      <c r="AJ1507" s="185"/>
      <c r="AK1507" s="185"/>
      <c r="AL1507" s="185"/>
      <c r="AM1507" s="185"/>
      <c r="AN1507"/>
      <c r="AO1507" s="1"/>
      <c r="AP1507" s="1"/>
      <c r="AQ1507" s="1"/>
      <c r="AR1507" s="1"/>
      <c r="AS1507"/>
      <c r="AT1507"/>
      <c r="AU1507"/>
      <c r="AV1507"/>
      <c r="AW1507"/>
      <c r="AX1507"/>
      <c r="AY1507"/>
      <c r="AZ1507" s="1"/>
      <c r="BA1507"/>
      <c r="BB1507"/>
      <c r="BC1507"/>
      <c r="BD1507"/>
      <c r="BE1507"/>
      <c r="BF1507" s="1"/>
      <c r="BG1507"/>
      <c r="BH1507"/>
      <c r="BI1507"/>
      <c r="BJ1507"/>
      <c r="BK1507"/>
      <c r="BL1507"/>
      <c r="BM1507"/>
      <c r="BN1507"/>
      <c r="BO1507"/>
    </row>
    <row r="1508" spans="8:67" s="2" customFormat="1">
      <c r="H1508" s="202"/>
      <c r="I1508" s="10"/>
      <c r="J1508" s="10"/>
      <c r="K1508" s="10"/>
      <c r="L1508" s="20"/>
      <c r="M1508" s="31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51"/>
      <c r="Z1508" s="51"/>
      <c r="AA1508"/>
      <c r="AB1508"/>
      <c r="AC1508"/>
      <c r="AD1508"/>
      <c r="AE1508"/>
      <c r="AF1508"/>
      <c r="AG1508"/>
      <c r="AH1508"/>
      <c r="AI1508"/>
      <c r="AJ1508" s="185"/>
      <c r="AK1508" s="185"/>
      <c r="AL1508" s="185"/>
      <c r="AM1508" s="185"/>
      <c r="AN1508"/>
      <c r="AO1508" s="1"/>
      <c r="AP1508" s="1"/>
      <c r="AQ1508" s="1"/>
      <c r="AR1508" s="1"/>
      <c r="AS1508"/>
      <c r="AT1508"/>
      <c r="AU1508"/>
      <c r="AV1508"/>
      <c r="AW1508"/>
      <c r="AX1508"/>
      <c r="AY1508"/>
      <c r="AZ1508" s="1"/>
      <c r="BA1508"/>
      <c r="BB1508"/>
      <c r="BC1508"/>
      <c r="BD1508"/>
      <c r="BE1508"/>
      <c r="BF1508" s="1"/>
      <c r="BG1508"/>
      <c r="BH1508"/>
      <c r="BI1508"/>
      <c r="BJ1508"/>
      <c r="BK1508"/>
      <c r="BL1508"/>
      <c r="BM1508"/>
      <c r="BN1508"/>
      <c r="BO1508"/>
    </row>
    <row r="1509" spans="8:67" s="2" customFormat="1">
      <c r="H1509" s="202"/>
      <c r="I1509" s="10"/>
      <c r="J1509" s="10"/>
      <c r="K1509" s="10"/>
      <c r="L1509" s="20"/>
      <c r="M1509" s="31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51"/>
      <c r="Z1509" s="51"/>
      <c r="AA1509"/>
      <c r="AB1509"/>
      <c r="AC1509"/>
      <c r="AD1509"/>
      <c r="AE1509"/>
      <c r="AF1509"/>
      <c r="AG1509"/>
      <c r="AH1509"/>
      <c r="AI1509"/>
      <c r="AJ1509" s="185"/>
      <c r="AK1509" s="185"/>
      <c r="AL1509" s="185"/>
      <c r="AM1509" s="185"/>
      <c r="AN1509"/>
      <c r="AO1509" s="1"/>
      <c r="AP1509" s="1"/>
      <c r="AQ1509" s="1"/>
      <c r="AR1509" s="1"/>
      <c r="AS1509"/>
      <c r="AT1509"/>
      <c r="AU1509"/>
      <c r="AV1509"/>
      <c r="AW1509"/>
      <c r="AX1509"/>
      <c r="AY1509"/>
      <c r="AZ1509" s="1"/>
      <c r="BA1509"/>
      <c r="BB1509"/>
      <c r="BC1509"/>
      <c r="BD1509"/>
      <c r="BE1509"/>
      <c r="BF1509" s="1"/>
      <c r="BG1509"/>
      <c r="BH1509"/>
      <c r="BI1509"/>
      <c r="BJ1509"/>
      <c r="BK1509"/>
      <c r="BL1509"/>
      <c r="BM1509"/>
      <c r="BN1509"/>
      <c r="BO1509"/>
    </row>
    <row r="1510" spans="8:67" s="2" customFormat="1">
      <c r="H1510" s="202"/>
      <c r="I1510" s="10"/>
      <c r="J1510" s="10"/>
      <c r="K1510" s="10"/>
      <c r="L1510" s="20"/>
      <c r="M1510" s="31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51"/>
      <c r="Z1510" s="51"/>
      <c r="AA1510"/>
      <c r="AB1510"/>
      <c r="AC1510"/>
      <c r="AD1510"/>
      <c r="AE1510"/>
      <c r="AF1510"/>
      <c r="AG1510"/>
      <c r="AH1510"/>
      <c r="AI1510"/>
      <c r="AJ1510" s="185"/>
      <c r="AK1510" s="185"/>
      <c r="AL1510" s="185"/>
      <c r="AM1510" s="185"/>
      <c r="AN1510"/>
      <c r="AO1510" s="1"/>
      <c r="AP1510" s="1"/>
      <c r="AQ1510" s="1"/>
      <c r="AR1510" s="1"/>
      <c r="AS1510"/>
      <c r="AT1510"/>
      <c r="AU1510"/>
      <c r="AV1510"/>
      <c r="AW1510"/>
      <c r="AX1510"/>
      <c r="AY1510"/>
      <c r="AZ1510" s="1"/>
      <c r="BA1510"/>
      <c r="BB1510"/>
      <c r="BC1510"/>
      <c r="BD1510"/>
      <c r="BE1510"/>
      <c r="BF1510" s="1"/>
      <c r="BG1510"/>
      <c r="BH1510"/>
      <c r="BI1510"/>
      <c r="BJ1510"/>
      <c r="BK1510"/>
      <c r="BL1510"/>
      <c r="BM1510"/>
      <c r="BN1510"/>
      <c r="BO1510"/>
    </row>
    <row r="1511" spans="8:67" s="2" customFormat="1">
      <c r="H1511" s="202"/>
      <c r="I1511" s="10"/>
      <c r="J1511" s="10"/>
      <c r="K1511" s="10"/>
      <c r="L1511" s="20"/>
      <c r="M1511" s="31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51"/>
      <c r="Z1511" s="51"/>
      <c r="AA1511"/>
      <c r="AB1511"/>
      <c r="AC1511"/>
      <c r="AD1511"/>
      <c r="AE1511"/>
      <c r="AF1511"/>
      <c r="AG1511"/>
      <c r="AH1511"/>
      <c r="AI1511"/>
      <c r="AJ1511" s="185"/>
      <c r="AK1511" s="185"/>
      <c r="AL1511" s="185"/>
      <c r="AM1511" s="185"/>
      <c r="AN1511"/>
      <c r="AO1511" s="1"/>
      <c r="AP1511" s="1"/>
      <c r="AQ1511" s="1"/>
      <c r="AR1511" s="1"/>
      <c r="AS1511"/>
      <c r="AT1511"/>
      <c r="AU1511"/>
      <c r="AV1511"/>
      <c r="AW1511"/>
      <c r="AX1511"/>
      <c r="AY1511"/>
      <c r="AZ1511" s="1"/>
      <c r="BA1511"/>
      <c r="BB1511"/>
      <c r="BC1511"/>
      <c r="BD1511"/>
      <c r="BE1511"/>
      <c r="BF1511" s="1"/>
      <c r="BG1511"/>
      <c r="BH1511"/>
      <c r="BI1511"/>
      <c r="BJ1511"/>
      <c r="BK1511"/>
      <c r="BL1511"/>
      <c r="BM1511"/>
      <c r="BN1511"/>
      <c r="BO1511"/>
    </row>
    <row r="1512" spans="8:67" s="2" customFormat="1">
      <c r="H1512" s="202"/>
      <c r="I1512" s="10"/>
      <c r="J1512" s="10"/>
      <c r="K1512" s="10"/>
      <c r="L1512" s="20"/>
      <c r="M1512" s="31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51"/>
      <c r="Z1512" s="51"/>
      <c r="AA1512"/>
      <c r="AB1512"/>
      <c r="AC1512"/>
      <c r="AD1512"/>
      <c r="AE1512"/>
      <c r="AF1512"/>
      <c r="AG1512"/>
      <c r="AH1512"/>
      <c r="AI1512"/>
      <c r="AJ1512" s="185"/>
      <c r="AK1512" s="185"/>
      <c r="AL1512" s="185"/>
      <c r="AM1512" s="185"/>
      <c r="AN1512"/>
      <c r="AO1512" s="1"/>
      <c r="AP1512" s="1"/>
      <c r="AQ1512" s="1"/>
      <c r="AR1512" s="1"/>
      <c r="AS1512"/>
      <c r="AT1512"/>
      <c r="AU1512"/>
      <c r="AV1512"/>
      <c r="AW1512"/>
      <c r="AX1512"/>
      <c r="AY1512"/>
      <c r="AZ1512" s="1"/>
      <c r="BA1512"/>
      <c r="BB1512"/>
      <c r="BC1512"/>
      <c r="BD1512"/>
      <c r="BE1512"/>
      <c r="BF1512" s="1"/>
      <c r="BG1512"/>
      <c r="BH1512"/>
      <c r="BI1512"/>
      <c r="BJ1512"/>
      <c r="BK1512"/>
      <c r="BL1512"/>
      <c r="BM1512"/>
      <c r="BN1512"/>
      <c r="BO1512"/>
    </row>
    <row r="1513" spans="8:67" s="2" customFormat="1">
      <c r="H1513" s="202"/>
      <c r="I1513" s="10"/>
      <c r="J1513" s="10"/>
      <c r="K1513" s="10"/>
      <c r="L1513" s="20"/>
      <c r="M1513" s="31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51"/>
      <c r="Z1513" s="51"/>
      <c r="AA1513"/>
      <c r="AB1513"/>
      <c r="AC1513"/>
      <c r="AD1513"/>
      <c r="AE1513"/>
      <c r="AF1513"/>
      <c r="AG1513"/>
      <c r="AH1513"/>
      <c r="AI1513"/>
      <c r="AJ1513" s="185"/>
      <c r="AK1513" s="185"/>
      <c r="AL1513" s="185"/>
      <c r="AM1513" s="185"/>
      <c r="AN1513"/>
      <c r="AO1513" s="1"/>
      <c r="AP1513" s="1"/>
      <c r="AQ1513" s="1"/>
      <c r="AR1513" s="1"/>
      <c r="AS1513"/>
      <c r="AT1513"/>
      <c r="AU1513"/>
      <c r="AV1513"/>
      <c r="AW1513"/>
      <c r="AX1513"/>
      <c r="AY1513"/>
      <c r="AZ1513" s="1"/>
      <c r="BA1513"/>
      <c r="BB1513"/>
      <c r="BC1513"/>
      <c r="BD1513"/>
      <c r="BE1513"/>
      <c r="BF1513" s="1"/>
      <c r="BG1513"/>
      <c r="BH1513"/>
      <c r="BI1513"/>
      <c r="BJ1513"/>
      <c r="BK1513"/>
      <c r="BL1513"/>
      <c r="BM1513"/>
      <c r="BN1513"/>
      <c r="BO1513"/>
    </row>
    <row r="1514" spans="8:67" s="2" customFormat="1">
      <c r="H1514" s="202"/>
      <c r="I1514" s="10"/>
      <c r="J1514" s="10"/>
      <c r="K1514" s="10"/>
      <c r="L1514" s="20"/>
      <c r="M1514" s="31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51"/>
      <c r="Z1514" s="51"/>
      <c r="AA1514"/>
      <c r="AB1514"/>
      <c r="AC1514"/>
      <c r="AD1514"/>
      <c r="AE1514"/>
      <c r="AF1514"/>
      <c r="AG1514"/>
      <c r="AH1514"/>
      <c r="AI1514"/>
      <c r="AJ1514" s="185"/>
      <c r="AK1514" s="185"/>
      <c r="AL1514" s="185"/>
      <c r="AM1514" s="185"/>
      <c r="AN1514"/>
      <c r="AO1514" s="1"/>
      <c r="AP1514" s="1"/>
      <c r="AQ1514" s="1"/>
      <c r="AR1514" s="1"/>
      <c r="AS1514"/>
      <c r="AT1514"/>
      <c r="AU1514"/>
      <c r="AV1514"/>
      <c r="AW1514"/>
      <c r="AX1514"/>
      <c r="AY1514"/>
      <c r="AZ1514" s="1"/>
      <c r="BA1514"/>
      <c r="BB1514"/>
      <c r="BC1514"/>
      <c r="BD1514"/>
      <c r="BE1514"/>
      <c r="BF1514" s="1"/>
      <c r="BG1514"/>
      <c r="BH1514"/>
      <c r="BI1514"/>
      <c r="BJ1514"/>
      <c r="BK1514"/>
      <c r="BL1514"/>
      <c r="BM1514"/>
      <c r="BN1514"/>
      <c r="BO1514"/>
    </row>
    <row r="1515" spans="8:67" s="2" customFormat="1">
      <c r="H1515" s="202"/>
      <c r="I1515" s="10"/>
      <c r="J1515" s="10"/>
      <c r="K1515" s="10"/>
      <c r="L1515" s="20"/>
      <c r="M1515" s="31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51"/>
      <c r="Z1515" s="51"/>
      <c r="AA1515"/>
      <c r="AB1515"/>
      <c r="AC1515"/>
      <c r="AD1515"/>
      <c r="AE1515"/>
      <c r="AF1515"/>
      <c r="AG1515"/>
      <c r="AH1515"/>
      <c r="AI1515"/>
      <c r="AJ1515" s="185"/>
      <c r="AK1515" s="185"/>
      <c r="AL1515" s="185"/>
      <c r="AM1515" s="185"/>
      <c r="AN1515"/>
      <c r="AO1515" s="1"/>
      <c r="AP1515" s="1"/>
      <c r="AQ1515" s="1"/>
      <c r="AR1515" s="1"/>
      <c r="AS1515"/>
      <c r="AT1515"/>
      <c r="AU1515"/>
      <c r="AV1515"/>
      <c r="AW1515"/>
      <c r="AX1515"/>
      <c r="AY1515"/>
      <c r="AZ1515" s="1"/>
      <c r="BA1515"/>
      <c r="BB1515"/>
      <c r="BC1515"/>
      <c r="BD1515"/>
      <c r="BE1515"/>
      <c r="BF1515" s="1"/>
      <c r="BG1515"/>
      <c r="BH1515"/>
      <c r="BI1515"/>
      <c r="BJ1515"/>
      <c r="BK1515"/>
      <c r="BL1515"/>
      <c r="BM1515"/>
      <c r="BN1515"/>
      <c r="BO1515"/>
    </row>
    <row r="1516" spans="8:67" s="2" customFormat="1">
      <c r="H1516" s="202"/>
      <c r="I1516" s="10"/>
      <c r="J1516" s="10"/>
      <c r="K1516" s="10"/>
      <c r="L1516" s="20"/>
      <c r="M1516" s="31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51"/>
      <c r="Z1516" s="51"/>
      <c r="AA1516"/>
      <c r="AB1516"/>
      <c r="AC1516"/>
      <c r="AD1516"/>
      <c r="AE1516"/>
      <c r="AF1516"/>
      <c r="AG1516"/>
      <c r="AH1516"/>
      <c r="AI1516"/>
      <c r="AJ1516" s="185"/>
      <c r="AK1516" s="185"/>
      <c r="AL1516" s="185"/>
      <c r="AM1516" s="185"/>
      <c r="AN1516"/>
      <c r="AO1516" s="1"/>
      <c r="AP1516" s="1"/>
      <c r="AQ1516" s="1"/>
      <c r="AR1516" s="1"/>
      <c r="AS1516"/>
      <c r="AT1516"/>
      <c r="AU1516"/>
      <c r="AV1516"/>
      <c r="AW1516"/>
      <c r="AX1516"/>
      <c r="AY1516"/>
      <c r="AZ1516" s="1"/>
      <c r="BA1516"/>
      <c r="BB1516"/>
      <c r="BC1516"/>
      <c r="BD1516"/>
      <c r="BE1516"/>
      <c r="BF1516" s="1"/>
      <c r="BG1516"/>
      <c r="BH1516"/>
      <c r="BI1516"/>
      <c r="BJ1516"/>
      <c r="BK1516"/>
      <c r="BL1516"/>
      <c r="BM1516"/>
      <c r="BN1516"/>
      <c r="BO1516"/>
    </row>
    <row r="1517" spans="8:67" s="2" customFormat="1">
      <c r="H1517" s="202"/>
      <c r="I1517" s="10"/>
      <c r="J1517" s="10"/>
      <c r="K1517" s="10"/>
      <c r="L1517" s="20"/>
      <c r="M1517" s="31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51"/>
      <c r="Z1517" s="51"/>
      <c r="AA1517"/>
      <c r="AB1517"/>
      <c r="AC1517"/>
      <c r="AD1517"/>
      <c r="AE1517"/>
      <c r="AF1517"/>
      <c r="AG1517"/>
      <c r="AH1517"/>
      <c r="AI1517"/>
      <c r="AJ1517" s="185"/>
      <c r="AK1517" s="185"/>
      <c r="AL1517" s="185"/>
      <c r="AM1517" s="185"/>
      <c r="AN1517"/>
      <c r="AO1517" s="1"/>
      <c r="AP1517" s="1"/>
      <c r="AQ1517" s="1"/>
      <c r="AR1517" s="1"/>
      <c r="AS1517"/>
      <c r="AT1517"/>
      <c r="AU1517"/>
      <c r="AV1517"/>
      <c r="AW1517"/>
      <c r="AX1517"/>
      <c r="AY1517"/>
      <c r="AZ1517" s="1"/>
      <c r="BA1517"/>
      <c r="BB1517"/>
      <c r="BC1517"/>
      <c r="BD1517"/>
      <c r="BE1517"/>
      <c r="BF1517" s="1"/>
      <c r="BG1517"/>
      <c r="BH1517"/>
      <c r="BI1517"/>
      <c r="BJ1517"/>
      <c r="BK1517"/>
      <c r="BL1517"/>
      <c r="BM1517"/>
      <c r="BN1517"/>
      <c r="BO1517"/>
    </row>
    <row r="1518" spans="8:67" s="2" customFormat="1">
      <c r="H1518" s="202"/>
      <c r="I1518" s="10"/>
      <c r="J1518" s="10"/>
      <c r="K1518" s="10"/>
      <c r="L1518" s="20"/>
      <c r="M1518" s="31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51"/>
      <c r="Z1518" s="51"/>
      <c r="AA1518"/>
      <c r="AB1518"/>
      <c r="AC1518"/>
      <c r="AD1518"/>
      <c r="AE1518"/>
      <c r="AF1518"/>
      <c r="AG1518"/>
      <c r="AH1518"/>
      <c r="AI1518"/>
      <c r="AJ1518" s="185"/>
      <c r="AK1518" s="185"/>
      <c r="AL1518" s="185"/>
      <c r="AM1518" s="185"/>
      <c r="AN1518"/>
      <c r="AO1518" s="1"/>
      <c r="AP1518" s="1"/>
      <c r="AQ1518" s="1"/>
      <c r="AR1518" s="1"/>
      <c r="AS1518"/>
      <c r="AT1518"/>
      <c r="AU1518"/>
      <c r="AV1518"/>
      <c r="AW1518"/>
      <c r="AX1518"/>
      <c r="AY1518"/>
      <c r="AZ1518" s="1"/>
      <c r="BA1518"/>
      <c r="BB1518"/>
      <c r="BC1518"/>
      <c r="BD1518"/>
      <c r="BE1518"/>
      <c r="BF1518" s="1"/>
      <c r="BG1518"/>
      <c r="BH1518"/>
      <c r="BI1518"/>
      <c r="BJ1518"/>
      <c r="BK1518"/>
      <c r="BL1518"/>
      <c r="BM1518"/>
      <c r="BN1518"/>
      <c r="BO1518"/>
    </row>
    <row r="1519" spans="8:67" s="2" customFormat="1">
      <c r="H1519" s="202"/>
      <c r="I1519" s="10"/>
      <c r="J1519" s="10"/>
      <c r="K1519" s="10"/>
      <c r="L1519" s="20"/>
      <c r="M1519" s="31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51"/>
      <c r="Z1519" s="51"/>
      <c r="AA1519"/>
      <c r="AB1519"/>
      <c r="AC1519"/>
      <c r="AD1519"/>
      <c r="AE1519"/>
      <c r="AF1519"/>
      <c r="AG1519"/>
      <c r="AH1519"/>
      <c r="AI1519"/>
      <c r="AJ1519" s="185"/>
      <c r="AK1519" s="185"/>
      <c r="AL1519" s="185"/>
      <c r="AM1519" s="185"/>
      <c r="AN1519"/>
      <c r="AO1519" s="1"/>
      <c r="AP1519" s="1"/>
      <c r="AQ1519" s="1"/>
      <c r="AR1519" s="1"/>
      <c r="AS1519"/>
      <c r="AT1519"/>
      <c r="AU1519"/>
      <c r="AV1519"/>
      <c r="AW1519"/>
      <c r="AX1519"/>
      <c r="AY1519"/>
      <c r="AZ1519" s="1"/>
      <c r="BA1519"/>
      <c r="BB1519"/>
      <c r="BC1519"/>
      <c r="BD1519"/>
      <c r="BE1519"/>
      <c r="BF1519" s="1"/>
      <c r="BG1519"/>
      <c r="BH1519"/>
      <c r="BI1519"/>
      <c r="BJ1519"/>
      <c r="BK1519"/>
      <c r="BL1519"/>
      <c r="BM1519"/>
      <c r="BN1519"/>
      <c r="BO1519"/>
    </row>
    <row r="1520" spans="8:67" s="2" customFormat="1">
      <c r="H1520" s="202"/>
      <c r="I1520" s="10"/>
      <c r="J1520" s="10"/>
      <c r="K1520" s="10"/>
      <c r="L1520" s="20"/>
      <c r="M1520" s="31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51"/>
      <c r="Z1520" s="51"/>
      <c r="AA1520"/>
      <c r="AB1520"/>
      <c r="AC1520"/>
      <c r="AD1520"/>
      <c r="AE1520"/>
      <c r="AF1520"/>
      <c r="AG1520"/>
      <c r="AH1520"/>
      <c r="AI1520"/>
      <c r="AJ1520" s="185"/>
      <c r="AK1520" s="185"/>
      <c r="AL1520" s="185"/>
      <c r="AM1520" s="185"/>
      <c r="AN1520"/>
      <c r="AO1520" s="1"/>
      <c r="AP1520" s="1"/>
      <c r="AQ1520" s="1"/>
      <c r="AR1520" s="1"/>
      <c r="AS1520"/>
      <c r="AT1520"/>
      <c r="AU1520"/>
      <c r="AV1520"/>
      <c r="AW1520"/>
      <c r="AX1520"/>
      <c r="AY1520"/>
      <c r="AZ1520" s="1"/>
      <c r="BA1520"/>
      <c r="BB1520"/>
      <c r="BC1520"/>
      <c r="BD1520"/>
      <c r="BE1520"/>
      <c r="BF1520" s="1"/>
      <c r="BG1520"/>
      <c r="BH1520"/>
      <c r="BI1520"/>
      <c r="BJ1520"/>
      <c r="BK1520"/>
      <c r="BL1520"/>
      <c r="BM1520"/>
      <c r="BN1520"/>
      <c r="BO1520"/>
    </row>
    <row r="1521" spans="8:67" s="2" customFormat="1">
      <c r="H1521" s="202"/>
      <c r="I1521" s="10"/>
      <c r="J1521" s="10"/>
      <c r="K1521" s="10"/>
      <c r="L1521" s="20"/>
      <c r="M1521" s="31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51"/>
      <c r="Z1521" s="51"/>
      <c r="AA1521"/>
      <c r="AB1521"/>
      <c r="AC1521"/>
      <c r="AD1521"/>
      <c r="AE1521"/>
      <c r="AF1521"/>
      <c r="AG1521"/>
      <c r="AH1521"/>
      <c r="AI1521"/>
      <c r="AJ1521" s="185"/>
      <c r="AK1521" s="185"/>
      <c r="AL1521" s="185"/>
      <c r="AM1521" s="185"/>
      <c r="AN1521"/>
      <c r="AO1521" s="1"/>
      <c r="AP1521" s="1"/>
      <c r="AQ1521" s="1"/>
      <c r="AR1521" s="1"/>
      <c r="AS1521"/>
      <c r="AT1521"/>
      <c r="AU1521"/>
      <c r="AV1521"/>
      <c r="AW1521"/>
      <c r="AX1521"/>
      <c r="AY1521"/>
      <c r="AZ1521" s="1"/>
      <c r="BA1521"/>
      <c r="BB1521"/>
      <c r="BC1521"/>
      <c r="BD1521"/>
      <c r="BE1521"/>
      <c r="BF1521" s="1"/>
      <c r="BG1521"/>
      <c r="BH1521"/>
      <c r="BI1521"/>
      <c r="BJ1521"/>
      <c r="BK1521"/>
      <c r="BL1521"/>
      <c r="BM1521"/>
      <c r="BN1521"/>
      <c r="BO1521"/>
    </row>
    <row r="1522" spans="8:67" s="2" customFormat="1">
      <c r="H1522" s="202"/>
      <c r="I1522" s="10"/>
      <c r="J1522" s="10"/>
      <c r="K1522" s="10"/>
      <c r="L1522" s="20"/>
      <c r="M1522" s="31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51"/>
      <c r="Z1522" s="51"/>
      <c r="AA1522"/>
      <c r="AB1522"/>
      <c r="AC1522"/>
      <c r="AD1522"/>
      <c r="AE1522"/>
      <c r="AF1522"/>
      <c r="AG1522"/>
      <c r="AH1522"/>
      <c r="AI1522"/>
      <c r="AJ1522" s="185"/>
      <c r="AK1522" s="185"/>
      <c r="AL1522" s="185"/>
      <c r="AM1522" s="185"/>
      <c r="AN1522"/>
      <c r="AO1522" s="1"/>
      <c r="AP1522" s="1"/>
      <c r="AQ1522" s="1"/>
      <c r="AR1522" s="1"/>
      <c r="AS1522"/>
      <c r="AT1522"/>
      <c r="AU1522"/>
      <c r="AV1522"/>
      <c r="AW1522"/>
      <c r="AX1522"/>
      <c r="AY1522"/>
      <c r="AZ1522" s="1"/>
      <c r="BA1522"/>
      <c r="BB1522"/>
      <c r="BC1522"/>
      <c r="BD1522"/>
      <c r="BE1522"/>
      <c r="BF1522" s="1"/>
      <c r="BG1522"/>
      <c r="BH1522"/>
      <c r="BI1522"/>
      <c r="BJ1522"/>
      <c r="BK1522"/>
      <c r="BL1522"/>
      <c r="BM1522"/>
      <c r="BN1522"/>
      <c r="BO1522"/>
    </row>
    <row r="1523" spans="8:67" s="2" customFormat="1">
      <c r="H1523" s="202"/>
      <c r="I1523" s="10"/>
      <c r="J1523" s="10"/>
      <c r="K1523" s="10"/>
      <c r="L1523" s="20"/>
      <c r="M1523" s="31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51"/>
      <c r="Z1523" s="51"/>
      <c r="AA1523"/>
      <c r="AB1523"/>
      <c r="AC1523"/>
      <c r="AD1523"/>
      <c r="AE1523"/>
      <c r="AF1523"/>
      <c r="AG1523"/>
      <c r="AH1523"/>
      <c r="AI1523"/>
      <c r="AJ1523" s="185"/>
      <c r="AK1523" s="185"/>
      <c r="AL1523" s="185"/>
      <c r="AM1523" s="185"/>
      <c r="AN1523"/>
      <c r="AO1523" s="1"/>
      <c r="AP1523" s="1"/>
      <c r="AQ1523" s="1"/>
      <c r="AR1523" s="1"/>
      <c r="AS1523"/>
      <c r="AT1523"/>
      <c r="AU1523"/>
      <c r="AV1523"/>
      <c r="AW1523"/>
      <c r="AX1523"/>
      <c r="AY1523"/>
      <c r="AZ1523" s="1"/>
      <c r="BA1523"/>
      <c r="BB1523"/>
      <c r="BC1523"/>
      <c r="BD1523"/>
      <c r="BE1523"/>
      <c r="BF1523" s="1"/>
      <c r="BG1523"/>
      <c r="BH1523"/>
      <c r="BI1523"/>
      <c r="BJ1523"/>
      <c r="BK1523"/>
      <c r="BL1523"/>
      <c r="BM1523"/>
      <c r="BN1523"/>
      <c r="BO1523"/>
    </row>
    <row r="1524" spans="8:67" s="2" customFormat="1">
      <c r="H1524" s="202"/>
      <c r="I1524" s="10"/>
      <c r="J1524" s="10"/>
      <c r="K1524" s="10"/>
      <c r="L1524" s="20"/>
      <c r="M1524" s="31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51"/>
      <c r="Z1524" s="51"/>
      <c r="AA1524"/>
      <c r="AB1524"/>
      <c r="AC1524"/>
      <c r="AD1524"/>
      <c r="AE1524"/>
      <c r="AF1524"/>
      <c r="AG1524"/>
      <c r="AH1524"/>
      <c r="AI1524"/>
      <c r="AJ1524" s="185"/>
      <c r="AK1524" s="185"/>
      <c r="AL1524" s="185"/>
      <c r="AM1524" s="185"/>
      <c r="AN1524"/>
      <c r="AO1524" s="1"/>
      <c r="AP1524" s="1"/>
      <c r="AQ1524" s="1"/>
      <c r="AR1524" s="1"/>
      <c r="AS1524"/>
      <c r="AT1524"/>
      <c r="AU1524"/>
      <c r="AV1524"/>
      <c r="AW1524"/>
      <c r="AX1524"/>
      <c r="AY1524"/>
      <c r="AZ1524" s="1"/>
      <c r="BA1524"/>
      <c r="BB1524"/>
      <c r="BC1524"/>
      <c r="BD1524"/>
      <c r="BE1524"/>
      <c r="BF1524" s="1"/>
      <c r="BG1524"/>
      <c r="BH1524"/>
      <c r="BI1524"/>
      <c r="BJ1524"/>
      <c r="BK1524"/>
      <c r="BL1524"/>
      <c r="BM1524"/>
      <c r="BN1524"/>
      <c r="BO1524"/>
    </row>
    <row r="1525" spans="8:67" s="2" customFormat="1">
      <c r="H1525" s="202"/>
      <c r="I1525" s="10"/>
      <c r="J1525" s="10"/>
      <c r="K1525" s="10"/>
      <c r="L1525" s="20"/>
      <c r="M1525" s="31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51"/>
      <c r="Z1525" s="51"/>
      <c r="AA1525"/>
      <c r="AB1525"/>
      <c r="AC1525"/>
      <c r="AD1525"/>
      <c r="AE1525"/>
      <c r="AF1525"/>
      <c r="AG1525"/>
      <c r="AH1525"/>
      <c r="AI1525"/>
      <c r="AJ1525" s="185"/>
      <c r="AK1525" s="185"/>
      <c r="AL1525" s="185"/>
      <c r="AM1525" s="185"/>
      <c r="AN1525"/>
      <c r="AO1525" s="1"/>
      <c r="AP1525" s="1"/>
      <c r="AQ1525" s="1"/>
      <c r="AR1525" s="1"/>
      <c r="AS1525"/>
      <c r="AT1525"/>
      <c r="AU1525"/>
      <c r="AV1525"/>
      <c r="AW1525"/>
      <c r="AX1525"/>
      <c r="AY1525"/>
      <c r="AZ1525" s="1"/>
      <c r="BA1525"/>
      <c r="BB1525"/>
      <c r="BC1525"/>
      <c r="BD1525"/>
      <c r="BE1525"/>
      <c r="BF1525" s="1"/>
      <c r="BG1525"/>
      <c r="BH1525"/>
      <c r="BI1525"/>
      <c r="BJ1525"/>
      <c r="BK1525"/>
      <c r="BL1525"/>
      <c r="BM1525"/>
      <c r="BN1525"/>
      <c r="BO1525"/>
    </row>
    <row r="1526" spans="8:67" s="2" customFormat="1">
      <c r="H1526" s="202"/>
      <c r="I1526" s="10"/>
      <c r="J1526" s="10"/>
      <c r="K1526" s="10"/>
      <c r="L1526" s="20"/>
      <c r="M1526" s="31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51"/>
      <c r="Z1526" s="51"/>
      <c r="AA1526"/>
      <c r="AB1526"/>
      <c r="AC1526"/>
      <c r="AD1526"/>
      <c r="AE1526"/>
      <c r="AF1526"/>
      <c r="AG1526"/>
      <c r="AH1526"/>
      <c r="AI1526"/>
      <c r="AJ1526" s="185"/>
      <c r="AK1526" s="185"/>
      <c r="AL1526" s="185"/>
      <c r="AM1526" s="185"/>
      <c r="AN1526"/>
      <c r="AO1526" s="1"/>
      <c r="AP1526" s="1"/>
      <c r="AQ1526" s="1"/>
      <c r="AR1526" s="1"/>
      <c r="AS1526"/>
      <c r="AT1526"/>
      <c r="AU1526"/>
      <c r="AV1526"/>
      <c r="AW1526"/>
      <c r="AX1526"/>
      <c r="AY1526"/>
      <c r="AZ1526" s="1"/>
      <c r="BA1526"/>
      <c r="BB1526"/>
      <c r="BC1526"/>
      <c r="BD1526"/>
      <c r="BE1526"/>
      <c r="BF1526" s="1"/>
      <c r="BG1526"/>
      <c r="BH1526"/>
      <c r="BI1526"/>
      <c r="BJ1526"/>
      <c r="BK1526"/>
      <c r="BL1526"/>
      <c r="BM1526"/>
      <c r="BN1526"/>
      <c r="BO1526"/>
    </row>
    <row r="1527" spans="8:67" s="2" customFormat="1">
      <c r="H1527" s="202"/>
      <c r="I1527" s="10"/>
      <c r="J1527" s="10"/>
      <c r="K1527" s="10"/>
      <c r="L1527" s="20"/>
      <c r="M1527" s="31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51"/>
      <c r="Z1527" s="51"/>
      <c r="AA1527"/>
      <c r="AB1527"/>
      <c r="AC1527"/>
      <c r="AD1527"/>
      <c r="AE1527"/>
      <c r="AF1527"/>
      <c r="AG1527"/>
      <c r="AH1527"/>
      <c r="AI1527"/>
      <c r="AJ1527" s="185"/>
      <c r="AK1527" s="185"/>
      <c r="AL1527" s="185"/>
      <c r="AM1527" s="185"/>
      <c r="AN1527"/>
      <c r="AO1527" s="1"/>
      <c r="AP1527" s="1"/>
      <c r="AQ1527" s="1"/>
      <c r="AR1527" s="1"/>
      <c r="AS1527"/>
      <c r="AT1527"/>
      <c r="AU1527"/>
      <c r="AV1527"/>
      <c r="AW1527"/>
      <c r="AX1527"/>
      <c r="AY1527"/>
      <c r="AZ1527" s="1"/>
      <c r="BA1527"/>
      <c r="BB1527"/>
      <c r="BC1527"/>
      <c r="BD1527"/>
      <c r="BE1527"/>
      <c r="BF1527" s="1"/>
      <c r="BG1527"/>
      <c r="BH1527"/>
      <c r="BI1527"/>
      <c r="BJ1527"/>
      <c r="BK1527"/>
      <c r="BL1527"/>
      <c r="BM1527"/>
      <c r="BN1527"/>
      <c r="BO1527"/>
    </row>
    <row r="1528" spans="8:67" s="2" customFormat="1">
      <c r="H1528" s="202"/>
      <c r="I1528" s="10"/>
      <c r="J1528" s="10"/>
      <c r="K1528" s="10"/>
      <c r="L1528" s="20"/>
      <c r="M1528" s="31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51"/>
      <c r="Z1528" s="51"/>
      <c r="AA1528"/>
      <c r="AB1528"/>
      <c r="AC1528"/>
      <c r="AD1528"/>
      <c r="AE1528"/>
      <c r="AF1528"/>
      <c r="AG1528"/>
      <c r="AH1528"/>
      <c r="AI1528"/>
      <c r="AJ1528" s="185"/>
      <c r="AK1528" s="185"/>
      <c r="AL1528" s="185"/>
      <c r="AM1528" s="185"/>
      <c r="AN1528"/>
      <c r="AO1528" s="1"/>
      <c r="AP1528" s="1"/>
      <c r="AQ1528" s="1"/>
      <c r="AR1528" s="1"/>
      <c r="AS1528"/>
      <c r="AT1528"/>
      <c r="AU1528"/>
      <c r="AV1528"/>
      <c r="AW1528"/>
      <c r="AX1528"/>
      <c r="AY1528"/>
      <c r="AZ1528" s="1"/>
      <c r="BA1528"/>
      <c r="BB1528"/>
      <c r="BC1528"/>
      <c r="BD1528"/>
      <c r="BE1528"/>
      <c r="BF1528" s="1"/>
      <c r="BG1528"/>
      <c r="BH1528"/>
      <c r="BI1528"/>
      <c r="BJ1528"/>
      <c r="BK1528"/>
      <c r="BL1528"/>
      <c r="BM1528"/>
      <c r="BN1528"/>
      <c r="BO1528"/>
    </row>
    <row r="1529" spans="8:67" s="2" customFormat="1">
      <c r="H1529" s="202"/>
      <c r="I1529" s="10"/>
      <c r="J1529" s="10"/>
      <c r="K1529" s="10"/>
      <c r="L1529" s="20"/>
      <c r="M1529" s="31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51"/>
      <c r="Z1529" s="51"/>
      <c r="AA1529"/>
      <c r="AB1529"/>
      <c r="AC1529"/>
      <c r="AD1529"/>
      <c r="AE1529"/>
      <c r="AF1529"/>
      <c r="AG1529"/>
      <c r="AH1529"/>
      <c r="AI1529"/>
      <c r="AJ1529" s="185"/>
      <c r="AK1529" s="185"/>
      <c r="AL1529" s="185"/>
      <c r="AM1529" s="185"/>
      <c r="AN1529"/>
      <c r="AO1529" s="1"/>
      <c r="AP1529" s="1"/>
      <c r="AQ1529" s="1"/>
      <c r="AR1529" s="1"/>
      <c r="AS1529"/>
      <c r="AT1529"/>
      <c r="AU1529"/>
      <c r="AV1529"/>
      <c r="AW1529"/>
      <c r="AX1529"/>
      <c r="AY1529"/>
      <c r="AZ1529" s="1"/>
      <c r="BA1529"/>
      <c r="BB1529"/>
      <c r="BC1529"/>
      <c r="BD1529"/>
      <c r="BE1529"/>
      <c r="BF1529" s="1"/>
      <c r="BG1529"/>
      <c r="BH1529"/>
      <c r="BI1529"/>
      <c r="BJ1529"/>
      <c r="BK1529"/>
      <c r="BL1529"/>
      <c r="BM1529"/>
      <c r="BN1529"/>
      <c r="BO1529"/>
    </row>
    <row r="1530" spans="8:67" s="2" customFormat="1">
      <c r="H1530" s="202"/>
      <c r="I1530" s="10"/>
      <c r="J1530" s="10"/>
      <c r="K1530" s="10"/>
      <c r="L1530" s="20"/>
      <c r="M1530" s="31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51"/>
      <c r="Z1530" s="51"/>
      <c r="AA1530"/>
      <c r="AB1530"/>
      <c r="AC1530"/>
      <c r="AD1530"/>
      <c r="AE1530"/>
      <c r="AF1530"/>
      <c r="AG1530"/>
      <c r="AH1530"/>
      <c r="AI1530"/>
      <c r="AJ1530" s="185"/>
      <c r="AK1530" s="185"/>
      <c r="AL1530" s="185"/>
      <c r="AM1530" s="185"/>
      <c r="AN1530"/>
      <c r="AO1530" s="1"/>
      <c r="AP1530" s="1"/>
      <c r="AQ1530" s="1"/>
      <c r="AR1530" s="1"/>
      <c r="AS1530"/>
      <c r="AT1530"/>
      <c r="AU1530"/>
      <c r="AV1530"/>
      <c r="AW1530"/>
      <c r="AX1530"/>
      <c r="AY1530"/>
      <c r="AZ1530" s="1"/>
      <c r="BA1530"/>
      <c r="BB1530"/>
      <c r="BC1530"/>
      <c r="BD1530"/>
      <c r="BE1530"/>
      <c r="BF1530" s="1"/>
      <c r="BG1530"/>
      <c r="BH1530"/>
      <c r="BI1530"/>
      <c r="BJ1530"/>
      <c r="BK1530"/>
      <c r="BL1530"/>
      <c r="BM1530"/>
      <c r="BN1530"/>
      <c r="BO1530"/>
    </row>
    <row r="1531" spans="8:67" s="2" customFormat="1">
      <c r="H1531" s="202"/>
      <c r="I1531" s="10"/>
      <c r="J1531" s="10"/>
      <c r="K1531" s="10"/>
      <c r="L1531" s="20"/>
      <c r="M1531" s="31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51"/>
      <c r="Z1531" s="51"/>
      <c r="AA1531"/>
      <c r="AB1531"/>
      <c r="AC1531"/>
      <c r="AD1531"/>
      <c r="AE1531"/>
      <c r="AF1531"/>
      <c r="AG1531"/>
      <c r="AH1531"/>
      <c r="AI1531"/>
      <c r="AJ1531" s="185"/>
      <c r="AK1531" s="185"/>
      <c r="AL1531" s="185"/>
      <c r="AM1531" s="185"/>
      <c r="AN1531"/>
      <c r="AO1531" s="1"/>
      <c r="AP1531" s="1"/>
      <c r="AQ1531" s="1"/>
      <c r="AR1531" s="1"/>
      <c r="AS1531"/>
      <c r="AT1531"/>
      <c r="AU1531"/>
      <c r="AV1531"/>
      <c r="AW1531"/>
      <c r="AX1531"/>
      <c r="AY1531"/>
      <c r="AZ1531" s="1"/>
      <c r="BA1531"/>
      <c r="BB1531"/>
      <c r="BC1531"/>
      <c r="BD1531"/>
      <c r="BE1531"/>
      <c r="BF1531" s="1"/>
      <c r="BG1531"/>
      <c r="BH1531"/>
      <c r="BI1531"/>
      <c r="BJ1531"/>
      <c r="BK1531"/>
      <c r="BL1531"/>
      <c r="BM1531"/>
      <c r="BN1531"/>
      <c r="BO1531"/>
    </row>
    <row r="1532" spans="8:67" s="2" customFormat="1">
      <c r="H1532" s="202"/>
      <c r="I1532" s="10"/>
      <c r="J1532" s="10"/>
      <c r="K1532" s="10"/>
      <c r="L1532" s="20"/>
      <c r="M1532" s="31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51"/>
      <c r="Z1532" s="51"/>
      <c r="AA1532"/>
      <c r="AB1532"/>
      <c r="AC1532"/>
      <c r="AD1532"/>
      <c r="AE1532"/>
      <c r="AF1532"/>
      <c r="AG1532"/>
      <c r="AH1532"/>
      <c r="AI1532"/>
      <c r="AJ1532" s="185"/>
      <c r="AK1532" s="185"/>
      <c r="AL1532" s="185"/>
      <c r="AM1532" s="185"/>
      <c r="AN1532"/>
      <c r="AO1532" s="1"/>
      <c r="AP1532" s="1"/>
      <c r="AQ1532" s="1"/>
      <c r="AR1532" s="1"/>
      <c r="AS1532"/>
      <c r="AT1532"/>
      <c r="AU1532"/>
      <c r="AV1532"/>
      <c r="AW1532"/>
      <c r="AX1532"/>
      <c r="AY1532"/>
      <c r="AZ1532" s="1"/>
      <c r="BA1532"/>
      <c r="BB1532"/>
      <c r="BC1532"/>
      <c r="BD1532"/>
      <c r="BE1532"/>
      <c r="BF1532" s="1"/>
      <c r="BG1532"/>
      <c r="BH1532"/>
      <c r="BI1532"/>
      <c r="BJ1532"/>
      <c r="BK1532"/>
      <c r="BL1532"/>
      <c r="BM1532"/>
      <c r="BN1532"/>
      <c r="BO1532"/>
    </row>
    <row r="1533" spans="8:67" s="2" customFormat="1">
      <c r="H1533" s="202"/>
      <c r="I1533" s="10"/>
      <c r="J1533" s="10"/>
      <c r="K1533" s="10"/>
      <c r="L1533" s="20"/>
      <c r="M1533" s="31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51"/>
      <c r="Z1533" s="51"/>
      <c r="AA1533"/>
      <c r="AB1533"/>
      <c r="AC1533"/>
      <c r="AD1533"/>
      <c r="AE1533"/>
      <c r="AF1533"/>
      <c r="AG1533"/>
      <c r="AH1533"/>
      <c r="AI1533"/>
      <c r="AJ1533" s="185"/>
      <c r="AK1533" s="185"/>
      <c r="AL1533" s="185"/>
      <c r="AM1533" s="185"/>
      <c r="AN1533"/>
      <c r="AO1533" s="1"/>
      <c r="AP1533" s="1"/>
      <c r="AQ1533" s="1"/>
      <c r="AR1533" s="1"/>
      <c r="AS1533"/>
      <c r="AT1533"/>
      <c r="AU1533"/>
      <c r="AV1533"/>
      <c r="AW1533"/>
      <c r="AX1533"/>
      <c r="AY1533"/>
      <c r="AZ1533" s="1"/>
      <c r="BA1533"/>
      <c r="BB1533"/>
      <c r="BC1533"/>
      <c r="BD1533"/>
      <c r="BE1533"/>
      <c r="BF1533" s="1"/>
      <c r="BG1533"/>
      <c r="BH1533"/>
      <c r="BI1533"/>
      <c r="BJ1533"/>
      <c r="BK1533"/>
      <c r="BL1533"/>
      <c r="BM1533"/>
      <c r="BN1533"/>
      <c r="BO1533"/>
    </row>
    <row r="1534" spans="8:67" s="2" customFormat="1">
      <c r="H1534" s="202"/>
      <c r="I1534" s="10"/>
      <c r="J1534" s="10"/>
      <c r="K1534" s="10"/>
      <c r="L1534" s="20"/>
      <c r="M1534" s="31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51"/>
      <c r="Z1534" s="51"/>
      <c r="AA1534"/>
      <c r="AB1534"/>
      <c r="AC1534"/>
      <c r="AD1534"/>
      <c r="AE1534"/>
      <c r="AF1534"/>
      <c r="AG1534"/>
      <c r="AH1534"/>
      <c r="AI1534"/>
      <c r="AJ1534" s="185"/>
      <c r="AK1534" s="185"/>
      <c r="AL1534" s="185"/>
      <c r="AM1534" s="185"/>
      <c r="AN1534"/>
      <c r="AO1534" s="1"/>
      <c r="AP1534" s="1"/>
      <c r="AQ1534" s="1"/>
      <c r="AR1534" s="1"/>
      <c r="AS1534"/>
      <c r="AT1534"/>
      <c r="AU1534"/>
      <c r="AV1534"/>
      <c r="AW1534"/>
      <c r="AX1534"/>
      <c r="AY1534"/>
      <c r="AZ1534" s="1"/>
      <c r="BA1534"/>
      <c r="BB1534"/>
      <c r="BC1534"/>
      <c r="BD1534"/>
      <c r="BE1534"/>
      <c r="BF1534" s="1"/>
      <c r="BG1534"/>
      <c r="BH1534"/>
      <c r="BI1534"/>
      <c r="BJ1534"/>
      <c r="BK1534"/>
      <c r="BL1534"/>
      <c r="BM1534"/>
      <c r="BN1534"/>
      <c r="BO1534"/>
    </row>
    <row r="1535" spans="8:67" s="2" customFormat="1">
      <c r="H1535" s="202"/>
      <c r="I1535" s="10"/>
      <c r="J1535" s="10"/>
      <c r="K1535" s="10"/>
      <c r="L1535" s="20"/>
      <c r="M1535" s="31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51"/>
      <c r="Z1535" s="51"/>
      <c r="AA1535"/>
      <c r="AB1535"/>
      <c r="AC1535"/>
      <c r="AD1535"/>
      <c r="AE1535"/>
      <c r="AF1535"/>
      <c r="AG1535"/>
      <c r="AH1535"/>
      <c r="AI1535"/>
      <c r="AJ1535" s="185"/>
      <c r="AK1535" s="185"/>
      <c r="AL1535" s="185"/>
      <c r="AM1535" s="185"/>
      <c r="AN1535"/>
      <c r="AO1535" s="1"/>
      <c r="AP1535" s="1"/>
      <c r="AQ1535" s="1"/>
      <c r="AR1535" s="1"/>
      <c r="AS1535"/>
      <c r="AT1535"/>
      <c r="AU1535"/>
      <c r="AV1535"/>
      <c r="AW1535"/>
      <c r="AX1535"/>
      <c r="AY1535"/>
      <c r="AZ1535" s="1"/>
      <c r="BA1535"/>
      <c r="BB1535"/>
      <c r="BC1535"/>
      <c r="BD1535"/>
      <c r="BE1535"/>
      <c r="BF1535" s="1"/>
      <c r="BG1535"/>
      <c r="BH1535"/>
      <c r="BI1535"/>
      <c r="BJ1535"/>
      <c r="BK1535"/>
      <c r="BL1535"/>
      <c r="BM1535"/>
      <c r="BN1535"/>
      <c r="BO1535"/>
    </row>
    <row r="1536" spans="8:67" s="2" customFormat="1">
      <c r="H1536" s="202"/>
      <c r="I1536" s="10"/>
      <c r="J1536" s="10"/>
      <c r="K1536" s="10"/>
      <c r="L1536" s="20"/>
      <c r="M1536" s="31"/>
      <c r="N1536" s="39"/>
      <c r="O1536" s="39"/>
      <c r="P1536" s="39"/>
      <c r="Q1536" s="39"/>
      <c r="R1536" s="39"/>
      <c r="S1536" s="39"/>
      <c r="T1536" s="39"/>
      <c r="U1536" s="39"/>
      <c r="V1536" s="39"/>
      <c r="W1536" s="39"/>
      <c r="X1536" s="39"/>
      <c r="Y1536" s="51"/>
      <c r="Z1536" s="51"/>
      <c r="AA1536"/>
      <c r="AB1536"/>
      <c r="AC1536"/>
      <c r="AD1536"/>
      <c r="AE1536"/>
      <c r="AF1536"/>
      <c r="AG1536"/>
      <c r="AH1536"/>
      <c r="AI1536"/>
      <c r="AJ1536" s="185"/>
      <c r="AK1536" s="185"/>
      <c r="AL1536" s="185"/>
      <c r="AM1536" s="185"/>
      <c r="AN1536"/>
      <c r="AO1536" s="1"/>
      <c r="AP1536" s="1"/>
      <c r="AQ1536" s="1"/>
      <c r="AR1536" s="1"/>
      <c r="AS1536"/>
      <c r="AT1536"/>
      <c r="AU1536"/>
      <c r="AV1536"/>
      <c r="AW1536"/>
      <c r="AX1536"/>
      <c r="AY1536"/>
      <c r="AZ1536" s="1"/>
      <c r="BA1536"/>
      <c r="BB1536"/>
      <c r="BC1536"/>
      <c r="BD1536"/>
      <c r="BE1536"/>
      <c r="BF1536" s="1"/>
      <c r="BG1536"/>
      <c r="BH1536"/>
      <c r="BI1536"/>
      <c r="BJ1536"/>
      <c r="BK1536"/>
      <c r="BL1536"/>
      <c r="BM1536"/>
      <c r="BN1536"/>
      <c r="BO1536"/>
    </row>
    <row r="1537" spans="8:67" s="2" customFormat="1">
      <c r="H1537" s="202"/>
      <c r="I1537" s="10"/>
      <c r="J1537" s="10"/>
      <c r="K1537" s="10"/>
      <c r="L1537" s="20"/>
      <c r="M1537" s="31"/>
      <c r="N1537" s="39"/>
      <c r="O1537" s="39"/>
      <c r="P1537" s="39"/>
      <c r="Q1537" s="39"/>
      <c r="R1537" s="39"/>
      <c r="S1537" s="39"/>
      <c r="T1537" s="39"/>
      <c r="U1537" s="39"/>
      <c r="V1537" s="39"/>
      <c r="W1537" s="39"/>
      <c r="X1537" s="39"/>
      <c r="Y1537" s="51"/>
      <c r="Z1537" s="51"/>
      <c r="AA1537"/>
      <c r="AB1537"/>
      <c r="AC1537"/>
      <c r="AD1537"/>
      <c r="AE1537"/>
      <c r="AF1537"/>
      <c r="AG1537"/>
      <c r="AH1537"/>
      <c r="AI1537"/>
      <c r="AJ1537" s="185"/>
      <c r="AK1537" s="185"/>
      <c r="AL1537" s="185"/>
      <c r="AM1537" s="185"/>
      <c r="AN1537"/>
      <c r="AO1537" s="1"/>
      <c r="AP1537" s="1"/>
      <c r="AQ1537" s="1"/>
      <c r="AR1537" s="1"/>
      <c r="AS1537"/>
      <c r="AT1537"/>
      <c r="AU1537"/>
      <c r="AV1537"/>
      <c r="AW1537"/>
      <c r="AX1537"/>
      <c r="AY1537"/>
      <c r="AZ1537" s="1"/>
      <c r="BA1537"/>
      <c r="BB1537"/>
      <c r="BC1537"/>
      <c r="BD1537"/>
      <c r="BE1537"/>
      <c r="BF1537" s="1"/>
      <c r="BG1537"/>
      <c r="BH1537"/>
      <c r="BI1537"/>
      <c r="BJ1537"/>
      <c r="BK1537"/>
      <c r="BL1537"/>
      <c r="BM1537"/>
      <c r="BN1537"/>
      <c r="BO1537"/>
    </row>
    <row r="1538" spans="8:67" s="2" customFormat="1">
      <c r="H1538" s="202"/>
      <c r="I1538" s="10"/>
      <c r="J1538" s="10"/>
      <c r="K1538" s="10"/>
      <c r="L1538" s="20"/>
      <c r="M1538" s="31"/>
      <c r="N1538" s="39"/>
      <c r="O1538" s="39"/>
      <c r="P1538" s="39"/>
      <c r="Q1538" s="39"/>
      <c r="R1538" s="39"/>
      <c r="S1538" s="39"/>
      <c r="T1538" s="39"/>
      <c r="U1538" s="39"/>
      <c r="V1538" s="39"/>
      <c r="W1538" s="39"/>
      <c r="X1538" s="39"/>
      <c r="Y1538" s="51"/>
      <c r="Z1538" s="51"/>
      <c r="AA1538"/>
      <c r="AB1538"/>
      <c r="AC1538"/>
      <c r="AD1538"/>
      <c r="AE1538"/>
      <c r="AF1538"/>
      <c r="AG1538"/>
      <c r="AH1538"/>
      <c r="AI1538"/>
      <c r="AJ1538" s="185"/>
      <c r="AK1538" s="185"/>
      <c r="AL1538" s="185"/>
      <c r="AM1538" s="185"/>
      <c r="AN1538"/>
      <c r="AO1538" s="1"/>
      <c r="AP1538" s="1"/>
      <c r="AQ1538" s="1"/>
      <c r="AR1538" s="1"/>
      <c r="AS1538"/>
      <c r="AT1538"/>
      <c r="AU1538"/>
      <c r="AV1538"/>
      <c r="AW1538"/>
      <c r="AX1538"/>
      <c r="AY1538"/>
      <c r="AZ1538" s="1"/>
      <c r="BA1538"/>
      <c r="BB1538"/>
      <c r="BC1538"/>
      <c r="BD1538"/>
      <c r="BE1538"/>
      <c r="BF1538" s="1"/>
      <c r="BG1538"/>
      <c r="BH1538"/>
      <c r="BI1538"/>
      <c r="BJ1538"/>
      <c r="BK1538"/>
      <c r="BL1538"/>
      <c r="BM1538"/>
      <c r="BN1538"/>
      <c r="BO1538"/>
    </row>
    <row r="1539" spans="8:67" s="2" customFormat="1">
      <c r="H1539" s="202"/>
      <c r="I1539" s="10"/>
      <c r="J1539" s="10"/>
      <c r="K1539" s="10"/>
      <c r="L1539" s="20"/>
      <c r="M1539" s="31"/>
      <c r="N1539" s="39"/>
      <c r="O1539" s="39"/>
      <c r="P1539" s="39"/>
      <c r="Q1539" s="39"/>
      <c r="R1539" s="39"/>
      <c r="S1539" s="39"/>
      <c r="T1539" s="39"/>
      <c r="U1539" s="39"/>
      <c r="V1539" s="39"/>
      <c r="W1539" s="39"/>
      <c r="X1539" s="39"/>
      <c r="Y1539" s="51"/>
      <c r="Z1539" s="51"/>
      <c r="AA1539"/>
      <c r="AB1539"/>
      <c r="AC1539"/>
      <c r="AD1539"/>
      <c r="AE1539"/>
      <c r="AF1539"/>
      <c r="AG1539"/>
      <c r="AH1539"/>
      <c r="AI1539"/>
      <c r="AJ1539" s="185"/>
      <c r="AK1539" s="185"/>
      <c r="AL1539" s="185"/>
      <c r="AM1539" s="185"/>
      <c r="AN1539"/>
      <c r="AO1539" s="1"/>
      <c r="AP1539" s="1"/>
      <c r="AQ1539" s="1"/>
      <c r="AR1539" s="1"/>
      <c r="AS1539"/>
      <c r="AT1539"/>
      <c r="AU1539"/>
      <c r="AV1539"/>
      <c r="AW1539"/>
      <c r="AX1539"/>
      <c r="AY1539"/>
      <c r="AZ1539" s="1"/>
      <c r="BA1539"/>
      <c r="BB1539"/>
      <c r="BC1539"/>
      <c r="BD1539"/>
      <c r="BE1539"/>
      <c r="BF1539" s="1"/>
      <c r="BG1539"/>
      <c r="BH1539"/>
      <c r="BI1539"/>
      <c r="BJ1539"/>
      <c r="BK1539"/>
      <c r="BL1539"/>
      <c r="BM1539"/>
      <c r="BN1539"/>
      <c r="BO1539"/>
    </row>
    <row r="1540" spans="8:67" s="2" customFormat="1">
      <c r="H1540" s="202"/>
      <c r="I1540" s="10"/>
      <c r="J1540" s="10"/>
      <c r="K1540" s="10"/>
      <c r="L1540" s="20"/>
      <c r="M1540" s="31"/>
      <c r="N1540" s="39"/>
      <c r="O1540" s="39"/>
      <c r="P1540" s="39"/>
      <c r="Q1540" s="39"/>
      <c r="R1540" s="39"/>
      <c r="S1540" s="39"/>
      <c r="T1540" s="39"/>
      <c r="U1540" s="39"/>
      <c r="V1540" s="39"/>
      <c r="W1540" s="39"/>
      <c r="X1540" s="39"/>
      <c r="Y1540" s="51"/>
      <c r="Z1540" s="51"/>
      <c r="AA1540"/>
      <c r="AB1540"/>
      <c r="AC1540"/>
      <c r="AD1540"/>
      <c r="AE1540"/>
      <c r="AF1540"/>
      <c r="AG1540"/>
      <c r="AH1540"/>
      <c r="AI1540"/>
      <c r="AJ1540" s="185"/>
      <c r="AK1540" s="185"/>
      <c r="AL1540" s="185"/>
      <c r="AM1540" s="185"/>
      <c r="AN1540"/>
      <c r="AO1540" s="1"/>
      <c r="AP1540" s="1"/>
      <c r="AQ1540" s="1"/>
      <c r="AR1540" s="1"/>
      <c r="AS1540"/>
      <c r="AT1540"/>
      <c r="AU1540"/>
      <c r="AV1540"/>
      <c r="AW1540"/>
      <c r="AX1540"/>
      <c r="AY1540"/>
      <c r="AZ1540" s="1"/>
      <c r="BA1540"/>
      <c r="BB1540"/>
      <c r="BC1540"/>
      <c r="BD1540"/>
      <c r="BE1540"/>
      <c r="BF1540" s="1"/>
      <c r="BG1540"/>
      <c r="BH1540"/>
      <c r="BI1540"/>
      <c r="BJ1540"/>
      <c r="BK1540"/>
      <c r="BL1540"/>
      <c r="BM1540"/>
      <c r="BN1540"/>
      <c r="BO1540"/>
    </row>
    <row r="1541" spans="8:67" s="2" customFormat="1">
      <c r="H1541" s="202"/>
      <c r="I1541" s="10"/>
      <c r="J1541" s="10"/>
      <c r="K1541" s="10"/>
      <c r="L1541" s="20"/>
      <c r="M1541" s="31"/>
      <c r="N1541" s="39"/>
      <c r="O1541" s="39"/>
      <c r="P1541" s="39"/>
      <c r="Q1541" s="39"/>
      <c r="R1541" s="39"/>
      <c r="S1541" s="39"/>
      <c r="T1541" s="39"/>
      <c r="U1541" s="39"/>
      <c r="V1541" s="39"/>
      <c r="W1541" s="39"/>
      <c r="X1541" s="39"/>
      <c r="Y1541" s="51"/>
      <c r="Z1541" s="51"/>
      <c r="AA1541"/>
      <c r="AB1541"/>
      <c r="AC1541"/>
      <c r="AD1541"/>
      <c r="AE1541"/>
      <c r="AF1541"/>
      <c r="AG1541"/>
      <c r="AH1541"/>
      <c r="AI1541"/>
      <c r="AJ1541" s="185"/>
      <c r="AK1541" s="185"/>
      <c r="AL1541" s="185"/>
      <c r="AM1541" s="185"/>
      <c r="AN1541"/>
      <c r="AO1541" s="1"/>
      <c r="AP1541" s="1"/>
      <c r="AQ1541" s="1"/>
      <c r="AR1541" s="1"/>
      <c r="AS1541"/>
      <c r="AT1541"/>
      <c r="AU1541"/>
      <c r="AV1541"/>
      <c r="AW1541"/>
      <c r="AX1541"/>
      <c r="AY1541"/>
      <c r="AZ1541" s="1"/>
      <c r="BA1541"/>
      <c r="BB1541"/>
      <c r="BC1541"/>
      <c r="BD1541"/>
      <c r="BE1541"/>
      <c r="BF1541" s="1"/>
      <c r="BG1541"/>
      <c r="BH1541"/>
      <c r="BI1541"/>
      <c r="BJ1541"/>
      <c r="BK1541"/>
      <c r="BL1541"/>
      <c r="BM1541"/>
      <c r="BN1541"/>
      <c r="BO1541"/>
    </row>
    <row r="1542" spans="8:67" s="2" customFormat="1">
      <c r="H1542" s="202"/>
      <c r="I1542" s="10"/>
      <c r="J1542" s="10"/>
      <c r="K1542" s="10"/>
      <c r="L1542" s="20"/>
      <c r="M1542" s="31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51"/>
      <c r="Z1542" s="51"/>
      <c r="AA1542"/>
      <c r="AB1542"/>
      <c r="AC1542"/>
      <c r="AD1542"/>
      <c r="AE1542"/>
      <c r="AF1542"/>
      <c r="AG1542"/>
      <c r="AH1542"/>
      <c r="AI1542"/>
      <c r="AJ1542" s="185"/>
      <c r="AK1542" s="185"/>
      <c r="AL1542" s="185"/>
      <c r="AM1542" s="185"/>
      <c r="AN1542"/>
      <c r="AO1542" s="1"/>
      <c r="AP1542" s="1"/>
      <c r="AQ1542" s="1"/>
      <c r="AR1542" s="1"/>
      <c r="AS1542"/>
      <c r="AT1542"/>
      <c r="AU1542"/>
      <c r="AV1542"/>
      <c r="AW1542"/>
      <c r="AX1542"/>
      <c r="AY1542"/>
      <c r="AZ1542" s="1"/>
      <c r="BA1542"/>
      <c r="BB1542"/>
      <c r="BC1542"/>
      <c r="BD1542"/>
      <c r="BE1542"/>
      <c r="BF1542" s="1"/>
      <c r="BG1542"/>
      <c r="BH1542"/>
      <c r="BI1542"/>
      <c r="BJ1542"/>
      <c r="BK1542"/>
      <c r="BL1542"/>
      <c r="BM1542"/>
      <c r="BN1542"/>
      <c r="BO1542"/>
    </row>
    <row r="1543" spans="8:67" s="2" customFormat="1">
      <c r="H1543" s="202"/>
      <c r="I1543" s="10"/>
      <c r="J1543" s="10"/>
      <c r="K1543" s="10"/>
      <c r="L1543" s="20"/>
      <c r="M1543" s="31"/>
      <c r="N1543" s="39"/>
      <c r="O1543" s="39"/>
      <c r="P1543" s="39"/>
      <c r="Q1543" s="39"/>
      <c r="R1543" s="39"/>
      <c r="S1543" s="39"/>
      <c r="T1543" s="39"/>
      <c r="U1543" s="39"/>
      <c r="V1543" s="39"/>
      <c r="W1543" s="39"/>
      <c r="X1543" s="39"/>
      <c r="Y1543" s="51"/>
      <c r="Z1543" s="51"/>
      <c r="AA1543"/>
      <c r="AB1543"/>
      <c r="AC1543"/>
      <c r="AD1543"/>
      <c r="AE1543"/>
      <c r="AF1543"/>
      <c r="AG1543"/>
      <c r="AH1543"/>
      <c r="AI1543"/>
      <c r="AJ1543" s="185"/>
      <c r="AK1543" s="185"/>
      <c r="AL1543" s="185"/>
      <c r="AM1543" s="185"/>
      <c r="AN1543"/>
      <c r="AO1543" s="1"/>
      <c r="AP1543" s="1"/>
      <c r="AQ1543" s="1"/>
      <c r="AR1543" s="1"/>
      <c r="AS1543"/>
      <c r="AT1543"/>
      <c r="AU1543"/>
      <c r="AV1543"/>
      <c r="AW1543"/>
      <c r="AX1543"/>
      <c r="AY1543"/>
      <c r="AZ1543" s="1"/>
      <c r="BA1543"/>
      <c r="BB1543"/>
      <c r="BC1543"/>
      <c r="BD1543"/>
      <c r="BE1543"/>
      <c r="BF1543" s="1"/>
      <c r="BG1543"/>
      <c r="BH1543"/>
      <c r="BI1543"/>
      <c r="BJ1543"/>
      <c r="BK1543"/>
      <c r="BL1543"/>
      <c r="BM1543"/>
      <c r="BN1543"/>
      <c r="BO1543"/>
    </row>
    <row r="1544" spans="8:67" s="2" customFormat="1">
      <c r="H1544" s="202"/>
      <c r="I1544" s="10"/>
      <c r="J1544" s="10"/>
      <c r="K1544" s="10"/>
      <c r="L1544" s="20"/>
      <c r="M1544" s="31"/>
      <c r="N1544" s="39"/>
      <c r="O1544" s="39"/>
      <c r="P1544" s="39"/>
      <c r="Q1544" s="39"/>
      <c r="R1544" s="39"/>
      <c r="S1544" s="39"/>
      <c r="T1544" s="39"/>
      <c r="U1544" s="39"/>
      <c r="V1544" s="39"/>
      <c r="W1544" s="39"/>
      <c r="X1544" s="39"/>
      <c r="Y1544" s="51"/>
      <c r="Z1544" s="51"/>
      <c r="AA1544"/>
      <c r="AB1544"/>
      <c r="AC1544"/>
      <c r="AD1544"/>
      <c r="AE1544"/>
      <c r="AF1544"/>
      <c r="AG1544"/>
      <c r="AH1544"/>
      <c r="AI1544"/>
      <c r="AJ1544" s="185"/>
      <c r="AK1544" s="185"/>
      <c r="AL1544" s="185"/>
      <c r="AM1544" s="185"/>
      <c r="AN1544"/>
      <c r="AO1544" s="1"/>
      <c r="AP1544" s="1"/>
      <c r="AQ1544" s="1"/>
      <c r="AR1544" s="1"/>
      <c r="AS1544"/>
      <c r="AT1544"/>
      <c r="AU1544"/>
      <c r="AV1544"/>
      <c r="AW1544"/>
      <c r="AX1544"/>
      <c r="AY1544"/>
      <c r="AZ1544" s="1"/>
      <c r="BA1544"/>
      <c r="BB1544"/>
      <c r="BC1544"/>
      <c r="BD1544"/>
      <c r="BE1544"/>
      <c r="BF1544" s="1"/>
      <c r="BG1544"/>
      <c r="BH1544"/>
      <c r="BI1544"/>
      <c r="BJ1544"/>
      <c r="BK1544"/>
      <c r="BL1544"/>
      <c r="BM1544"/>
      <c r="BN1544"/>
      <c r="BO1544"/>
    </row>
    <row r="1545" spans="8:67" s="2" customFormat="1">
      <c r="H1545" s="202"/>
      <c r="I1545" s="10"/>
      <c r="J1545" s="10"/>
      <c r="K1545" s="10"/>
      <c r="L1545" s="20"/>
      <c r="M1545" s="31"/>
      <c r="N1545" s="39"/>
      <c r="O1545" s="39"/>
      <c r="P1545" s="39"/>
      <c r="Q1545" s="39"/>
      <c r="R1545" s="39"/>
      <c r="S1545" s="39"/>
      <c r="T1545" s="39"/>
      <c r="U1545" s="39"/>
      <c r="V1545" s="39"/>
      <c r="W1545" s="39"/>
      <c r="X1545" s="39"/>
      <c r="Y1545" s="51"/>
      <c r="Z1545" s="51"/>
      <c r="AA1545"/>
      <c r="AB1545"/>
      <c r="AC1545"/>
      <c r="AD1545"/>
      <c r="AE1545"/>
      <c r="AF1545"/>
      <c r="AG1545"/>
      <c r="AH1545"/>
      <c r="AI1545"/>
      <c r="AJ1545" s="185"/>
      <c r="AK1545" s="185"/>
      <c r="AL1545" s="185"/>
      <c r="AM1545" s="185"/>
      <c r="AN1545"/>
      <c r="AO1545" s="1"/>
      <c r="AP1545" s="1"/>
      <c r="AQ1545" s="1"/>
      <c r="AR1545" s="1"/>
      <c r="AS1545"/>
      <c r="AT1545"/>
      <c r="AU1545"/>
      <c r="AV1545"/>
      <c r="AW1545"/>
      <c r="AX1545"/>
      <c r="AY1545"/>
      <c r="AZ1545" s="1"/>
      <c r="BA1545"/>
      <c r="BB1545"/>
      <c r="BC1545"/>
      <c r="BD1545"/>
      <c r="BE1545"/>
      <c r="BF1545" s="1"/>
      <c r="BG1545"/>
      <c r="BH1545"/>
      <c r="BI1545"/>
      <c r="BJ1545"/>
      <c r="BK1545"/>
      <c r="BL1545"/>
      <c r="BM1545"/>
      <c r="BN1545"/>
      <c r="BO1545"/>
    </row>
    <row r="1546" spans="8:67" s="2" customFormat="1">
      <c r="H1546" s="202"/>
      <c r="I1546" s="10"/>
      <c r="J1546" s="10"/>
      <c r="K1546" s="10"/>
      <c r="L1546" s="20"/>
      <c r="M1546" s="31"/>
      <c r="N1546" s="39"/>
      <c r="O1546" s="39"/>
      <c r="P1546" s="39"/>
      <c r="Q1546" s="39"/>
      <c r="R1546" s="39"/>
      <c r="S1546" s="39"/>
      <c r="T1546" s="39"/>
      <c r="U1546" s="39"/>
      <c r="V1546" s="39"/>
      <c r="W1546" s="39"/>
      <c r="X1546" s="39"/>
      <c r="Y1546" s="51"/>
      <c r="Z1546" s="51"/>
      <c r="AA1546"/>
      <c r="AB1546"/>
      <c r="AC1546"/>
      <c r="AD1546"/>
      <c r="AE1546"/>
      <c r="AF1546"/>
      <c r="AG1546"/>
      <c r="AH1546"/>
      <c r="AI1546"/>
      <c r="AJ1546" s="185"/>
      <c r="AK1546" s="185"/>
      <c r="AL1546" s="185"/>
      <c r="AM1546" s="185"/>
      <c r="AN1546"/>
      <c r="AO1546" s="1"/>
      <c r="AP1546" s="1"/>
      <c r="AQ1546" s="1"/>
      <c r="AR1546" s="1"/>
      <c r="AS1546"/>
      <c r="AT1546"/>
      <c r="AU1546"/>
      <c r="AV1546"/>
      <c r="AW1546"/>
      <c r="AX1546"/>
      <c r="AY1546"/>
      <c r="AZ1546" s="1"/>
      <c r="BA1546"/>
      <c r="BB1546"/>
      <c r="BC1546"/>
      <c r="BD1546"/>
      <c r="BE1546"/>
      <c r="BF1546" s="1"/>
      <c r="BG1546"/>
      <c r="BH1546"/>
      <c r="BI1546"/>
      <c r="BJ1546"/>
      <c r="BK1546"/>
      <c r="BL1546"/>
      <c r="BM1546"/>
      <c r="BN1546"/>
      <c r="BO1546"/>
    </row>
    <row r="1547" spans="8:67" s="2" customFormat="1">
      <c r="H1547" s="202"/>
      <c r="I1547" s="10"/>
      <c r="J1547" s="10"/>
      <c r="K1547" s="10"/>
      <c r="L1547" s="20"/>
      <c r="M1547" s="31"/>
      <c r="N1547" s="39"/>
      <c r="O1547" s="39"/>
      <c r="P1547" s="39"/>
      <c r="Q1547" s="39"/>
      <c r="R1547" s="39"/>
      <c r="S1547" s="39"/>
      <c r="T1547" s="39"/>
      <c r="U1547" s="39"/>
      <c r="V1547" s="39"/>
      <c r="W1547" s="39"/>
      <c r="X1547" s="39"/>
      <c r="Y1547" s="51"/>
      <c r="Z1547" s="51"/>
      <c r="AA1547"/>
      <c r="AB1547"/>
      <c r="AC1547"/>
      <c r="AD1547"/>
      <c r="AE1547"/>
      <c r="AF1547"/>
      <c r="AG1547"/>
      <c r="AH1547"/>
      <c r="AI1547"/>
      <c r="AJ1547" s="185"/>
      <c r="AK1547" s="185"/>
      <c r="AL1547" s="185"/>
      <c r="AM1547" s="185"/>
      <c r="AN1547"/>
      <c r="AO1547" s="1"/>
      <c r="AP1547" s="1"/>
      <c r="AQ1547" s="1"/>
      <c r="AR1547" s="1"/>
      <c r="AS1547"/>
      <c r="AT1547"/>
      <c r="AU1547"/>
      <c r="AV1547"/>
      <c r="AW1547"/>
      <c r="AX1547"/>
      <c r="AY1547"/>
      <c r="AZ1547" s="1"/>
      <c r="BA1547"/>
      <c r="BB1547"/>
      <c r="BC1547"/>
      <c r="BD1547"/>
      <c r="BE1547"/>
      <c r="BF1547" s="1"/>
      <c r="BG1547"/>
      <c r="BH1547"/>
      <c r="BI1547"/>
      <c r="BJ1547"/>
      <c r="BK1547"/>
      <c r="BL1547"/>
      <c r="BM1547"/>
      <c r="BN1547"/>
      <c r="BO1547"/>
    </row>
    <row r="1548" spans="8:67" s="2" customFormat="1">
      <c r="H1548" s="202"/>
      <c r="I1548" s="10"/>
      <c r="J1548" s="10"/>
      <c r="K1548" s="10"/>
      <c r="L1548" s="20"/>
      <c r="M1548" s="31"/>
      <c r="N1548" s="39"/>
      <c r="O1548" s="39"/>
      <c r="P1548" s="39"/>
      <c r="Q1548" s="39"/>
      <c r="R1548" s="39"/>
      <c r="S1548" s="39"/>
      <c r="T1548" s="39"/>
      <c r="U1548" s="39"/>
      <c r="V1548" s="39"/>
      <c r="W1548" s="39"/>
      <c r="X1548" s="39"/>
      <c r="Y1548" s="51"/>
      <c r="Z1548" s="51"/>
      <c r="AA1548"/>
      <c r="AB1548"/>
      <c r="AC1548"/>
      <c r="AD1548"/>
      <c r="AE1548"/>
      <c r="AF1548"/>
      <c r="AG1548"/>
      <c r="AH1548"/>
      <c r="AI1548"/>
      <c r="AJ1548" s="185"/>
      <c r="AK1548" s="185"/>
      <c r="AL1548" s="185"/>
      <c r="AM1548" s="185"/>
      <c r="AN1548"/>
      <c r="AO1548" s="1"/>
      <c r="AP1548" s="1"/>
      <c r="AQ1548" s="1"/>
      <c r="AR1548" s="1"/>
      <c r="AS1548"/>
      <c r="AT1548"/>
      <c r="AU1548"/>
      <c r="AV1548"/>
      <c r="AW1548"/>
      <c r="AX1548"/>
      <c r="AY1548"/>
      <c r="AZ1548" s="1"/>
      <c r="BA1548"/>
      <c r="BB1548"/>
      <c r="BC1548"/>
      <c r="BD1548"/>
      <c r="BE1548"/>
      <c r="BF1548" s="1"/>
      <c r="BG1548"/>
      <c r="BH1548"/>
      <c r="BI1548"/>
      <c r="BJ1548"/>
      <c r="BK1548"/>
      <c r="BL1548"/>
      <c r="BM1548"/>
      <c r="BN1548"/>
      <c r="BO1548"/>
    </row>
    <row r="1549" spans="8:67" s="2" customFormat="1">
      <c r="H1549" s="202"/>
      <c r="I1549" s="10"/>
      <c r="J1549" s="10"/>
      <c r="K1549" s="10"/>
      <c r="L1549" s="20"/>
      <c r="M1549" s="31"/>
      <c r="N1549" s="39"/>
      <c r="O1549" s="39"/>
      <c r="P1549" s="39"/>
      <c r="Q1549" s="39"/>
      <c r="R1549" s="39"/>
      <c r="S1549" s="39"/>
      <c r="T1549" s="39"/>
      <c r="U1549" s="39"/>
      <c r="V1549" s="39"/>
      <c r="W1549" s="39"/>
      <c r="X1549" s="39"/>
      <c r="Y1549" s="51"/>
      <c r="Z1549" s="51"/>
      <c r="AA1549"/>
      <c r="AB1549"/>
      <c r="AC1549"/>
      <c r="AD1549"/>
      <c r="AE1549"/>
      <c r="AF1549"/>
      <c r="AG1549"/>
      <c r="AH1549"/>
      <c r="AI1549"/>
      <c r="AJ1549" s="185"/>
      <c r="AK1549" s="185"/>
      <c r="AL1549" s="185"/>
      <c r="AM1549" s="185"/>
      <c r="AN1549"/>
      <c r="AO1549" s="1"/>
      <c r="AP1549" s="1"/>
      <c r="AQ1549" s="1"/>
      <c r="AR1549" s="1"/>
      <c r="AS1549"/>
      <c r="AT1549"/>
      <c r="AU1549"/>
      <c r="AV1549"/>
      <c r="AW1549"/>
      <c r="AX1549"/>
      <c r="AY1549"/>
      <c r="AZ1549" s="1"/>
      <c r="BA1549"/>
      <c r="BB1549"/>
      <c r="BC1549"/>
      <c r="BD1549"/>
      <c r="BE1549"/>
      <c r="BF1549" s="1"/>
      <c r="BG1549"/>
      <c r="BH1549"/>
      <c r="BI1549"/>
      <c r="BJ1549"/>
      <c r="BK1549"/>
      <c r="BL1549"/>
      <c r="BM1549"/>
      <c r="BN1549"/>
      <c r="BO1549"/>
    </row>
    <row r="1550" spans="8:67" s="2" customFormat="1">
      <c r="H1550" s="202"/>
      <c r="I1550" s="10"/>
      <c r="J1550" s="10"/>
      <c r="K1550" s="10"/>
      <c r="L1550" s="20"/>
      <c r="M1550" s="31"/>
      <c r="N1550" s="39"/>
      <c r="O1550" s="39"/>
      <c r="P1550" s="39"/>
      <c r="Q1550" s="39"/>
      <c r="R1550" s="39"/>
      <c r="S1550" s="39"/>
      <c r="T1550" s="39"/>
      <c r="U1550" s="39"/>
      <c r="V1550" s="39"/>
      <c r="W1550" s="39"/>
      <c r="X1550" s="39"/>
      <c r="Y1550" s="51"/>
      <c r="Z1550" s="51"/>
      <c r="AA1550"/>
      <c r="AB1550"/>
      <c r="AC1550"/>
      <c r="AD1550"/>
      <c r="AE1550"/>
      <c r="AF1550"/>
      <c r="AG1550"/>
      <c r="AH1550"/>
      <c r="AI1550"/>
      <c r="AJ1550" s="185"/>
      <c r="AK1550" s="185"/>
      <c r="AL1550" s="185"/>
      <c r="AM1550" s="185"/>
      <c r="AN1550"/>
      <c r="AO1550" s="1"/>
      <c r="AP1550" s="1"/>
      <c r="AQ1550" s="1"/>
      <c r="AR1550" s="1"/>
      <c r="AS1550"/>
      <c r="AT1550"/>
      <c r="AU1550"/>
      <c r="AV1550"/>
      <c r="AW1550"/>
      <c r="AX1550"/>
      <c r="AY1550"/>
      <c r="AZ1550" s="1"/>
      <c r="BA1550"/>
      <c r="BB1550"/>
      <c r="BC1550"/>
      <c r="BD1550"/>
      <c r="BE1550"/>
      <c r="BF1550" s="1"/>
      <c r="BG1550"/>
      <c r="BH1550"/>
      <c r="BI1550"/>
      <c r="BJ1550"/>
      <c r="BK1550"/>
      <c r="BL1550"/>
      <c r="BM1550"/>
      <c r="BN1550"/>
      <c r="BO1550"/>
    </row>
    <row r="1551" spans="8:67" s="2" customFormat="1">
      <c r="H1551" s="202"/>
      <c r="I1551" s="10"/>
      <c r="J1551" s="10"/>
      <c r="K1551" s="10"/>
      <c r="L1551" s="20"/>
      <c r="M1551" s="31"/>
      <c r="N1551" s="39"/>
      <c r="O1551" s="39"/>
      <c r="P1551" s="39"/>
      <c r="Q1551" s="39"/>
      <c r="R1551" s="39"/>
      <c r="S1551" s="39"/>
      <c r="T1551" s="39"/>
      <c r="U1551" s="39"/>
      <c r="V1551" s="39"/>
      <c r="W1551" s="39"/>
      <c r="X1551" s="39"/>
      <c r="Y1551" s="51"/>
      <c r="Z1551" s="51"/>
      <c r="AA1551"/>
      <c r="AB1551"/>
      <c r="AC1551"/>
      <c r="AD1551"/>
      <c r="AE1551"/>
      <c r="AF1551"/>
      <c r="AG1551"/>
      <c r="AH1551"/>
      <c r="AI1551"/>
      <c r="AJ1551" s="185"/>
      <c r="AK1551" s="185"/>
      <c r="AL1551" s="185"/>
      <c r="AM1551" s="185"/>
      <c r="AN1551"/>
      <c r="AO1551" s="1"/>
      <c r="AP1551" s="1"/>
      <c r="AQ1551" s="1"/>
      <c r="AR1551" s="1"/>
      <c r="AS1551"/>
      <c r="AT1551"/>
      <c r="AU1551"/>
      <c r="AV1551"/>
      <c r="AW1551"/>
      <c r="AX1551"/>
      <c r="AY1551"/>
      <c r="AZ1551" s="1"/>
      <c r="BA1551"/>
      <c r="BB1551"/>
      <c r="BC1551"/>
      <c r="BD1551"/>
      <c r="BE1551"/>
      <c r="BF1551" s="1"/>
      <c r="BG1551"/>
      <c r="BH1551"/>
      <c r="BI1551"/>
      <c r="BJ1551"/>
      <c r="BK1551"/>
      <c r="BL1551"/>
      <c r="BM1551"/>
      <c r="BN1551"/>
      <c r="BO1551"/>
    </row>
    <row r="1552" spans="8:67" s="2" customFormat="1">
      <c r="H1552" s="202"/>
      <c r="I1552" s="10"/>
      <c r="J1552" s="10"/>
      <c r="K1552" s="10"/>
      <c r="L1552" s="20"/>
      <c r="M1552" s="31"/>
      <c r="N1552" s="39"/>
      <c r="O1552" s="39"/>
      <c r="P1552" s="39"/>
      <c r="Q1552" s="39"/>
      <c r="R1552" s="39"/>
      <c r="S1552" s="39"/>
      <c r="T1552" s="39"/>
      <c r="U1552" s="39"/>
      <c r="V1552" s="39"/>
      <c r="W1552" s="39"/>
      <c r="X1552" s="39"/>
      <c r="Y1552" s="51"/>
      <c r="Z1552" s="51"/>
      <c r="AA1552"/>
      <c r="AB1552"/>
      <c r="AC1552"/>
      <c r="AD1552"/>
      <c r="AE1552"/>
      <c r="AF1552"/>
      <c r="AG1552"/>
      <c r="AH1552"/>
      <c r="AI1552"/>
      <c r="AJ1552" s="185"/>
      <c r="AK1552" s="185"/>
      <c r="AL1552" s="185"/>
      <c r="AM1552" s="185"/>
      <c r="AN1552"/>
      <c r="AO1552" s="1"/>
      <c r="AP1552" s="1"/>
      <c r="AQ1552" s="1"/>
      <c r="AR1552" s="1"/>
      <c r="AS1552"/>
      <c r="AT1552"/>
      <c r="AU1552"/>
      <c r="AV1552"/>
      <c r="AW1552"/>
      <c r="AX1552"/>
      <c r="AY1552"/>
      <c r="AZ1552" s="1"/>
      <c r="BA1552"/>
      <c r="BB1552"/>
      <c r="BC1552"/>
      <c r="BD1552"/>
      <c r="BE1552"/>
      <c r="BF1552" s="1"/>
      <c r="BG1552"/>
      <c r="BH1552"/>
      <c r="BI1552"/>
      <c r="BJ1552"/>
      <c r="BK1552"/>
      <c r="BL1552"/>
      <c r="BM1552"/>
      <c r="BN1552"/>
      <c r="BO1552"/>
    </row>
    <row r="1553" spans="8:67" s="2" customFormat="1">
      <c r="H1553" s="202"/>
      <c r="I1553" s="10"/>
      <c r="J1553" s="10"/>
      <c r="K1553" s="10"/>
      <c r="L1553" s="20"/>
      <c r="M1553" s="31"/>
      <c r="N1553" s="39"/>
      <c r="O1553" s="39"/>
      <c r="P1553" s="39"/>
      <c r="Q1553" s="39"/>
      <c r="R1553" s="39"/>
      <c r="S1553" s="39"/>
      <c r="T1553" s="39"/>
      <c r="U1553" s="39"/>
      <c r="V1553" s="39"/>
      <c r="W1553" s="39"/>
      <c r="X1553" s="39"/>
      <c r="Y1553" s="51"/>
      <c r="Z1553" s="51"/>
      <c r="AA1553"/>
      <c r="AB1553"/>
      <c r="AC1553"/>
      <c r="AD1553"/>
      <c r="AE1553"/>
      <c r="AF1553"/>
      <c r="AG1553"/>
      <c r="AH1553"/>
      <c r="AI1553"/>
      <c r="AJ1553" s="185"/>
      <c r="AK1553" s="185"/>
      <c r="AL1553" s="185"/>
      <c r="AM1553" s="185"/>
      <c r="AN1553"/>
      <c r="AO1553" s="1"/>
      <c r="AP1553" s="1"/>
      <c r="AQ1553" s="1"/>
      <c r="AR1553" s="1"/>
      <c r="AS1553"/>
      <c r="AT1553"/>
      <c r="AU1553"/>
      <c r="AV1553"/>
      <c r="AW1553"/>
      <c r="AX1553"/>
      <c r="AY1553"/>
      <c r="AZ1553" s="1"/>
      <c r="BA1553"/>
      <c r="BB1553"/>
      <c r="BC1553"/>
      <c r="BD1553"/>
      <c r="BE1553"/>
      <c r="BF1553" s="1"/>
      <c r="BG1553"/>
      <c r="BH1553"/>
      <c r="BI1553"/>
      <c r="BJ1553"/>
      <c r="BK1553"/>
      <c r="BL1553"/>
      <c r="BM1553"/>
      <c r="BN1553"/>
      <c r="BO1553"/>
    </row>
    <row r="1554" spans="8:67" s="2" customFormat="1">
      <c r="H1554" s="202"/>
      <c r="I1554" s="10"/>
      <c r="J1554" s="10"/>
      <c r="K1554" s="10"/>
      <c r="L1554" s="20"/>
      <c r="M1554" s="31"/>
      <c r="N1554" s="39"/>
      <c r="O1554" s="39"/>
      <c r="P1554" s="39"/>
      <c r="Q1554" s="39"/>
      <c r="R1554" s="39"/>
      <c r="S1554" s="39"/>
      <c r="T1554" s="39"/>
      <c r="U1554" s="39"/>
      <c r="V1554" s="39"/>
      <c r="W1554" s="39"/>
      <c r="X1554" s="39"/>
      <c r="Y1554" s="51"/>
      <c r="Z1554" s="51"/>
      <c r="AA1554"/>
      <c r="AB1554"/>
      <c r="AC1554"/>
      <c r="AD1554"/>
      <c r="AE1554"/>
      <c r="AF1554"/>
      <c r="AG1554"/>
      <c r="AH1554"/>
      <c r="AI1554"/>
      <c r="AJ1554" s="185"/>
      <c r="AK1554" s="185"/>
      <c r="AL1554" s="185"/>
      <c r="AM1554" s="185"/>
      <c r="AN1554"/>
      <c r="AO1554" s="1"/>
      <c r="AP1554" s="1"/>
      <c r="AQ1554" s="1"/>
      <c r="AR1554" s="1"/>
      <c r="AS1554"/>
      <c r="AT1554"/>
      <c r="AU1554"/>
      <c r="AV1554"/>
      <c r="AW1554"/>
      <c r="AX1554"/>
      <c r="AY1554"/>
      <c r="AZ1554" s="1"/>
      <c r="BA1554"/>
      <c r="BB1554"/>
      <c r="BC1554"/>
      <c r="BD1554"/>
      <c r="BE1554"/>
      <c r="BF1554" s="1"/>
      <c r="BG1554"/>
      <c r="BH1554"/>
      <c r="BI1554"/>
      <c r="BJ1554"/>
      <c r="BK1554"/>
      <c r="BL1554"/>
      <c r="BM1554"/>
      <c r="BN1554"/>
      <c r="BO1554"/>
    </row>
    <row r="1555" spans="8:67" s="2" customFormat="1">
      <c r="H1555" s="202"/>
      <c r="I1555" s="10"/>
      <c r="J1555" s="10"/>
      <c r="K1555" s="10"/>
      <c r="L1555" s="20"/>
      <c r="M1555" s="31"/>
      <c r="N1555" s="39"/>
      <c r="O1555" s="39"/>
      <c r="P1555" s="39"/>
      <c r="Q1555" s="39"/>
      <c r="R1555" s="39"/>
      <c r="S1555" s="39"/>
      <c r="T1555" s="39"/>
      <c r="U1555" s="39"/>
      <c r="V1555" s="39"/>
      <c r="W1555" s="39"/>
      <c r="X1555" s="39"/>
      <c r="Y1555" s="51"/>
      <c r="Z1555" s="51"/>
      <c r="AA1555"/>
      <c r="AB1555"/>
      <c r="AC1555"/>
      <c r="AD1555"/>
      <c r="AE1555"/>
      <c r="AF1555"/>
      <c r="AG1555"/>
      <c r="AH1555"/>
      <c r="AI1555"/>
      <c r="AJ1555" s="185"/>
      <c r="AK1555" s="185"/>
      <c r="AL1555" s="185"/>
      <c r="AM1555" s="185"/>
      <c r="AN1555"/>
      <c r="AO1555" s="1"/>
      <c r="AP1555" s="1"/>
      <c r="AQ1555" s="1"/>
      <c r="AR1555" s="1"/>
      <c r="AS1555"/>
      <c r="AT1555"/>
      <c r="AU1555"/>
      <c r="AV1555"/>
      <c r="AW1555"/>
      <c r="AX1555"/>
      <c r="AY1555"/>
      <c r="AZ1555" s="1"/>
      <c r="BA1555"/>
      <c r="BB1555"/>
      <c r="BC1555"/>
      <c r="BD1555"/>
      <c r="BE1555"/>
      <c r="BF1555" s="1"/>
      <c r="BG1555"/>
      <c r="BH1555"/>
      <c r="BI1555"/>
      <c r="BJ1555"/>
      <c r="BK1555"/>
      <c r="BL1555"/>
      <c r="BM1555"/>
      <c r="BN1555"/>
      <c r="BO1555"/>
    </row>
    <row r="1556" spans="8:67" s="2" customFormat="1">
      <c r="H1556" s="202"/>
      <c r="I1556" s="10"/>
      <c r="J1556" s="10"/>
      <c r="K1556" s="10"/>
      <c r="L1556" s="20"/>
      <c r="M1556" s="31"/>
      <c r="N1556" s="39"/>
      <c r="O1556" s="39"/>
      <c r="P1556" s="39"/>
      <c r="Q1556" s="39"/>
      <c r="R1556" s="39"/>
      <c r="S1556" s="39"/>
      <c r="T1556" s="39"/>
      <c r="U1556" s="39"/>
      <c r="V1556" s="39"/>
      <c r="W1556" s="39"/>
      <c r="X1556" s="39"/>
      <c r="Y1556" s="51"/>
      <c r="Z1556" s="51"/>
      <c r="AA1556"/>
      <c r="AB1556"/>
      <c r="AC1556"/>
      <c r="AD1556"/>
      <c r="AE1556"/>
      <c r="AF1556"/>
      <c r="AG1556"/>
      <c r="AH1556"/>
      <c r="AI1556"/>
      <c r="AJ1556" s="185"/>
      <c r="AK1556" s="185"/>
      <c r="AL1556" s="185"/>
      <c r="AM1556" s="185"/>
      <c r="AN1556"/>
      <c r="AO1556" s="1"/>
      <c r="AP1556" s="1"/>
      <c r="AQ1556" s="1"/>
      <c r="AR1556" s="1"/>
      <c r="AS1556"/>
      <c r="AT1556"/>
      <c r="AU1556"/>
      <c r="AV1556"/>
      <c r="AW1556"/>
      <c r="AX1556"/>
      <c r="AY1556"/>
      <c r="AZ1556" s="1"/>
      <c r="BA1556"/>
      <c r="BB1556"/>
      <c r="BC1556"/>
      <c r="BD1556"/>
      <c r="BE1556"/>
      <c r="BF1556" s="1"/>
      <c r="BG1556"/>
      <c r="BH1556"/>
      <c r="BI1556"/>
      <c r="BJ1556"/>
      <c r="BK1556"/>
      <c r="BL1556"/>
      <c r="BM1556"/>
      <c r="BN1556"/>
      <c r="BO1556"/>
    </row>
    <row r="1557" spans="8:67" s="2" customFormat="1">
      <c r="H1557" s="202"/>
      <c r="I1557" s="10"/>
      <c r="J1557" s="10"/>
      <c r="K1557" s="10"/>
      <c r="L1557" s="20"/>
      <c r="M1557" s="31"/>
      <c r="N1557" s="39"/>
      <c r="O1557" s="39"/>
      <c r="P1557" s="39"/>
      <c r="Q1557" s="39"/>
      <c r="R1557" s="39"/>
      <c r="S1557" s="39"/>
      <c r="T1557" s="39"/>
      <c r="U1557" s="39"/>
      <c r="V1557" s="39"/>
      <c r="W1557" s="39"/>
      <c r="X1557" s="39"/>
      <c r="Y1557" s="51"/>
      <c r="Z1557" s="51"/>
      <c r="AA1557"/>
      <c r="AB1557"/>
      <c r="AC1557"/>
      <c r="AD1557"/>
      <c r="AE1557"/>
      <c r="AF1557"/>
      <c r="AG1557"/>
      <c r="AH1557"/>
      <c r="AI1557"/>
      <c r="AJ1557" s="185"/>
      <c r="AK1557" s="185"/>
      <c r="AL1557" s="185"/>
      <c r="AM1557" s="185"/>
      <c r="AN1557"/>
      <c r="AO1557" s="1"/>
      <c r="AP1557" s="1"/>
      <c r="AQ1557" s="1"/>
      <c r="AR1557" s="1"/>
      <c r="AS1557"/>
      <c r="AT1557"/>
      <c r="AU1557"/>
      <c r="AV1557"/>
      <c r="AW1557"/>
      <c r="AX1557"/>
      <c r="AY1557"/>
      <c r="AZ1557" s="1"/>
      <c r="BA1557"/>
      <c r="BB1557"/>
      <c r="BC1557"/>
      <c r="BD1557"/>
      <c r="BE1557"/>
      <c r="BF1557" s="1"/>
      <c r="BG1557"/>
      <c r="BH1557"/>
      <c r="BI1557"/>
      <c r="BJ1557"/>
      <c r="BK1557"/>
      <c r="BL1557"/>
      <c r="BM1557"/>
      <c r="BN1557"/>
      <c r="BO1557"/>
    </row>
    <row r="1558" spans="8:67" s="2" customFormat="1">
      <c r="H1558" s="202"/>
      <c r="I1558" s="10"/>
      <c r="J1558" s="10"/>
      <c r="K1558" s="10"/>
      <c r="L1558" s="20"/>
      <c r="M1558" s="31"/>
      <c r="N1558" s="39"/>
      <c r="O1558" s="39"/>
      <c r="P1558" s="39"/>
      <c r="Q1558" s="39"/>
      <c r="R1558" s="39"/>
      <c r="S1558" s="39"/>
      <c r="T1558" s="39"/>
      <c r="U1558" s="39"/>
      <c r="V1558" s="39"/>
      <c r="W1558" s="39"/>
      <c r="X1558" s="39"/>
      <c r="Y1558" s="51"/>
      <c r="Z1558" s="51"/>
      <c r="AA1558"/>
      <c r="AB1558"/>
      <c r="AC1558"/>
      <c r="AD1558"/>
      <c r="AE1558"/>
      <c r="AF1558"/>
      <c r="AG1558"/>
      <c r="AH1558"/>
      <c r="AI1558"/>
      <c r="AJ1558" s="185"/>
      <c r="AK1558" s="185"/>
      <c r="AL1558" s="185"/>
      <c r="AM1558" s="185"/>
      <c r="AN1558"/>
      <c r="AO1558" s="1"/>
      <c r="AP1558" s="1"/>
      <c r="AQ1558" s="1"/>
      <c r="AR1558" s="1"/>
      <c r="AS1558"/>
      <c r="AT1558"/>
      <c r="AU1558"/>
      <c r="AV1558"/>
      <c r="AW1558"/>
      <c r="AX1558"/>
      <c r="AY1558"/>
      <c r="AZ1558" s="1"/>
      <c r="BA1558"/>
      <c r="BB1558"/>
      <c r="BC1558"/>
      <c r="BD1558"/>
      <c r="BE1558"/>
      <c r="BF1558" s="1"/>
      <c r="BG1558"/>
      <c r="BH1558"/>
      <c r="BI1558"/>
      <c r="BJ1558"/>
      <c r="BK1558"/>
      <c r="BL1558"/>
      <c r="BM1558"/>
      <c r="BN1558"/>
      <c r="BO1558"/>
    </row>
    <row r="1559" spans="8:67" s="2" customFormat="1">
      <c r="H1559" s="202"/>
      <c r="I1559" s="10"/>
      <c r="J1559" s="10"/>
      <c r="K1559" s="10"/>
      <c r="L1559" s="20"/>
      <c r="M1559" s="31"/>
      <c r="N1559" s="39"/>
      <c r="O1559" s="39"/>
      <c r="P1559" s="39"/>
      <c r="Q1559" s="39"/>
      <c r="R1559" s="39"/>
      <c r="S1559" s="39"/>
      <c r="T1559" s="39"/>
      <c r="U1559" s="39"/>
      <c r="V1559" s="39"/>
      <c r="W1559" s="39"/>
      <c r="X1559" s="39"/>
      <c r="Y1559" s="51"/>
      <c r="Z1559" s="51"/>
      <c r="AA1559"/>
      <c r="AB1559"/>
      <c r="AC1559"/>
      <c r="AD1559"/>
      <c r="AE1559"/>
      <c r="AF1559"/>
      <c r="AG1559"/>
      <c r="AH1559"/>
      <c r="AI1559"/>
      <c r="AJ1559" s="185"/>
      <c r="AK1559" s="185"/>
      <c r="AL1559" s="185"/>
      <c r="AM1559" s="185"/>
      <c r="AN1559"/>
      <c r="AO1559" s="1"/>
      <c r="AP1559" s="1"/>
      <c r="AQ1559" s="1"/>
      <c r="AR1559" s="1"/>
      <c r="AS1559"/>
      <c r="AT1559"/>
      <c r="AU1559"/>
      <c r="AV1559"/>
      <c r="AW1559"/>
      <c r="AX1559"/>
      <c r="AY1559"/>
      <c r="AZ1559" s="1"/>
      <c r="BA1559"/>
      <c r="BB1559"/>
      <c r="BC1559"/>
      <c r="BD1559"/>
      <c r="BE1559"/>
      <c r="BF1559" s="1"/>
      <c r="BG1559"/>
      <c r="BH1559"/>
      <c r="BI1559"/>
      <c r="BJ1559"/>
      <c r="BK1559"/>
      <c r="BL1559"/>
      <c r="BM1559"/>
      <c r="BN1559"/>
      <c r="BO1559"/>
    </row>
    <row r="1560" spans="8:67" s="2" customFormat="1">
      <c r="H1560" s="202"/>
      <c r="I1560" s="10"/>
      <c r="J1560" s="10"/>
      <c r="K1560" s="10"/>
      <c r="L1560" s="20"/>
      <c r="M1560" s="31"/>
      <c r="N1560" s="39"/>
      <c r="O1560" s="39"/>
      <c r="P1560" s="39"/>
      <c r="Q1560" s="39"/>
      <c r="R1560" s="39"/>
      <c r="S1560" s="39"/>
      <c r="T1560" s="39"/>
      <c r="U1560" s="39"/>
      <c r="V1560" s="39"/>
      <c r="W1560" s="39"/>
      <c r="X1560" s="39"/>
      <c r="Y1560" s="51"/>
      <c r="Z1560" s="51"/>
      <c r="AA1560"/>
      <c r="AB1560"/>
      <c r="AC1560"/>
      <c r="AD1560"/>
      <c r="AE1560"/>
      <c r="AF1560"/>
      <c r="AG1560"/>
      <c r="AH1560"/>
      <c r="AI1560"/>
      <c r="AJ1560" s="185"/>
      <c r="AK1560" s="185"/>
      <c r="AL1560" s="185"/>
      <c r="AM1560" s="185"/>
      <c r="AN1560"/>
      <c r="AO1560" s="1"/>
      <c r="AP1560" s="1"/>
      <c r="AQ1560" s="1"/>
      <c r="AR1560" s="1"/>
      <c r="AS1560"/>
      <c r="AT1560"/>
      <c r="AU1560"/>
      <c r="AV1560"/>
      <c r="AW1560"/>
      <c r="AX1560"/>
      <c r="AY1560"/>
      <c r="AZ1560" s="1"/>
      <c r="BA1560"/>
      <c r="BB1560"/>
      <c r="BC1560"/>
      <c r="BD1560"/>
      <c r="BE1560"/>
      <c r="BF1560" s="1"/>
      <c r="BG1560"/>
      <c r="BH1560"/>
      <c r="BI1560"/>
      <c r="BJ1560"/>
      <c r="BK1560"/>
      <c r="BL1560"/>
      <c r="BM1560"/>
      <c r="BN1560"/>
      <c r="BO1560"/>
    </row>
    <row r="1561" spans="8:67" s="2" customFormat="1">
      <c r="H1561" s="202"/>
      <c r="I1561" s="10"/>
      <c r="J1561" s="10"/>
      <c r="K1561" s="10"/>
      <c r="L1561" s="20"/>
      <c r="M1561" s="31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51"/>
      <c r="Z1561" s="51"/>
      <c r="AA1561"/>
      <c r="AB1561"/>
      <c r="AC1561"/>
      <c r="AD1561"/>
      <c r="AE1561"/>
      <c r="AF1561"/>
      <c r="AG1561"/>
      <c r="AH1561"/>
      <c r="AI1561"/>
      <c r="AJ1561" s="185"/>
      <c r="AK1561" s="185"/>
      <c r="AL1561" s="185"/>
      <c r="AM1561" s="185"/>
      <c r="AN1561"/>
      <c r="AO1561" s="1"/>
      <c r="AP1561" s="1"/>
      <c r="AQ1561" s="1"/>
      <c r="AR1561" s="1"/>
      <c r="AS1561"/>
      <c r="AT1561"/>
      <c r="AU1561"/>
      <c r="AV1561"/>
      <c r="AW1561"/>
      <c r="AX1561"/>
      <c r="AY1561"/>
      <c r="AZ1561" s="1"/>
      <c r="BA1561"/>
      <c r="BB1561"/>
      <c r="BC1561"/>
      <c r="BD1561"/>
      <c r="BE1561"/>
      <c r="BF1561" s="1"/>
      <c r="BG1561"/>
      <c r="BH1561"/>
      <c r="BI1561"/>
      <c r="BJ1561"/>
      <c r="BK1561"/>
      <c r="BL1561"/>
      <c r="BM1561"/>
      <c r="BN1561"/>
      <c r="BO1561"/>
    </row>
    <row r="1562" spans="8:67" s="2" customFormat="1">
      <c r="H1562" s="202"/>
      <c r="I1562" s="10"/>
      <c r="J1562" s="10"/>
      <c r="K1562" s="10"/>
      <c r="L1562" s="20"/>
      <c r="M1562" s="31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  <c r="Y1562" s="51"/>
      <c r="Z1562" s="51"/>
      <c r="AA1562"/>
      <c r="AB1562"/>
      <c r="AC1562"/>
      <c r="AD1562"/>
      <c r="AE1562"/>
      <c r="AF1562"/>
      <c r="AG1562"/>
      <c r="AH1562"/>
      <c r="AI1562"/>
      <c r="AJ1562" s="185"/>
      <c r="AK1562" s="185"/>
      <c r="AL1562" s="185"/>
      <c r="AM1562" s="185"/>
      <c r="AN1562"/>
      <c r="AO1562" s="1"/>
      <c r="AP1562" s="1"/>
      <c r="AQ1562" s="1"/>
      <c r="AR1562" s="1"/>
      <c r="AS1562"/>
      <c r="AT1562"/>
      <c r="AU1562"/>
      <c r="AV1562"/>
      <c r="AW1562"/>
      <c r="AX1562"/>
      <c r="AY1562"/>
      <c r="AZ1562" s="1"/>
      <c r="BA1562"/>
      <c r="BB1562"/>
      <c r="BC1562"/>
      <c r="BD1562"/>
      <c r="BE1562"/>
      <c r="BF1562" s="1"/>
      <c r="BG1562"/>
      <c r="BH1562"/>
      <c r="BI1562"/>
      <c r="BJ1562"/>
      <c r="BK1562"/>
      <c r="BL1562"/>
      <c r="BM1562"/>
      <c r="BN1562"/>
      <c r="BO1562"/>
    </row>
    <row r="1563" spans="8:67" s="2" customFormat="1">
      <c r="H1563" s="202"/>
      <c r="I1563" s="10"/>
      <c r="J1563" s="10"/>
      <c r="K1563" s="10"/>
      <c r="L1563" s="20"/>
      <c r="M1563" s="31"/>
      <c r="N1563" s="39"/>
      <c r="O1563" s="39"/>
      <c r="P1563" s="39"/>
      <c r="Q1563" s="39"/>
      <c r="R1563" s="39"/>
      <c r="S1563" s="39"/>
      <c r="T1563" s="39"/>
      <c r="U1563" s="39"/>
      <c r="V1563" s="39"/>
      <c r="W1563" s="39"/>
      <c r="X1563" s="39"/>
      <c r="Y1563" s="51"/>
      <c r="Z1563" s="51"/>
      <c r="AA1563"/>
      <c r="AB1563"/>
      <c r="AC1563"/>
      <c r="AD1563"/>
      <c r="AE1563"/>
      <c r="AF1563"/>
      <c r="AG1563"/>
      <c r="AH1563"/>
      <c r="AI1563"/>
      <c r="AJ1563" s="185"/>
      <c r="AK1563" s="185"/>
      <c r="AL1563" s="185"/>
      <c r="AM1563" s="185"/>
      <c r="AN1563"/>
      <c r="AO1563" s="1"/>
      <c r="AP1563" s="1"/>
      <c r="AQ1563" s="1"/>
      <c r="AR1563" s="1"/>
      <c r="AS1563"/>
      <c r="AT1563"/>
      <c r="AU1563"/>
      <c r="AV1563"/>
      <c r="AW1563"/>
      <c r="AX1563"/>
      <c r="AY1563"/>
      <c r="AZ1563" s="1"/>
      <c r="BA1563"/>
      <c r="BB1563"/>
      <c r="BC1563"/>
      <c r="BD1563"/>
      <c r="BE1563"/>
      <c r="BF1563" s="1"/>
      <c r="BG1563"/>
      <c r="BH1563"/>
      <c r="BI1563"/>
      <c r="BJ1563"/>
      <c r="BK1563"/>
      <c r="BL1563"/>
      <c r="BM1563"/>
      <c r="BN1563"/>
      <c r="BO1563"/>
    </row>
    <row r="1564" spans="8:67" s="2" customFormat="1">
      <c r="H1564" s="202"/>
      <c r="I1564" s="10"/>
      <c r="J1564" s="10"/>
      <c r="K1564" s="10"/>
      <c r="L1564" s="20"/>
      <c r="M1564" s="31"/>
      <c r="N1564" s="39"/>
      <c r="O1564" s="39"/>
      <c r="P1564" s="39"/>
      <c r="Q1564" s="39"/>
      <c r="R1564" s="39"/>
      <c r="S1564" s="39"/>
      <c r="T1564" s="39"/>
      <c r="U1564" s="39"/>
      <c r="V1564" s="39"/>
      <c r="W1564" s="39"/>
      <c r="X1564" s="39"/>
      <c r="Y1564" s="51"/>
      <c r="Z1564" s="51"/>
      <c r="AA1564"/>
      <c r="AB1564"/>
      <c r="AC1564"/>
      <c r="AD1564"/>
      <c r="AE1564"/>
      <c r="AF1564"/>
      <c r="AG1564"/>
      <c r="AH1564"/>
      <c r="AI1564"/>
      <c r="AJ1564" s="185"/>
      <c r="AK1564" s="185"/>
      <c r="AL1564" s="185"/>
      <c r="AM1564" s="185"/>
      <c r="AN1564"/>
      <c r="AO1564" s="1"/>
      <c r="AP1564" s="1"/>
      <c r="AQ1564" s="1"/>
      <c r="AR1564" s="1"/>
      <c r="AS1564"/>
      <c r="AT1564"/>
      <c r="AU1564"/>
      <c r="AV1564"/>
      <c r="AW1564"/>
      <c r="AX1564"/>
      <c r="AY1564"/>
      <c r="AZ1564" s="1"/>
      <c r="BA1564"/>
      <c r="BB1564"/>
      <c r="BC1564"/>
      <c r="BD1564"/>
      <c r="BE1564"/>
      <c r="BF1564" s="1"/>
      <c r="BG1564"/>
      <c r="BH1564"/>
      <c r="BI1564"/>
      <c r="BJ1564"/>
      <c r="BK1564"/>
      <c r="BL1564"/>
      <c r="BM1564"/>
      <c r="BN1564"/>
      <c r="BO1564"/>
    </row>
    <row r="1565" spans="8:67" s="2" customFormat="1">
      <c r="H1565" s="202"/>
      <c r="I1565" s="10"/>
      <c r="J1565" s="10"/>
      <c r="K1565" s="10"/>
      <c r="L1565" s="20"/>
      <c r="M1565" s="31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51"/>
      <c r="Z1565" s="51"/>
      <c r="AA1565"/>
      <c r="AB1565"/>
      <c r="AC1565"/>
      <c r="AD1565"/>
      <c r="AE1565"/>
      <c r="AF1565"/>
      <c r="AG1565"/>
      <c r="AH1565"/>
      <c r="AI1565"/>
      <c r="AJ1565" s="185"/>
      <c r="AK1565" s="185"/>
      <c r="AL1565" s="185"/>
      <c r="AM1565" s="185"/>
      <c r="AN1565"/>
      <c r="AO1565" s="1"/>
      <c r="AP1565" s="1"/>
      <c r="AQ1565" s="1"/>
      <c r="AR1565" s="1"/>
      <c r="AS1565"/>
      <c r="AT1565"/>
      <c r="AU1565"/>
      <c r="AV1565"/>
      <c r="AW1565"/>
      <c r="AX1565"/>
      <c r="AY1565"/>
      <c r="AZ1565" s="1"/>
      <c r="BA1565"/>
      <c r="BB1565"/>
      <c r="BC1565"/>
      <c r="BD1565"/>
      <c r="BE1565"/>
      <c r="BF1565" s="1"/>
      <c r="BG1565"/>
      <c r="BH1565"/>
      <c r="BI1565"/>
      <c r="BJ1565"/>
      <c r="BK1565"/>
      <c r="BL1565"/>
      <c r="BM1565"/>
      <c r="BN1565"/>
      <c r="BO1565"/>
    </row>
    <row r="1566" spans="8:67" s="2" customFormat="1">
      <c r="H1566" s="202"/>
      <c r="I1566" s="10"/>
      <c r="J1566" s="10"/>
      <c r="K1566" s="10"/>
      <c r="L1566" s="20"/>
      <c r="M1566" s="31"/>
      <c r="N1566" s="39"/>
      <c r="O1566" s="39"/>
      <c r="P1566" s="39"/>
      <c r="Q1566" s="39"/>
      <c r="R1566" s="39"/>
      <c r="S1566" s="39"/>
      <c r="T1566" s="39"/>
      <c r="U1566" s="39"/>
      <c r="V1566" s="39"/>
      <c r="W1566" s="39"/>
      <c r="X1566" s="39"/>
      <c r="Y1566" s="51"/>
      <c r="Z1566" s="51"/>
      <c r="AA1566"/>
      <c r="AB1566"/>
      <c r="AC1566"/>
      <c r="AD1566"/>
      <c r="AE1566"/>
      <c r="AF1566"/>
      <c r="AG1566"/>
      <c r="AH1566"/>
      <c r="AI1566"/>
      <c r="AJ1566" s="185"/>
      <c r="AK1566" s="185"/>
      <c r="AL1566" s="185"/>
      <c r="AM1566" s="185"/>
      <c r="AN1566"/>
      <c r="AO1566" s="1"/>
      <c r="AP1566" s="1"/>
      <c r="AQ1566" s="1"/>
      <c r="AR1566" s="1"/>
      <c r="AS1566"/>
      <c r="AT1566"/>
      <c r="AU1566"/>
      <c r="AV1566"/>
      <c r="AW1566"/>
      <c r="AX1566"/>
      <c r="AY1566"/>
      <c r="AZ1566" s="1"/>
      <c r="BA1566"/>
      <c r="BB1566"/>
      <c r="BC1566"/>
      <c r="BD1566"/>
      <c r="BE1566"/>
      <c r="BF1566" s="1"/>
      <c r="BG1566"/>
      <c r="BH1566"/>
      <c r="BI1566"/>
      <c r="BJ1566"/>
      <c r="BK1566"/>
      <c r="BL1566"/>
      <c r="BM1566"/>
      <c r="BN1566"/>
      <c r="BO1566"/>
    </row>
    <row r="1567" spans="8:67" s="2" customFormat="1">
      <c r="H1567" s="202"/>
      <c r="I1567" s="10"/>
      <c r="J1567" s="10"/>
      <c r="K1567" s="10"/>
      <c r="L1567" s="20"/>
      <c r="M1567" s="31"/>
      <c r="N1567" s="39"/>
      <c r="O1567" s="39"/>
      <c r="P1567" s="39"/>
      <c r="Q1567" s="39"/>
      <c r="R1567" s="39"/>
      <c r="S1567" s="39"/>
      <c r="T1567" s="39"/>
      <c r="U1567" s="39"/>
      <c r="V1567" s="39"/>
      <c r="W1567" s="39"/>
      <c r="X1567" s="39"/>
      <c r="Y1567" s="51"/>
      <c r="Z1567" s="51"/>
      <c r="AA1567"/>
      <c r="AB1567"/>
      <c r="AC1567"/>
      <c r="AD1567"/>
      <c r="AE1567"/>
      <c r="AF1567"/>
      <c r="AG1567"/>
      <c r="AH1567"/>
      <c r="AI1567"/>
      <c r="AJ1567" s="185"/>
      <c r="AK1567" s="185"/>
      <c r="AL1567" s="185"/>
      <c r="AM1567" s="185"/>
      <c r="AN1567"/>
      <c r="AO1567" s="1"/>
      <c r="AP1567" s="1"/>
      <c r="AQ1567" s="1"/>
      <c r="AR1567" s="1"/>
      <c r="AS1567"/>
      <c r="AT1567"/>
      <c r="AU1567"/>
      <c r="AV1567"/>
      <c r="AW1567"/>
      <c r="AX1567"/>
      <c r="AY1567"/>
      <c r="AZ1567" s="1"/>
      <c r="BA1567"/>
      <c r="BB1567"/>
      <c r="BC1567"/>
      <c r="BD1567"/>
      <c r="BE1567"/>
      <c r="BF1567" s="1"/>
      <c r="BG1567"/>
      <c r="BH1567"/>
      <c r="BI1567"/>
      <c r="BJ1567"/>
      <c r="BK1567"/>
      <c r="BL1567"/>
      <c r="BM1567"/>
      <c r="BN1567"/>
      <c r="BO1567"/>
    </row>
    <row r="1568" spans="8:67" s="2" customFormat="1">
      <c r="H1568" s="202"/>
      <c r="I1568" s="10"/>
      <c r="J1568" s="10"/>
      <c r="K1568" s="10"/>
      <c r="L1568" s="20"/>
      <c r="M1568" s="31"/>
      <c r="N1568" s="39"/>
      <c r="O1568" s="39"/>
      <c r="P1568" s="39"/>
      <c r="Q1568" s="39"/>
      <c r="R1568" s="39"/>
      <c r="S1568" s="39"/>
      <c r="T1568" s="39"/>
      <c r="U1568" s="39"/>
      <c r="V1568" s="39"/>
      <c r="W1568" s="39"/>
      <c r="X1568" s="39"/>
      <c r="Y1568" s="51"/>
      <c r="Z1568" s="51"/>
      <c r="AA1568"/>
      <c r="AB1568"/>
      <c r="AC1568"/>
      <c r="AD1568"/>
      <c r="AE1568"/>
      <c r="AF1568"/>
      <c r="AG1568"/>
      <c r="AH1568"/>
      <c r="AI1568"/>
      <c r="AJ1568" s="185"/>
      <c r="AK1568" s="185"/>
      <c r="AL1568" s="185"/>
      <c r="AM1568" s="185"/>
      <c r="AN1568"/>
      <c r="AO1568" s="1"/>
      <c r="AP1568" s="1"/>
      <c r="AQ1568" s="1"/>
      <c r="AR1568" s="1"/>
      <c r="AS1568"/>
      <c r="AT1568"/>
      <c r="AU1568"/>
      <c r="AV1568"/>
      <c r="AW1568"/>
      <c r="AX1568"/>
      <c r="AY1568"/>
      <c r="AZ1568" s="1"/>
      <c r="BA1568"/>
      <c r="BB1568"/>
      <c r="BC1568"/>
      <c r="BD1568"/>
      <c r="BE1568"/>
      <c r="BF1568" s="1"/>
      <c r="BG1568"/>
      <c r="BH1568"/>
      <c r="BI1568"/>
      <c r="BJ1568"/>
      <c r="BK1568"/>
      <c r="BL1568"/>
      <c r="BM1568"/>
      <c r="BN1568"/>
      <c r="BO1568"/>
    </row>
    <row r="1569" spans="8:67" s="2" customFormat="1">
      <c r="H1569" s="202"/>
      <c r="I1569" s="10"/>
      <c r="J1569" s="10"/>
      <c r="K1569" s="10"/>
      <c r="L1569" s="20"/>
      <c r="M1569" s="31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51"/>
      <c r="Z1569" s="51"/>
      <c r="AA1569"/>
      <c r="AB1569"/>
      <c r="AC1569"/>
      <c r="AD1569"/>
      <c r="AE1569"/>
      <c r="AF1569"/>
      <c r="AG1569"/>
      <c r="AH1569"/>
      <c r="AI1569"/>
      <c r="AJ1569" s="185"/>
      <c r="AK1569" s="185"/>
      <c r="AL1569" s="185"/>
      <c r="AM1569" s="185"/>
      <c r="AN1569"/>
      <c r="AO1569" s="1"/>
      <c r="AP1569" s="1"/>
      <c r="AQ1569" s="1"/>
      <c r="AR1569" s="1"/>
      <c r="AS1569"/>
      <c r="AT1569"/>
      <c r="AU1569"/>
      <c r="AV1569"/>
      <c r="AW1569"/>
      <c r="AX1569"/>
      <c r="AY1569"/>
      <c r="AZ1569" s="1"/>
      <c r="BA1569"/>
      <c r="BB1569"/>
      <c r="BC1569"/>
      <c r="BD1569"/>
      <c r="BE1569"/>
      <c r="BF1569" s="1"/>
      <c r="BG1569"/>
      <c r="BH1569"/>
      <c r="BI1569"/>
      <c r="BJ1569"/>
      <c r="BK1569"/>
      <c r="BL1569"/>
      <c r="BM1569"/>
      <c r="BN1569"/>
      <c r="BO1569"/>
    </row>
    <row r="1570" spans="8:67" s="2" customFormat="1">
      <c r="H1570" s="202"/>
      <c r="I1570" s="10"/>
      <c r="J1570" s="10"/>
      <c r="K1570" s="10"/>
      <c r="L1570" s="20"/>
      <c r="M1570" s="31"/>
      <c r="N1570" s="39"/>
      <c r="O1570" s="39"/>
      <c r="P1570" s="39"/>
      <c r="Q1570" s="39"/>
      <c r="R1570" s="39"/>
      <c r="S1570" s="39"/>
      <c r="T1570" s="39"/>
      <c r="U1570" s="39"/>
      <c r="V1570" s="39"/>
      <c r="W1570" s="39"/>
      <c r="X1570" s="39"/>
      <c r="Y1570" s="51"/>
      <c r="Z1570" s="51"/>
      <c r="AA1570"/>
      <c r="AB1570"/>
      <c r="AC1570"/>
      <c r="AD1570"/>
      <c r="AE1570"/>
      <c r="AF1570"/>
      <c r="AG1570"/>
      <c r="AH1570"/>
      <c r="AI1570"/>
      <c r="AJ1570" s="185"/>
      <c r="AK1570" s="185"/>
      <c r="AL1570" s="185"/>
      <c r="AM1570" s="185"/>
      <c r="AN1570"/>
      <c r="AO1570" s="1"/>
      <c r="AP1570" s="1"/>
      <c r="AQ1570" s="1"/>
      <c r="AR1570" s="1"/>
      <c r="AS1570"/>
      <c r="AT1570"/>
      <c r="AU1570"/>
      <c r="AV1570"/>
      <c r="AW1570"/>
      <c r="AX1570"/>
      <c r="AY1570"/>
      <c r="AZ1570" s="1"/>
      <c r="BA1570"/>
      <c r="BB1570"/>
      <c r="BC1570"/>
      <c r="BD1570"/>
      <c r="BE1570"/>
      <c r="BF1570" s="1"/>
      <c r="BG1570"/>
      <c r="BH1570"/>
      <c r="BI1570"/>
      <c r="BJ1570"/>
      <c r="BK1570"/>
      <c r="BL1570"/>
      <c r="BM1570"/>
      <c r="BN1570"/>
      <c r="BO1570"/>
    </row>
    <row r="1571" spans="8:67" s="2" customFormat="1">
      <c r="H1571" s="202"/>
      <c r="I1571" s="10"/>
      <c r="J1571" s="10"/>
      <c r="K1571" s="10"/>
      <c r="L1571" s="20"/>
      <c r="M1571" s="31"/>
      <c r="N1571" s="39"/>
      <c r="O1571" s="39"/>
      <c r="P1571" s="39"/>
      <c r="Q1571" s="39"/>
      <c r="R1571" s="39"/>
      <c r="S1571" s="39"/>
      <c r="T1571" s="39"/>
      <c r="U1571" s="39"/>
      <c r="V1571" s="39"/>
      <c r="W1571" s="39"/>
      <c r="X1571" s="39"/>
      <c r="Y1571" s="51"/>
      <c r="Z1571" s="51"/>
      <c r="AA1571"/>
      <c r="AB1571"/>
      <c r="AC1571"/>
      <c r="AD1571"/>
      <c r="AE1571"/>
      <c r="AF1571"/>
      <c r="AG1571"/>
      <c r="AH1571"/>
      <c r="AI1571"/>
      <c r="AJ1571" s="185"/>
      <c r="AK1571" s="185"/>
      <c r="AL1571" s="185"/>
      <c r="AM1571" s="185"/>
      <c r="AN1571"/>
      <c r="AO1571" s="1"/>
      <c r="AP1571" s="1"/>
      <c r="AQ1571" s="1"/>
      <c r="AR1571" s="1"/>
      <c r="AS1571"/>
      <c r="AT1571"/>
      <c r="AU1571"/>
      <c r="AV1571"/>
      <c r="AW1571"/>
      <c r="AX1571"/>
      <c r="AY1571"/>
      <c r="AZ1571" s="1"/>
      <c r="BA1571"/>
      <c r="BB1571"/>
      <c r="BC1571"/>
      <c r="BD1571"/>
      <c r="BE1571"/>
      <c r="BF1571" s="1"/>
      <c r="BG1571"/>
      <c r="BH1571"/>
      <c r="BI1571"/>
      <c r="BJ1571"/>
      <c r="BK1571"/>
      <c r="BL1571"/>
      <c r="BM1571"/>
      <c r="BN1571"/>
      <c r="BO1571"/>
    </row>
    <row r="1572" spans="8:67" s="2" customFormat="1">
      <c r="H1572" s="202"/>
      <c r="I1572" s="10"/>
      <c r="J1572" s="10"/>
      <c r="K1572" s="10"/>
      <c r="L1572" s="20"/>
      <c r="M1572" s="31"/>
      <c r="N1572" s="39"/>
      <c r="O1572" s="39"/>
      <c r="P1572" s="39"/>
      <c r="Q1572" s="39"/>
      <c r="R1572" s="39"/>
      <c r="S1572" s="39"/>
      <c r="T1572" s="39"/>
      <c r="U1572" s="39"/>
      <c r="V1572" s="39"/>
      <c r="W1572" s="39"/>
      <c r="X1572" s="39"/>
      <c r="Y1572" s="51"/>
      <c r="Z1572" s="51"/>
      <c r="AA1572"/>
      <c r="AB1572"/>
      <c r="AC1572"/>
      <c r="AD1572"/>
      <c r="AE1572"/>
      <c r="AF1572"/>
      <c r="AG1572"/>
      <c r="AH1572"/>
      <c r="AI1572"/>
      <c r="AJ1572" s="185"/>
      <c r="AK1572" s="185"/>
      <c r="AL1572" s="185"/>
      <c r="AM1572" s="185"/>
      <c r="AN1572"/>
      <c r="AO1572" s="1"/>
      <c r="AP1572" s="1"/>
      <c r="AQ1572" s="1"/>
      <c r="AR1572" s="1"/>
      <c r="AS1572"/>
      <c r="AT1572"/>
      <c r="AU1572"/>
      <c r="AV1572"/>
      <c r="AW1572"/>
      <c r="AX1572"/>
      <c r="AY1572"/>
      <c r="AZ1572" s="1"/>
      <c r="BA1572"/>
      <c r="BB1572"/>
      <c r="BC1572"/>
      <c r="BD1572"/>
      <c r="BE1572"/>
      <c r="BF1572" s="1"/>
      <c r="BG1572"/>
      <c r="BH1572"/>
      <c r="BI1572"/>
      <c r="BJ1572"/>
      <c r="BK1572"/>
      <c r="BL1572"/>
      <c r="BM1572"/>
      <c r="BN1572"/>
      <c r="BO1572"/>
    </row>
    <row r="1573" spans="8:67" s="2" customFormat="1">
      <c r="H1573" s="202"/>
      <c r="I1573" s="10"/>
      <c r="J1573" s="10"/>
      <c r="K1573" s="10"/>
      <c r="L1573" s="20"/>
      <c r="M1573" s="31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51"/>
      <c r="Z1573" s="51"/>
      <c r="AA1573"/>
      <c r="AB1573"/>
      <c r="AC1573"/>
      <c r="AD1573"/>
      <c r="AE1573"/>
      <c r="AF1573"/>
      <c r="AG1573"/>
      <c r="AH1573"/>
      <c r="AI1573"/>
      <c r="AJ1573" s="185"/>
      <c r="AK1573" s="185"/>
      <c r="AL1573" s="185"/>
      <c r="AM1573" s="185"/>
      <c r="AN1573"/>
      <c r="AO1573" s="1"/>
      <c r="AP1573" s="1"/>
      <c r="AQ1573" s="1"/>
      <c r="AR1573" s="1"/>
      <c r="AS1573"/>
      <c r="AT1573"/>
      <c r="AU1573"/>
      <c r="AV1573"/>
      <c r="AW1573"/>
      <c r="AX1573"/>
      <c r="AY1573"/>
      <c r="AZ1573" s="1"/>
      <c r="BA1573"/>
      <c r="BB1573"/>
      <c r="BC1573"/>
      <c r="BD1573"/>
      <c r="BE1573"/>
      <c r="BF1573" s="1"/>
      <c r="BG1573"/>
      <c r="BH1573"/>
      <c r="BI1573"/>
      <c r="BJ1573"/>
      <c r="BK1573"/>
      <c r="BL1573"/>
      <c r="BM1573"/>
      <c r="BN1573"/>
      <c r="BO1573"/>
    </row>
    <row r="1574" spans="8:67" s="2" customFormat="1">
      <c r="H1574" s="202"/>
      <c r="I1574" s="10"/>
      <c r="J1574" s="10"/>
      <c r="K1574" s="10"/>
      <c r="L1574" s="20"/>
      <c r="M1574" s="31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  <c r="Y1574" s="51"/>
      <c r="Z1574" s="51"/>
      <c r="AA1574"/>
      <c r="AB1574"/>
      <c r="AC1574"/>
      <c r="AD1574"/>
      <c r="AE1574"/>
      <c r="AF1574"/>
      <c r="AG1574"/>
      <c r="AH1574"/>
      <c r="AI1574"/>
      <c r="AJ1574" s="185"/>
      <c r="AK1574" s="185"/>
      <c r="AL1574" s="185"/>
      <c r="AM1574" s="185"/>
      <c r="AN1574"/>
      <c r="AO1574" s="1"/>
      <c r="AP1574" s="1"/>
      <c r="AQ1574" s="1"/>
      <c r="AR1574" s="1"/>
      <c r="AS1574"/>
      <c r="AT1574"/>
      <c r="AU1574"/>
      <c r="AV1574"/>
      <c r="AW1574"/>
      <c r="AX1574"/>
      <c r="AY1574"/>
      <c r="AZ1574" s="1"/>
      <c r="BA1574"/>
      <c r="BB1574"/>
      <c r="BC1574"/>
      <c r="BD1574"/>
      <c r="BE1574"/>
      <c r="BF1574" s="1"/>
      <c r="BG1574"/>
      <c r="BH1574"/>
      <c r="BI1574"/>
      <c r="BJ1574"/>
      <c r="BK1574"/>
      <c r="BL1574"/>
      <c r="BM1574"/>
      <c r="BN1574"/>
      <c r="BO1574"/>
    </row>
    <row r="1575" spans="8:67" s="2" customFormat="1">
      <c r="H1575" s="202"/>
      <c r="I1575" s="10"/>
      <c r="J1575" s="10"/>
      <c r="K1575" s="10"/>
      <c r="L1575" s="20"/>
      <c r="M1575" s="31"/>
      <c r="N1575" s="39"/>
      <c r="O1575" s="39"/>
      <c r="P1575" s="39"/>
      <c r="Q1575" s="39"/>
      <c r="R1575" s="39"/>
      <c r="S1575" s="39"/>
      <c r="T1575" s="39"/>
      <c r="U1575" s="39"/>
      <c r="V1575" s="39"/>
      <c r="W1575" s="39"/>
      <c r="X1575" s="39"/>
      <c r="Y1575" s="51"/>
      <c r="Z1575" s="51"/>
      <c r="AA1575"/>
      <c r="AB1575"/>
      <c r="AC1575"/>
      <c r="AD1575"/>
      <c r="AE1575"/>
      <c r="AF1575"/>
      <c r="AG1575"/>
      <c r="AH1575"/>
      <c r="AI1575"/>
      <c r="AJ1575" s="185"/>
      <c r="AK1575" s="185"/>
      <c r="AL1575" s="185"/>
      <c r="AM1575" s="185"/>
      <c r="AN1575"/>
      <c r="AO1575" s="1"/>
      <c r="AP1575" s="1"/>
      <c r="AQ1575" s="1"/>
      <c r="AR1575" s="1"/>
      <c r="AS1575"/>
      <c r="AT1575"/>
      <c r="AU1575"/>
      <c r="AV1575"/>
      <c r="AW1575"/>
      <c r="AX1575"/>
      <c r="AY1575"/>
      <c r="AZ1575" s="1"/>
      <c r="BA1575"/>
      <c r="BB1575"/>
      <c r="BC1575"/>
      <c r="BD1575"/>
      <c r="BE1575"/>
      <c r="BF1575" s="1"/>
      <c r="BG1575"/>
      <c r="BH1575"/>
      <c r="BI1575"/>
      <c r="BJ1575"/>
      <c r="BK1575"/>
      <c r="BL1575"/>
      <c r="BM1575"/>
      <c r="BN1575"/>
      <c r="BO1575"/>
    </row>
    <row r="1576" spans="8:67" s="2" customFormat="1">
      <c r="H1576" s="202"/>
      <c r="I1576" s="10"/>
      <c r="J1576" s="10"/>
      <c r="K1576" s="10"/>
      <c r="L1576" s="20"/>
      <c r="M1576" s="31"/>
      <c r="N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  <c r="Y1576" s="51"/>
      <c r="Z1576" s="51"/>
      <c r="AA1576"/>
      <c r="AB1576"/>
      <c r="AC1576"/>
      <c r="AD1576"/>
      <c r="AE1576"/>
      <c r="AF1576"/>
      <c r="AG1576"/>
      <c r="AH1576"/>
      <c r="AI1576"/>
      <c r="AJ1576" s="185"/>
      <c r="AK1576" s="185"/>
      <c r="AL1576" s="185"/>
      <c r="AM1576" s="185"/>
      <c r="AN1576"/>
      <c r="AO1576" s="1"/>
      <c r="AP1576" s="1"/>
      <c r="AQ1576" s="1"/>
      <c r="AR1576" s="1"/>
      <c r="AS1576"/>
      <c r="AT1576"/>
      <c r="AU1576"/>
      <c r="AV1576"/>
      <c r="AW1576"/>
      <c r="AX1576"/>
      <c r="AY1576"/>
      <c r="AZ1576" s="1"/>
      <c r="BA1576"/>
      <c r="BB1576"/>
      <c r="BC1576"/>
      <c r="BD1576"/>
      <c r="BE1576"/>
      <c r="BF1576" s="1"/>
      <c r="BG1576"/>
      <c r="BH1576"/>
      <c r="BI1576"/>
      <c r="BJ1576"/>
      <c r="BK1576"/>
      <c r="BL1576"/>
      <c r="BM1576"/>
      <c r="BN1576"/>
      <c r="BO1576"/>
    </row>
    <row r="1577" spans="8:67" s="2" customFormat="1">
      <c r="H1577" s="202"/>
      <c r="I1577" s="10"/>
      <c r="J1577" s="10"/>
      <c r="K1577" s="10"/>
      <c r="L1577" s="20"/>
      <c r="M1577" s="31"/>
      <c r="N1577" s="39"/>
      <c r="O1577" s="39"/>
      <c r="P1577" s="39"/>
      <c r="Q1577" s="39"/>
      <c r="R1577" s="39"/>
      <c r="S1577" s="39"/>
      <c r="T1577" s="39"/>
      <c r="U1577" s="39"/>
      <c r="V1577" s="39"/>
      <c r="W1577" s="39"/>
      <c r="X1577" s="39"/>
      <c r="Y1577" s="51"/>
      <c r="Z1577" s="51"/>
      <c r="AA1577"/>
      <c r="AB1577"/>
      <c r="AC1577"/>
      <c r="AD1577"/>
      <c r="AE1577"/>
      <c r="AF1577"/>
      <c r="AG1577"/>
      <c r="AH1577"/>
      <c r="AI1577"/>
      <c r="AJ1577" s="185"/>
      <c r="AK1577" s="185"/>
      <c r="AL1577" s="185"/>
      <c r="AM1577" s="185"/>
      <c r="AN1577"/>
      <c r="AO1577" s="1"/>
      <c r="AP1577" s="1"/>
      <c r="AQ1577" s="1"/>
      <c r="AR1577" s="1"/>
      <c r="AS1577"/>
      <c r="AT1577"/>
      <c r="AU1577"/>
      <c r="AV1577"/>
      <c r="AW1577"/>
      <c r="AX1577"/>
      <c r="AY1577"/>
      <c r="AZ1577" s="1"/>
      <c r="BA1577"/>
      <c r="BB1577"/>
      <c r="BC1577"/>
      <c r="BD1577"/>
      <c r="BE1577"/>
      <c r="BF1577" s="1"/>
      <c r="BG1577"/>
      <c r="BH1577"/>
      <c r="BI1577"/>
      <c r="BJ1577"/>
      <c r="BK1577"/>
      <c r="BL1577"/>
      <c r="BM1577"/>
      <c r="BN1577"/>
      <c r="BO1577"/>
    </row>
    <row r="1578" spans="8:67" s="2" customFormat="1">
      <c r="H1578" s="202"/>
      <c r="I1578" s="10"/>
      <c r="J1578" s="10"/>
      <c r="K1578" s="10"/>
      <c r="L1578" s="20"/>
      <c r="M1578" s="31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  <c r="Y1578" s="51"/>
      <c r="Z1578" s="51"/>
      <c r="AA1578"/>
      <c r="AB1578"/>
      <c r="AC1578"/>
      <c r="AD1578"/>
      <c r="AE1578"/>
      <c r="AF1578"/>
      <c r="AG1578"/>
      <c r="AH1578"/>
      <c r="AI1578"/>
      <c r="AJ1578" s="185"/>
      <c r="AK1578" s="185"/>
      <c r="AL1578" s="185"/>
      <c r="AM1578" s="185"/>
      <c r="AN1578"/>
      <c r="AO1578" s="1"/>
      <c r="AP1578" s="1"/>
      <c r="AQ1578" s="1"/>
      <c r="AR1578" s="1"/>
      <c r="AS1578"/>
      <c r="AT1578"/>
      <c r="AU1578"/>
      <c r="AV1578"/>
      <c r="AW1578"/>
      <c r="AX1578"/>
      <c r="AY1578"/>
      <c r="AZ1578" s="1"/>
      <c r="BA1578"/>
      <c r="BB1578"/>
      <c r="BC1578"/>
      <c r="BD1578"/>
      <c r="BE1578"/>
      <c r="BF1578" s="1"/>
      <c r="BG1578"/>
      <c r="BH1578"/>
      <c r="BI1578"/>
      <c r="BJ1578"/>
      <c r="BK1578"/>
      <c r="BL1578"/>
      <c r="BM1578"/>
      <c r="BN1578"/>
      <c r="BO1578"/>
    </row>
    <row r="1579" spans="8:67" s="2" customFormat="1">
      <c r="H1579" s="202"/>
      <c r="I1579" s="10"/>
      <c r="J1579" s="10"/>
      <c r="K1579" s="10"/>
      <c r="L1579" s="20"/>
      <c r="M1579" s="31"/>
      <c r="N1579" s="39"/>
      <c r="O1579" s="39"/>
      <c r="P1579" s="39"/>
      <c r="Q1579" s="39"/>
      <c r="R1579" s="39"/>
      <c r="S1579" s="39"/>
      <c r="T1579" s="39"/>
      <c r="U1579" s="39"/>
      <c r="V1579" s="39"/>
      <c r="W1579" s="39"/>
      <c r="X1579" s="39"/>
      <c r="Y1579" s="51"/>
      <c r="Z1579" s="51"/>
      <c r="AA1579"/>
      <c r="AB1579"/>
      <c r="AC1579"/>
      <c r="AD1579"/>
      <c r="AE1579"/>
      <c r="AF1579"/>
      <c r="AG1579"/>
      <c r="AH1579"/>
      <c r="AI1579"/>
      <c r="AJ1579" s="185"/>
      <c r="AK1579" s="185"/>
      <c r="AL1579" s="185"/>
      <c r="AM1579" s="185"/>
      <c r="AN1579"/>
      <c r="AO1579" s="1"/>
      <c r="AP1579" s="1"/>
      <c r="AQ1579" s="1"/>
      <c r="AR1579" s="1"/>
      <c r="AS1579"/>
      <c r="AT1579"/>
      <c r="AU1579"/>
      <c r="AV1579"/>
      <c r="AW1579"/>
      <c r="AX1579"/>
      <c r="AY1579"/>
      <c r="AZ1579" s="1"/>
      <c r="BA1579"/>
      <c r="BB1579"/>
      <c r="BC1579"/>
      <c r="BD1579"/>
      <c r="BE1579"/>
      <c r="BF1579" s="1"/>
      <c r="BG1579"/>
      <c r="BH1579"/>
      <c r="BI1579"/>
      <c r="BJ1579"/>
      <c r="BK1579"/>
      <c r="BL1579"/>
      <c r="BM1579"/>
      <c r="BN1579"/>
      <c r="BO1579"/>
    </row>
    <row r="1580" spans="8:67" s="2" customFormat="1">
      <c r="H1580" s="202"/>
      <c r="I1580" s="10"/>
      <c r="J1580" s="10"/>
      <c r="K1580" s="10"/>
      <c r="L1580" s="20"/>
      <c r="M1580" s="31"/>
      <c r="N1580" s="39"/>
      <c r="O1580" s="39"/>
      <c r="P1580" s="39"/>
      <c r="Q1580" s="39"/>
      <c r="R1580" s="39"/>
      <c r="S1580" s="39"/>
      <c r="T1580" s="39"/>
      <c r="U1580" s="39"/>
      <c r="V1580" s="39"/>
      <c r="W1580" s="39"/>
      <c r="X1580" s="39"/>
      <c r="Y1580" s="51"/>
      <c r="Z1580" s="51"/>
      <c r="AA1580"/>
      <c r="AB1580"/>
      <c r="AC1580"/>
      <c r="AD1580"/>
      <c r="AE1580"/>
      <c r="AF1580"/>
      <c r="AG1580"/>
      <c r="AH1580"/>
      <c r="AI1580"/>
      <c r="AJ1580" s="185"/>
      <c r="AK1580" s="185"/>
      <c r="AL1580" s="185"/>
      <c r="AM1580" s="185"/>
      <c r="AN1580"/>
      <c r="AO1580" s="1"/>
      <c r="AP1580" s="1"/>
      <c r="AQ1580" s="1"/>
      <c r="AR1580" s="1"/>
      <c r="AS1580"/>
      <c r="AT1580"/>
      <c r="AU1580"/>
      <c r="AV1580"/>
      <c r="AW1580"/>
      <c r="AX1580"/>
      <c r="AY1580"/>
      <c r="AZ1580" s="1"/>
      <c r="BA1580"/>
      <c r="BB1580"/>
      <c r="BC1580"/>
      <c r="BD1580"/>
      <c r="BE1580"/>
      <c r="BF1580" s="1"/>
      <c r="BG1580"/>
      <c r="BH1580"/>
      <c r="BI1580"/>
      <c r="BJ1580"/>
      <c r="BK1580"/>
      <c r="BL1580"/>
      <c r="BM1580"/>
      <c r="BN1580"/>
      <c r="BO1580"/>
    </row>
    <row r="1581" spans="8:67" s="2" customFormat="1">
      <c r="H1581" s="202"/>
      <c r="I1581" s="10"/>
      <c r="J1581" s="10"/>
      <c r="K1581" s="10"/>
      <c r="L1581" s="20"/>
      <c r="M1581" s="31"/>
      <c r="N1581" s="39"/>
      <c r="O1581" s="39"/>
      <c r="P1581" s="39"/>
      <c r="Q1581" s="39"/>
      <c r="R1581" s="39"/>
      <c r="S1581" s="39"/>
      <c r="T1581" s="39"/>
      <c r="U1581" s="39"/>
      <c r="V1581" s="39"/>
      <c r="W1581" s="39"/>
      <c r="X1581" s="39"/>
      <c r="Y1581" s="51"/>
      <c r="Z1581" s="51"/>
      <c r="AA1581"/>
      <c r="AB1581"/>
      <c r="AC1581"/>
      <c r="AD1581"/>
      <c r="AE1581"/>
      <c r="AF1581"/>
      <c r="AG1581"/>
      <c r="AH1581"/>
      <c r="AI1581"/>
      <c r="AJ1581" s="185"/>
      <c r="AK1581" s="185"/>
      <c r="AL1581" s="185"/>
      <c r="AM1581" s="185"/>
      <c r="AN1581"/>
      <c r="AO1581" s="1"/>
      <c r="AP1581" s="1"/>
      <c r="AQ1581" s="1"/>
      <c r="AR1581" s="1"/>
      <c r="AS1581"/>
      <c r="AT1581"/>
      <c r="AU1581"/>
      <c r="AV1581"/>
      <c r="AW1581"/>
      <c r="AX1581"/>
      <c r="AY1581"/>
      <c r="AZ1581" s="1"/>
      <c r="BA1581"/>
      <c r="BB1581"/>
      <c r="BC1581"/>
      <c r="BD1581"/>
      <c r="BE1581"/>
      <c r="BF1581" s="1"/>
      <c r="BG1581"/>
      <c r="BH1581"/>
      <c r="BI1581"/>
      <c r="BJ1581"/>
      <c r="BK1581"/>
      <c r="BL1581"/>
      <c r="BM1581"/>
      <c r="BN1581"/>
      <c r="BO1581"/>
    </row>
    <row r="1582" spans="8:67" s="2" customFormat="1">
      <c r="H1582" s="202"/>
      <c r="I1582" s="10"/>
      <c r="J1582" s="10"/>
      <c r="K1582" s="10"/>
      <c r="L1582" s="20"/>
      <c r="M1582" s="31"/>
      <c r="N1582" s="39"/>
      <c r="O1582" s="39"/>
      <c r="P1582" s="39"/>
      <c r="Q1582" s="39"/>
      <c r="R1582" s="39"/>
      <c r="S1582" s="39"/>
      <c r="T1582" s="39"/>
      <c r="U1582" s="39"/>
      <c r="V1582" s="39"/>
      <c r="W1582" s="39"/>
      <c r="X1582" s="39"/>
      <c r="Y1582" s="51"/>
      <c r="Z1582" s="51"/>
      <c r="AA1582"/>
      <c r="AB1582"/>
      <c r="AC1582"/>
      <c r="AD1582"/>
      <c r="AE1582"/>
      <c r="AF1582"/>
      <c r="AG1582"/>
      <c r="AH1582"/>
      <c r="AI1582"/>
      <c r="AJ1582" s="185"/>
      <c r="AK1582" s="185"/>
      <c r="AL1582" s="185"/>
      <c r="AM1582" s="185"/>
      <c r="AN1582"/>
      <c r="AO1582" s="1"/>
      <c r="AP1582" s="1"/>
      <c r="AQ1582" s="1"/>
      <c r="AR1582" s="1"/>
      <c r="AS1582"/>
      <c r="AT1582"/>
      <c r="AU1582"/>
      <c r="AV1582"/>
      <c r="AW1582"/>
      <c r="AX1582"/>
      <c r="AY1582"/>
      <c r="AZ1582" s="1"/>
      <c r="BA1582"/>
      <c r="BB1582"/>
      <c r="BC1582"/>
      <c r="BD1582"/>
      <c r="BE1582"/>
      <c r="BF1582" s="1"/>
      <c r="BG1582"/>
      <c r="BH1582"/>
      <c r="BI1582"/>
      <c r="BJ1582"/>
      <c r="BK1582"/>
      <c r="BL1582"/>
      <c r="BM1582"/>
      <c r="BN1582"/>
      <c r="BO1582"/>
    </row>
    <row r="1583" spans="8:67" s="2" customFormat="1">
      <c r="H1583" s="202"/>
      <c r="I1583" s="10"/>
      <c r="J1583" s="10"/>
      <c r="K1583" s="10"/>
      <c r="L1583" s="20"/>
      <c r="M1583" s="31"/>
      <c r="N1583" s="39"/>
      <c r="O1583" s="39"/>
      <c r="P1583" s="39"/>
      <c r="Q1583" s="39"/>
      <c r="R1583" s="39"/>
      <c r="S1583" s="39"/>
      <c r="T1583" s="39"/>
      <c r="U1583" s="39"/>
      <c r="V1583" s="39"/>
      <c r="W1583" s="39"/>
      <c r="X1583" s="39"/>
      <c r="Y1583" s="51"/>
      <c r="Z1583" s="51"/>
      <c r="AA1583"/>
      <c r="AB1583"/>
      <c r="AC1583"/>
      <c r="AD1583"/>
      <c r="AE1583"/>
      <c r="AF1583"/>
      <c r="AG1583"/>
      <c r="AH1583"/>
      <c r="AI1583"/>
      <c r="AJ1583" s="185"/>
      <c r="AK1583" s="185"/>
      <c r="AL1583" s="185"/>
      <c r="AM1583" s="185"/>
      <c r="AN1583"/>
      <c r="AO1583" s="1"/>
      <c r="AP1583" s="1"/>
      <c r="AQ1583" s="1"/>
      <c r="AR1583" s="1"/>
      <c r="AS1583"/>
      <c r="AT1583"/>
      <c r="AU1583"/>
      <c r="AV1583"/>
      <c r="AW1583"/>
      <c r="AX1583"/>
      <c r="AY1583"/>
      <c r="AZ1583" s="1"/>
      <c r="BA1583"/>
      <c r="BB1583"/>
      <c r="BC1583"/>
      <c r="BD1583"/>
      <c r="BE1583"/>
      <c r="BF1583" s="1"/>
      <c r="BG1583"/>
      <c r="BH1583"/>
      <c r="BI1583"/>
      <c r="BJ1583"/>
      <c r="BK1583"/>
      <c r="BL1583"/>
      <c r="BM1583"/>
      <c r="BN1583"/>
      <c r="BO1583"/>
    </row>
    <row r="1584" spans="8:67" s="2" customFormat="1">
      <c r="H1584" s="202"/>
      <c r="I1584" s="10"/>
      <c r="J1584" s="10"/>
      <c r="K1584" s="10"/>
      <c r="L1584" s="20"/>
      <c r="M1584" s="31"/>
      <c r="N1584" s="39"/>
      <c r="O1584" s="39"/>
      <c r="P1584" s="39"/>
      <c r="Q1584" s="39"/>
      <c r="R1584" s="39"/>
      <c r="S1584" s="39"/>
      <c r="T1584" s="39"/>
      <c r="U1584" s="39"/>
      <c r="V1584" s="39"/>
      <c r="W1584" s="39"/>
      <c r="X1584" s="39"/>
      <c r="Y1584" s="51"/>
      <c r="Z1584" s="51"/>
      <c r="AA1584"/>
      <c r="AB1584"/>
      <c r="AC1584"/>
      <c r="AD1584"/>
      <c r="AE1584"/>
      <c r="AF1584"/>
      <c r="AG1584"/>
      <c r="AH1584"/>
      <c r="AI1584"/>
      <c r="AJ1584" s="185"/>
      <c r="AK1584" s="185"/>
      <c r="AL1584" s="185"/>
      <c r="AM1584" s="185"/>
      <c r="AN1584"/>
      <c r="AO1584" s="1"/>
      <c r="AP1584" s="1"/>
      <c r="AQ1584" s="1"/>
      <c r="AR1584" s="1"/>
      <c r="AS1584"/>
      <c r="AT1584"/>
      <c r="AU1584"/>
      <c r="AV1584"/>
      <c r="AW1584"/>
      <c r="AX1584"/>
      <c r="AY1584"/>
      <c r="AZ1584" s="1"/>
      <c r="BA1584"/>
      <c r="BB1584"/>
      <c r="BC1584"/>
      <c r="BD1584"/>
      <c r="BE1584"/>
      <c r="BF1584" s="1"/>
      <c r="BG1584"/>
      <c r="BH1584"/>
      <c r="BI1584"/>
      <c r="BJ1584"/>
      <c r="BK1584"/>
      <c r="BL1584"/>
      <c r="BM1584"/>
      <c r="BN1584"/>
      <c r="BO1584"/>
    </row>
    <row r="1585" spans="8:67" s="2" customFormat="1">
      <c r="H1585" s="202"/>
      <c r="I1585" s="10"/>
      <c r="J1585" s="10"/>
      <c r="K1585" s="10"/>
      <c r="L1585" s="20"/>
      <c r="M1585" s="31"/>
      <c r="N1585" s="39"/>
      <c r="O1585" s="39"/>
      <c r="P1585" s="39"/>
      <c r="Q1585" s="39"/>
      <c r="R1585" s="39"/>
      <c r="S1585" s="39"/>
      <c r="T1585" s="39"/>
      <c r="U1585" s="39"/>
      <c r="V1585" s="39"/>
      <c r="W1585" s="39"/>
      <c r="X1585" s="39"/>
      <c r="Y1585" s="51"/>
      <c r="Z1585" s="51"/>
      <c r="AA1585"/>
      <c r="AB1585"/>
      <c r="AC1585"/>
      <c r="AD1585"/>
      <c r="AE1585"/>
      <c r="AF1585"/>
      <c r="AG1585"/>
      <c r="AH1585"/>
      <c r="AI1585"/>
      <c r="AJ1585" s="185"/>
      <c r="AK1585" s="185"/>
      <c r="AL1585" s="185"/>
      <c r="AM1585" s="185"/>
      <c r="AN1585"/>
      <c r="AO1585" s="1"/>
      <c r="AP1585" s="1"/>
      <c r="AQ1585" s="1"/>
      <c r="AR1585" s="1"/>
      <c r="AS1585"/>
      <c r="AT1585"/>
      <c r="AU1585"/>
      <c r="AV1585"/>
      <c r="AW1585"/>
      <c r="AX1585"/>
      <c r="AY1585"/>
      <c r="AZ1585" s="1"/>
      <c r="BA1585"/>
      <c r="BB1585"/>
      <c r="BC1585"/>
      <c r="BD1585"/>
      <c r="BE1585"/>
      <c r="BF1585" s="1"/>
      <c r="BG1585"/>
      <c r="BH1585"/>
      <c r="BI1585"/>
      <c r="BJ1585"/>
      <c r="BK1585"/>
      <c r="BL1585"/>
      <c r="BM1585"/>
      <c r="BN1585"/>
      <c r="BO1585"/>
    </row>
    <row r="1586" spans="8:67" s="2" customFormat="1">
      <c r="H1586" s="202"/>
      <c r="I1586" s="10"/>
      <c r="J1586" s="10"/>
      <c r="K1586" s="10"/>
      <c r="L1586" s="20"/>
      <c r="M1586" s="31"/>
      <c r="N1586" s="39"/>
      <c r="O1586" s="39"/>
      <c r="P1586" s="39"/>
      <c r="Q1586" s="39"/>
      <c r="R1586" s="39"/>
      <c r="S1586" s="39"/>
      <c r="T1586" s="39"/>
      <c r="U1586" s="39"/>
      <c r="V1586" s="39"/>
      <c r="W1586" s="39"/>
      <c r="X1586" s="39"/>
      <c r="Y1586" s="51"/>
      <c r="Z1586" s="51"/>
      <c r="AA1586"/>
      <c r="AB1586"/>
      <c r="AC1586"/>
      <c r="AD1586"/>
      <c r="AE1586"/>
      <c r="AF1586"/>
      <c r="AG1586"/>
      <c r="AH1586"/>
      <c r="AI1586"/>
      <c r="AJ1586" s="185"/>
      <c r="AK1586" s="185"/>
      <c r="AL1586" s="185"/>
      <c r="AM1586" s="185"/>
      <c r="AN1586"/>
      <c r="AO1586" s="1"/>
      <c r="AP1586" s="1"/>
      <c r="AQ1586" s="1"/>
      <c r="AR1586" s="1"/>
      <c r="AS1586"/>
      <c r="AT1586"/>
      <c r="AU1586"/>
      <c r="AV1586"/>
      <c r="AW1586"/>
      <c r="AX1586"/>
      <c r="AY1586"/>
      <c r="AZ1586" s="1"/>
      <c r="BA1586"/>
      <c r="BB1586"/>
      <c r="BC1586"/>
      <c r="BD1586"/>
      <c r="BE1586"/>
      <c r="BF1586" s="1"/>
      <c r="BG1586"/>
      <c r="BH1586"/>
      <c r="BI1586"/>
      <c r="BJ1586"/>
      <c r="BK1586"/>
      <c r="BL1586"/>
      <c r="BM1586"/>
      <c r="BN1586"/>
      <c r="BO1586"/>
    </row>
    <row r="1587" spans="8:67" s="2" customFormat="1">
      <c r="H1587" s="202"/>
      <c r="I1587" s="10"/>
      <c r="J1587" s="10"/>
      <c r="K1587" s="10"/>
      <c r="L1587" s="20"/>
      <c r="M1587" s="31"/>
      <c r="N1587" s="39"/>
      <c r="O1587" s="39"/>
      <c r="P1587" s="39"/>
      <c r="Q1587" s="39"/>
      <c r="R1587" s="39"/>
      <c r="S1587" s="39"/>
      <c r="T1587" s="39"/>
      <c r="U1587" s="39"/>
      <c r="V1587" s="39"/>
      <c r="W1587" s="39"/>
      <c r="X1587" s="39"/>
      <c r="Y1587" s="51"/>
      <c r="Z1587" s="51"/>
      <c r="AA1587"/>
      <c r="AB1587"/>
      <c r="AC1587"/>
      <c r="AD1587"/>
      <c r="AE1587"/>
      <c r="AF1587"/>
      <c r="AG1587"/>
      <c r="AH1587"/>
      <c r="AI1587"/>
      <c r="AJ1587" s="185"/>
      <c r="AK1587" s="185"/>
      <c r="AL1587" s="185"/>
      <c r="AM1587" s="185"/>
      <c r="AN1587"/>
      <c r="AO1587" s="1"/>
      <c r="AP1587" s="1"/>
      <c r="AQ1587" s="1"/>
      <c r="AR1587" s="1"/>
      <c r="AS1587"/>
      <c r="AT1587"/>
      <c r="AU1587"/>
      <c r="AV1587"/>
      <c r="AW1587"/>
      <c r="AX1587"/>
      <c r="AY1587"/>
      <c r="AZ1587" s="1"/>
      <c r="BA1587"/>
      <c r="BB1587"/>
      <c r="BC1587"/>
      <c r="BD1587"/>
      <c r="BE1587"/>
      <c r="BF1587" s="1"/>
      <c r="BG1587"/>
      <c r="BH1587"/>
      <c r="BI1587"/>
      <c r="BJ1587"/>
      <c r="BK1587"/>
      <c r="BL1587"/>
      <c r="BM1587"/>
      <c r="BN1587"/>
      <c r="BO1587"/>
    </row>
    <row r="1588" spans="8:67" s="2" customFormat="1">
      <c r="H1588" s="202"/>
      <c r="I1588" s="10"/>
      <c r="J1588" s="10"/>
      <c r="K1588" s="10"/>
      <c r="L1588" s="20"/>
      <c r="M1588" s="31"/>
      <c r="N1588" s="39"/>
      <c r="O1588" s="39"/>
      <c r="P1588" s="39"/>
      <c r="Q1588" s="39"/>
      <c r="R1588" s="39"/>
      <c r="S1588" s="39"/>
      <c r="T1588" s="39"/>
      <c r="U1588" s="39"/>
      <c r="V1588" s="39"/>
      <c r="W1588" s="39"/>
      <c r="X1588" s="39"/>
      <c r="Y1588" s="51"/>
      <c r="Z1588" s="51"/>
      <c r="AA1588"/>
      <c r="AB1588"/>
      <c r="AC1588"/>
      <c r="AD1588"/>
      <c r="AE1588"/>
      <c r="AF1588"/>
      <c r="AG1588"/>
      <c r="AH1588"/>
      <c r="AI1588"/>
      <c r="AJ1588" s="185"/>
      <c r="AK1588" s="185"/>
      <c r="AL1588" s="185"/>
      <c r="AM1588" s="185"/>
      <c r="AN1588"/>
      <c r="AO1588" s="1"/>
      <c r="AP1588" s="1"/>
      <c r="AQ1588" s="1"/>
      <c r="AR1588" s="1"/>
      <c r="AS1588"/>
      <c r="AT1588"/>
      <c r="AU1588"/>
      <c r="AV1588"/>
      <c r="AW1588"/>
      <c r="AX1588"/>
      <c r="AY1588"/>
      <c r="AZ1588" s="1"/>
      <c r="BA1588"/>
      <c r="BB1588"/>
      <c r="BC1588"/>
      <c r="BD1588"/>
      <c r="BE1588"/>
      <c r="BF1588" s="1"/>
      <c r="BG1588"/>
      <c r="BH1588"/>
      <c r="BI1588"/>
      <c r="BJ1588"/>
      <c r="BK1588"/>
      <c r="BL1588"/>
      <c r="BM1588"/>
      <c r="BN1588"/>
      <c r="BO1588"/>
    </row>
    <row r="1589" spans="8:67" s="2" customFormat="1">
      <c r="H1589" s="202"/>
      <c r="I1589" s="10"/>
      <c r="J1589" s="10"/>
      <c r="K1589" s="10"/>
      <c r="L1589" s="20"/>
      <c r="M1589" s="31"/>
      <c r="N1589" s="39"/>
      <c r="O1589" s="39"/>
      <c r="P1589" s="39"/>
      <c r="Q1589" s="39"/>
      <c r="R1589" s="39"/>
      <c r="S1589" s="39"/>
      <c r="T1589" s="39"/>
      <c r="U1589" s="39"/>
      <c r="V1589" s="39"/>
      <c r="W1589" s="39"/>
      <c r="X1589" s="39"/>
      <c r="Y1589" s="51"/>
      <c r="Z1589" s="51"/>
      <c r="AA1589"/>
      <c r="AB1589"/>
      <c r="AC1589"/>
      <c r="AD1589"/>
      <c r="AE1589"/>
      <c r="AF1589"/>
      <c r="AG1589"/>
      <c r="AH1589"/>
      <c r="AI1589"/>
      <c r="AJ1589" s="185"/>
      <c r="AK1589" s="185"/>
      <c r="AL1589" s="185"/>
      <c r="AM1589" s="185"/>
      <c r="AN1589"/>
      <c r="AO1589" s="1"/>
      <c r="AP1589" s="1"/>
      <c r="AQ1589" s="1"/>
      <c r="AR1589" s="1"/>
      <c r="AS1589"/>
      <c r="AT1589"/>
      <c r="AU1589"/>
      <c r="AV1589"/>
      <c r="AW1589"/>
      <c r="AX1589"/>
      <c r="AY1589"/>
      <c r="AZ1589" s="1"/>
      <c r="BA1589"/>
      <c r="BB1589"/>
      <c r="BC1589"/>
      <c r="BD1589"/>
      <c r="BE1589"/>
      <c r="BF1589" s="1"/>
      <c r="BG1589"/>
      <c r="BH1589"/>
      <c r="BI1589"/>
      <c r="BJ1589"/>
      <c r="BK1589"/>
      <c r="BL1589"/>
      <c r="BM1589"/>
      <c r="BN1589"/>
      <c r="BO1589"/>
    </row>
    <row r="1590" spans="8:67" s="2" customFormat="1">
      <c r="H1590" s="202"/>
      <c r="I1590" s="10"/>
      <c r="J1590" s="10"/>
      <c r="K1590" s="10"/>
      <c r="L1590" s="20"/>
      <c r="M1590" s="31"/>
      <c r="N1590" s="39"/>
      <c r="O1590" s="39"/>
      <c r="P1590" s="39"/>
      <c r="Q1590" s="39"/>
      <c r="R1590" s="39"/>
      <c r="S1590" s="39"/>
      <c r="T1590" s="39"/>
      <c r="U1590" s="39"/>
      <c r="V1590" s="39"/>
      <c r="W1590" s="39"/>
      <c r="X1590" s="39"/>
      <c r="Y1590" s="51"/>
      <c r="Z1590" s="51"/>
      <c r="AA1590"/>
      <c r="AB1590"/>
      <c r="AC1590"/>
      <c r="AD1590"/>
      <c r="AE1590"/>
      <c r="AF1590"/>
      <c r="AG1590"/>
      <c r="AH1590"/>
      <c r="AI1590"/>
      <c r="AJ1590" s="185"/>
      <c r="AK1590" s="185"/>
      <c r="AL1590" s="185"/>
      <c r="AM1590" s="185"/>
      <c r="AN1590"/>
      <c r="AO1590" s="1"/>
      <c r="AP1590" s="1"/>
      <c r="AQ1590" s="1"/>
      <c r="AR1590" s="1"/>
      <c r="AS1590"/>
      <c r="AT1590"/>
      <c r="AU1590"/>
      <c r="AV1590"/>
      <c r="AW1590"/>
      <c r="AX1590"/>
      <c r="AY1590"/>
      <c r="AZ1590" s="1"/>
      <c r="BA1590"/>
      <c r="BB1590"/>
      <c r="BC1590"/>
      <c r="BD1590"/>
      <c r="BE1590"/>
      <c r="BF1590" s="1"/>
      <c r="BG1590"/>
      <c r="BH1590"/>
      <c r="BI1590"/>
      <c r="BJ1590"/>
      <c r="BK1590"/>
      <c r="BL1590"/>
      <c r="BM1590"/>
      <c r="BN1590"/>
      <c r="BO1590"/>
    </row>
    <row r="1591" spans="8:67" s="2" customFormat="1">
      <c r="H1591" s="202"/>
      <c r="I1591" s="10"/>
      <c r="J1591" s="10"/>
      <c r="K1591" s="10"/>
      <c r="L1591" s="20"/>
      <c r="M1591" s="31"/>
      <c r="N1591" s="39"/>
      <c r="O1591" s="39"/>
      <c r="P1591" s="39"/>
      <c r="Q1591" s="39"/>
      <c r="R1591" s="39"/>
      <c r="S1591" s="39"/>
      <c r="T1591" s="39"/>
      <c r="U1591" s="39"/>
      <c r="V1591" s="39"/>
      <c r="W1591" s="39"/>
      <c r="X1591" s="39"/>
      <c r="Y1591" s="51"/>
      <c r="Z1591" s="51"/>
      <c r="AA1591"/>
      <c r="AB1591"/>
      <c r="AC1591"/>
      <c r="AD1591"/>
      <c r="AE1591"/>
      <c r="AF1591"/>
      <c r="AG1591"/>
      <c r="AH1591"/>
      <c r="AI1591"/>
      <c r="AJ1591" s="185"/>
      <c r="AK1591" s="185"/>
      <c r="AL1591" s="185"/>
      <c r="AM1591" s="185"/>
      <c r="AN1591"/>
      <c r="AO1591" s="1"/>
      <c r="AP1591" s="1"/>
      <c r="AQ1591" s="1"/>
      <c r="AR1591" s="1"/>
      <c r="AS1591"/>
      <c r="AT1591"/>
      <c r="AU1591"/>
      <c r="AV1591"/>
      <c r="AW1591"/>
      <c r="AX1591"/>
      <c r="AY1591"/>
      <c r="AZ1591" s="1"/>
      <c r="BA1591"/>
      <c r="BB1591"/>
      <c r="BC1591"/>
      <c r="BD1591"/>
      <c r="BE1591"/>
      <c r="BF1591" s="1"/>
      <c r="BG1591"/>
      <c r="BH1591"/>
      <c r="BI1591"/>
      <c r="BJ1591"/>
      <c r="BK1591"/>
      <c r="BL1591"/>
      <c r="BM1591"/>
      <c r="BN1591"/>
      <c r="BO1591"/>
    </row>
    <row r="1592" spans="8:67" s="2" customFormat="1">
      <c r="H1592" s="202"/>
      <c r="I1592" s="10"/>
      <c r="J1592" s="10"/>
      <c r="K1592" s="10"/>
      <c r="L1592" s="20"/>
      <c r="M1592" s="31"/>
      <c r="N1592" s="39"/>
      <c r="O1592" s="39"/>
      <c r="P1592" s="39"/>
      <c r="Q1592" s="39"/>
      <c r="R1592" s="39"/>
      <c r="S1592" s="39"/>
      <c r="T1592" s="39"/>
      <c r="U1592" s="39"/>
      <c r="V1592" s="39"/>
      <c r="W1592" s="39"/>
      <c r="X1592" s="39"/>
      <c r="Y1592" s="51"/>
      <c r="Z1592" s="51"/>
      <c r="AA1592"/>
      <c r="AB1592"/>
      <c r="AC1592"/>
      <c r="AD1592"/>
      <c r="AE1592"/>
      <c r="AF1592"/>
      <c r="AG1592"/>
      <c r="AH1592"/>
      <c r="AI1592"/>
      <c r="AJ1592" s="185"/>
      <c r="AK1592" s="185"/>
      <c r="AL1592" s="185"/>
      <c r="AM1592" s="185"/>
      <c r="AN1592"/>
      <c r="AO1592" s="1"/>
      <c r="AP1592" s="1"/>
      <c r="AQ1592" s="1"/>
      <c r="AR1592" s="1"/>
      <c r="AS1592"/>
      <c r="AT1592"/>
      <c r="AU1592"/>
      <c r="AV1592"/>
      <c r="AW1592"/>
      <c r="AX1592"/>
      <c r="AY1592"/>
      <c r="AZ1592" s="1"/>
      <c r="BA1592"/>
      <c r="BB1592"/>
      <c r="BC1592"/>
      <c r="BD1592"/>
      <c r="BE1592"/>
      <c r="BF1592" s="1"/>
      <c r="BG1592"/>
      <c r="BH1592"/>
      <c r="BI1592"/>
      <c r="BJ1592"/>
      <c r="BK1592"/>
      <c r="BL1592"/>
      <c r="BM1592"/>
      <c r="BN1592"/>
      <c r="BO1592"/>
    </row>
    <row r="1593" spans="8:67" s="2" customFormat="1">
      <c r="H1593" s="202"/>
      <c r="I1593" s="10"/>
      <c r="J1593" s="10"/>
      <c r="K1593" s="10"/>
      <c r="L1593" s="20"/>
      <c r="M1593" s="31"/>
      <c r="N1593" s="39"/>
      <c r="O1593" s="39"/>
      <c r="P1593" s="39"/>
      <c r="Q1593" s="39"/>
      <c r="R1593" s="39"/>
      <c r="S1593" s="39"/>
      <c r="T1593" s="39"/>
      <c r="U1593" s="39"/>
      <c r="V1593" s="39"/>
      <c r="W1593" s="39"/>
      <c r="X1593" s="39"/>
      <c r="Y1593" s="51"/>
      <c r="Z1593" s="51"/>
      <c r="AA1593"/>
      <c r="AB1593"/>
      <c r="AC1593"/>
      <c r="AD1593"/>
      <c r="AE1593"/>
      <c r="AF1593"/>
      <c r="AG1593"/>
      <c r="AH1593"/>
      <c r="AI1593"/>
      <c r="AJ1593" s="185"/>
      <c r="AK1593" s="185"/>
      <c r="AL1593" s="185"/>
      <c r="AM1593" s="185"/>
      <c r="AN1593"/>
      <c r="AO1593" s="1"/>
      <c r="AP1593" s="1"/>
      <c r="AQ1593" s="1"/>
      <c r="AR1593" s="1"/>
      <c r="AS1593"/>
      <c r="AT1593"/>
      <c r="AU1593"/>
      <c r="AV1593"/>
      <c r="AW1593"/>
      <c r="AX1593"/>
      <c r="AY1593"/>
      <c r="AZ1593" s="1"/>
      <c r="BA1593"/>
      <c r="BB1593"/>
      <c r="BC1593"/>
      <c r="BD1593"/>
      <c r="BE1593"/>
      <c r="BF1593" s="1"/>
      <c r="BG1593"/>
      <c r="BH1593"/>
      <c r="BI1593"/>
      <c r="BJ1593"/>
      <c r="BK1593"/>
      <c r="BL1593"/>
      <c r="BM1593"/>
      <c r="BN1593"/>
      <c r="BO1593"/>
    </row>
    <row r="1594" spans="8:67" s="2" customFormat="1">
      <c r="H1594" s="202"/>
      <c r="I1594" s="10"/>
      <c r="J1594" s="10"/>
      <c r="K1594" s="10"/>
      <c r="L1594" s="20"/>
      <c r="M1594" s="31"/>
      <c r="N1594" s="39"/>
      <c r="O1594" s="39"/>
      <c r="P1594" s="39"/>
      <c r="Q1594" s="39"/>
      <c r="R1594" s="39"/>
      <c r="S1594" s="39"/>
      <c r="T1594" s="39"/>
      <c r="U1594" s="39"/>
      <c r="V1594" s="39"/>
      <c r="W1594" s="39"/>
      <c r="X1594" s="39"/>
      <c r="Y1594" s="51"/>
      <c r="Z1594" s="51"/>
      <c r="AA1594"/>
      <c r="AB1594"/>
      <c r="AC1594"/>
      <c r="AD1594"/>
      <c r="AE1594"/>
      <c r="AF1594"/>
      <c r="AG1594"/>
      <c r="AH1594"/>
      <c r="AI1594"/>
      <c r="AJ1594" s="185"/>
      <c r="AK1594" s="185"/>
      <c r="AL1594" s="185"/>
      <c r="AM1594" s="185"/>
      <c r="AN1594"/>
      <c r="AO1594" s="1"/>
      <c r="AP1594" s="1"/>
      <c r="AQ1594" s="1"/>
      <c r="AR1594" s="1"/>
      <c r="AS1594"/>
      <c r="AT1594"/>
      <c r="AU1594"/>
      <c r="AV1594"/>
      <c r="AW1594"/>
      <c r="AX1594"/>
      <c r="AY1594"/>
      <c r="AZ1594" s="1"/>
      <c r="BA1594"/>
      <c r="BB1594"/>
      <c r="BC1594"/>
      <c r="BD1594"/>
      <c r="BE1594"/>
      <c r="BF1594" s="1"/>
      <c r="BG1594"/>
      <c r="BH1594"/>
      <c r="BI1594"/>
      <c r="BJ1594"/>
      <c r="BK1594"/>
      <c r="BL1594"/>
      <c r="BM1594"/>
      <c r="BN1594"/>
      <c r="BO1594"/>
    </row>
    <row r="1595" spans="8:67" s="2" customFormat="1">
      <c r="H1595" s="202"/>
      <c r="I1595" s="10"/>
      <c r="J1595" s="10"/>
      <c r="K1595" s="10"/>
      <c r="L1595" s="20"/>
      <c r="M1595" s="31"/>
      <c r="N1595" s="39"/>
      <c r="O1595" s="39"/>
      <c r="P1595" s="39"/>
      <c r="Q1595" s="39"/>
      <c r="R1595" s="39"/>
      <c r="S1595" s="39"/>
      <c r="T1595" s="39"/>
      <c r="U1595" s="39"/>
      <c r="V1595" s="39"/>
      <c r="W1595" s="39"/>
      <c r="X1595" s="39"/>
      <c r="Y1595" s="51"/>
      <c r="Z1595" s="51"/>
      <c r="AA1595"/>
      <c r="AB1595"/>
      <c r="AC1595"/>
      <c r="AD1595"/>
      <c r="AE1595"/>
      <c r="AF1595"/>
      <c r="AG1595"/>
      <c r="AH1595"/>
      <c r="AI1595"/>
      <c r="AJ1595" s="185"/>
      <c r="AK1595" s="185"/>
      <c r="AL1595" s="185"/>
      <c r="AM1595" s="185"/>
      <c r="AN1595"/>
      <c r="AO1595" s="1"/>
      <c r="AP1595" s="1"/>
      <c r="AQ1595" s="1"/>
      <c r="AR1595" s="1"/>
      <c r="AS1595"/>
      <c r="AT1595"/>
      <c r="AU1595"/>
      <c r="AV1595"/>
      <c r="AW1595"/>
      <c r="AX1595"/>
      <c r="AY1595"/>
      <c r="AZ1595" s="1"/>
      <c r="BA1595"/>
      <c r="BB1595"/>
      <c r="BC1595"/>
      <c r="BD1595"/>
      <c r="BE1595"/>
      <c r="BF1595" s="1"/>
      <c r="BG1595"/>
      <c r="BH1595"/>
      <c r="BI1595"/>
      <c r="BJ1595"/>
      <c r="BK1595"/>
      <c r="BL1595"/>
      <c r="BM1595"/>
      <c r="BN1595"/>
      <c r="BO1595"/>
    </row>
    <row r="1596" spans="8:67" s="2" customFormat="1">
      <c r="H1596" s="202"/>
      <c r="I1596" s="10"/>
      <c r="J1596" s="10"/>
      <c r="K1596" s="10"/>
      <c r="L1596" s="20"/>
      <c r="M1596" s="31"/>
      <c r="N1596" s="39"/>
      <c r="O1596" s="39"/>
      <c r="P1596" s="39"/>
      <c r="Q1596" s="39"/>
      <c r="R1596" s="39"/>
      <c r="S1596" s="39"/>
      <c r="T1596" s="39"/>
      <c r="U1596" s="39"/>
      <c r="V1596" s="39"/>
      <c r="W1596" s="39"/>
      <c r="X1596" s="39"/>
      <c r="Y1596" s="51"/>
      <c r="Z1596" s="51"/>
      <c r="AA1596"/>
      <c r="AB1596"/>
      <c r="AC1596"/>
      <c r="AD1596"/>
      <c r="AE1596"/>
      <c r="AF1596"/>
      <c r="AG1596"/>
      <c r="AH1596"/>
      <c r="AI1596"/>
      <c r="AJ1596" s="185"/>
      <c r="AK1596" s="185"/>
      <c r="AL1596" s="185"/>
      <c r="AM1596" s="185"/>
      <c r="AN1596"/>
      <c r="AO1596" s="1"/>
      <c r="AP1596" s="1"/>
      <c r="AQ1596" s="1"/>
      <c r="AR1596" s="1"/>
      <c r="AS1596"/>
      <c r="AT1596"/>
      <c r="AU1596"/>
      <c r="AV1596"/>
      <c r="AW1596"/>
      <c r="AX1596"/>
      <c r="AY1596"/>
      <c r="AZ1596" s="1"/>
      <c r="BA1596"/>
      <c r="BB1596"/>
      <c r="BC1596"/>
      <c r="BD1596"/>
      <c r="BE1596"/>
      <c r="BF1596" s="1"/>
      <c r="BG1596"/>
      <c r="BH1596"/>
      <c r="BI1596"/>
      <c r="BJ1596"/>
      <c r="BK1596"/>
      <c r="BL1596"/>
      <c r="BM1596"/>
      <c r="BN1596"/>
      <c r="BO1596"/>
    </row>
    <row r="1597" spans="8:67" s="2" customFormat="1">
      <c r="H1597" s="202"/>
      <c r="I1597" s="10"/>
      <c r="J1597" s="10"/>
      <c r="K1597" s="10"/>
      <c r="L1597" s="20"/>
      <c r="M1597" s="31"/>
      <c r="N1597" s="39"/>
      <c r="O1597" s="39"/>
      <c r="P1597" s="39"/>
      <c r="Q1597" s="39"/>
      <c r="R1597" s="39"/>
      <c r="S1597" s="39"/>
      <c r="T1597" s="39"/>
      <c r="U1597" s="39"/>
      <c r="V1597" s="39"/>
      <c r="W1597" s="39"/>
      <c r="X1597" s="39"/>
      <c r="Y1597" s="51"/>
      <c r="Z1597" s="51"/>
      <c r="AA1597"/>
      <c r="AB1597"/>
      <c r="AC1597"/>
      <c r="AD1597"/>
      <c r="AE1597"/>
      <c r="AF1597"/>
      <c r="AG1597"/>
      <c r="AH1597"/>
      <c r="AI1597"/>
      <c r="AJ1597" s="185"/>
      <c r="AK1597" s="185"/>
      <c r="AL1597" s="185"/>
      <c r="AM1597" s="185"/>
      <c r="AN1597"/>
      <c r="AO1597" s="1"/>
      <c r="AP1597" s="1"/>
      <c r="AQ1597" s="1"/>
      <c r="AR1597" s="1"/>
      <c r="AS1597"/>
      <c r="AT1597"/>
      <c r="AU1597"/>
      <c r="AV1597"/>
      <c r="AW1597"/>
      <c r="AX1597"/>
      <c r="AY1597"/>
      <c r="AZ1597" s="1"/>
      <c r="BA1597"/>
      <c r="BB1597"/>
      <c r="BC1597"/>
      <c r="BD1597"/>
      <c r="BE1597"/>
      <c r="BF1597" s="1"/>
      <c r="BG1597"/>
      <c r="BH1597"/>
      <c r="BI1597"/>
      <c r="BJ1597"/>
      <c r="BK1597"/>
      <c r="BL1597"/>
      <c r="BM1597"/>
      <c r="BN1597"/>
      <c r="BO1597"/>
    </row>
    <row r="1598" spans="8:67" s="2" customFormat="1">
      <c r="H1598" s="202"/>
      <c r="I1598" s="10"/>
      <c r="J1598" s="10"/>
      <c r="K1598" s="10"/>
      <c r="L1598" s="20"/>
      <c r="M1598" s="31"/>
      <c r="N1598" s="39"/>
      <c r="O1598" s="39"/>
      <c r="P1598" s="39"/>
      <c r="Q1598" s="39"/>
      <c r="R1598" s="39"/>
      <c r="S1598" s="39"/>
      <c r="T1598" s="39"/>
      <c r="U1598" s="39"/>
      <c r="V1598" s="39"/>
      <c r="W1598" s="39"/>
      <c r="X1598" s="39"/>
      <c r="Y1598" s="51"/>
      <c r="Z1598" s="51"/>
      <c r="AA1598"/>
      <c r="AB1598"/>
      <c r="AC1598"/>
      <c r="AD1598"/>
      <c r="AE1598"/>
      <c r="AF1598"/>
      <c r="AG1598"/>
      <c r="AH1598"/>
      <c r="AI1598"/>
      <c r="AJ1598" s="185"/>
      <c r="AK1598" s="185"/>
      <c r="AL1598" s="185"/>
      <c r="AM1598" s="185"/>
      <c r="AN1598"/>
      <c r="AO1598" s="1"/>
      <c r="AP1598" s="1"/>
      <c r="AQ1598" s="1"/>
      <c r="AR1598" s="1"/>
      <c r="AS1598"/>
      <c r="AT1598"/>
      <c r="AU1598"/>
      <c r="AV1598"/>
      <c r="AW1598"/>
      <c r="AX1598"/>
      <c r="AY1598"/>
      <c r="AZ1598" s="1"/>
      <c r="BA1598"/>
      <c r="BB1598"/>
      <c r="BC1598"/>
      <c r="BD1598"/>
      <c r="BE1598"/>
      <c r="BF1598" s="1"/>
      <c r="BG1598"/>
      <c r="BH1598"/>
      <c r="BI1598"/>
      <c r="BJ1598"/>
      <c r="BK1598"/>
      <c r="BL1598"/>
      <c r="BM1598"/>
      <c r="BN1598"/>
      <c r="BO1598"/>
    </row>
    <row r="1599" spans="8:67" s="2" customFormat="1">
      <c r="H1599" s="202"/>
      <c r="I1599" s="10"/>
      <c r="J1599" s="10"/>
      <c r="K1599" s="10"/>
      <c r="L1599" s="20"/>
      <c r="M1599" s="31"/>
      <c r="N1599" s="39"/>
      <c r="O1599" s="39"/>
      <c r="P1599" s="39"/>
      <c r="Q1599" s="39"/>
      <c r="R1599" s="39"/>
      <c r="S1599" s="39"/>
      <c r="T1599" s="39"/>
      <c r="U1599" s="39"/>
      <c r="V1599" s="39"/>
      <c r="W1599" s="39"/>
      <c r="X1599" s="39"/>
      <c r="Y1599" s="51"/>
      <c r="Z1599" s="51"/>
      <c r="AA1599"/>
      <c r="AB1599"/>
      <c r="AC1599"/>
      <c r="AD1599"/>
      <c r="AE1599"/>
      <c r="AF1599"/>
      <c r="AG1599"/>
      <c r="AH1599"/>
      <c r="AI1599"/>
      <c r="AJ1599" s="185"/>
      <c r="AK1599" s="185"/>
      <c r="AL1599" s="185"/>
      <c r="AM1599" s="185"/>
      <c r="AN1599"/>
      <c r="AO1599" s="1"/>
      <c r="AP1599" s="1"/>
      <c r="AQ1599" s="1"/>
      <c r="AR1599" s="1"/>
      <c r="AS1599"/>
      <c r="AT1599"/>
      <c r="AU1599"/>
      <c r="AV1599"/>
      <c r="AW1599"/>
      <c r="AX1599"/>
      <c r="AY1599"/>
      <c r="AZ1599" s="1"/>
      <c r="BA1599"/>
      <c r="BB1599"/>
      <c r="BC1599"/>
      <c r="BD1599"/>
      <c r="BE1599"/>
      <c r="BF1599" s="1"/>
      <c r="BG1599"/>
      <c r="BH1599"/>
      <c r="BI1599"/>
      <c r="BJ1599"/>
      <c r="BK1599"/>
      <c r="BL1599"/>
      <c r="BM1599"/>
      <c r="BN1599"/>
      <c r="BO1599"/>
    </row>
    <row r="1600" spans="8:67" s="2" customFormat="1">
      <c r="H1600" s="202"/>
      <c r="I1600" s="10"/>
      <c r="J1600" s="10"/>
      <c r="K1600" s="10"/>
      <c r="L1600" s="20"/>
      <c r="M1600" s="31"/>
      <c r="N1600" s="39"/>
      <c r="O1600" s="39"/>
      <c r="P1600" s="39"/>
      <c r="Q1600" s="39"/>
      <c r="R1600" s="39"/>
      <c r="S1600" s="39"/>
      <c r="T1600" s="39"/>
      <c r="U1600" s="39"/>
      <c r="V1600" s="39"/>
      <c r="W1600" s="39"/>
      <c r="X1600" s="39"/>
      <c r="Y1600" s="51"/>
      <c r="Z1600" s="51"/>
      <c r="AA1600"/>
      <c r="AB1600"/>
      <c r="AC1600"/>
      <c r="AD1600"/>
      <c r="AE1600"/>
      <c r="AF1600"/>
      <c r="AG1600"/>
      <c r="AH1600"/>
      <c r="AI1600"/>
      <c r="AJ1600" s="185"/>
      <c r="AK1600" s="185"/>
      <c r="AL1600" s="185"/>
      <c r="AM1600" s="185"/>
      <c r="AN1600"/>
      <c r="AO1600" s="1"/>
      <c r="AP1600" s="1"/>
      <c r="AQ1600" s="1"/>
      <c r="AR1600" s="1"/>
      <c r="AS1600"/>
      <c r="AT1600"/>
      <c r="AU1600"/>
      <c r="AV1600"/>
      <c r="AW1600"/>
      <c r="AX1600"/>
      <c r="AY1600"/>
      <c r="AZ1600" s="1"/>
      <c r="BA1600"/>
      <c r="BB1600"/>
      <c r="BC1600"/>
      <c r="BD1600"/>
      <c r="BE1600"/>
      <c r="BF1600" s="1"/>
      <c r="BG1600"/>
      <c r="BH1600"/>
      <c r="BI1600"/>
      <c r="BJ1600"/>
      <c r="BK1600"/>
      <c r="BL1600"/>
      <c r="BM1600"/>
      <c r="BN1600"/>
      <c r="BO1600"/>
    </row>
    <row r="1601" spans="8:67" s="2" customFormat="1">
      <c r="H1601" s="202"/>
      <c r="I1601" s="10"/>
      <c r="J1601" s="10"/>
      <c r="K1601" s="10"/>
      <c r="L1601" s="20"/>
      <c r="M1601" s="31"/>
      <c r="N1601" s="39"/>
      <c r="O1601" s="39"/>
      <c r="P1601" s="39"/>
      <c r="Q1601" s="39"/>
      <c r="R1601" s="39"/>
      <c r="S1601" s="39"/>
      <c r="T1601" s="39"/>
      <c r="U1601" s="39"/>
      <c r="V1601" s="39"/>
      <c r="W1601" s="39"/>
      <c r="X1601" s="39"/>
      <c r="Y1601" s="51"/>
      <c r="Z1601" s="51"/>
      <c r="AA1601"/>
      <c r="AB1601"/>
      <c r="AC1601"/>
      <c r="AD1601"/>
      <c r="AE1601"/>
      <c r="AF1601"/>
      <c r="AG1601"/>
      <c r="AH1601"/>
      <c r="AI1601"/>
      <c r="AJ1601" s="185"/>
      <c r="AK1601" s="185"/>
      <c r="AL1601" s="185"/>
      <c r="AM1601" s="185"/>
      <c r="AN1601"/>
      <c r="AO1601" s="1"/>
      <c r="AP1601" s="1"/>
      <c r="AQ1601" s="1"/>
      <c r="AR1601" s="1"/>
      <c r="AS1601"/>
      <c r="AT1601"/>
      <c r="AU1601"/>
      <c r="AV1601"/>
      <c r="AW1601"/>
      <c r="AX1601"/>
      <c r="AY1601"/>
      <c r="AZ1601" s="1"/>
      <c r="BA1601"/>
      <c r="BB1601"/>
      <c r="BC1601"/>
      <c r="BD1601"/>
      <c r="BE1601"/>
      <c r="BF1601" s="1"/>
      <c r="BG1601"/>
      <c r="BH1601"/>
      <c r="BI1601"/>
      <c r="BJ1601"/>
      <c r="BK1601"/>
      <c r="BL1601"/>
      <c r="BM1601"/>
      <c r="BN1601"/>
      <c r="BO1601"/>
    </row>
    <row r="1602" spans="8:67" s="2" customFormat="1">
      <c r="H1602" s="202"/>
      <c r="I1602" s="10"/>
      <c r="J1602" s="10"/>
      <c r="K1602" s="10"/>
      <c r="L1602" s="20"/>
      <c r="M1602" s="31"/>
      <c r="N1602" s="39"/>
      <c r="O1602" s="39"/>
      <c r="P1602" s="39"/>
      <c r="Q1602" s="39"/>
      <c r="R1602" s="39"/>
      <c r="S1602" s="39"/>
      <c r="T1602" s="39"/>
      <c r="U1602" s="39"/>
      <c r="V1602" s="39"/>
      <c r="W1602" s="39"/>
      <c r="X1602" s="39"/>
      <c r="Y1602" s="51"/>
      <c r="Z1602" s="51"/>
      <c r="AA1602"/>
      <c r="AB1602"/>
      <c r="AC1602"/>
      <c r="AD1602"/>
      <c r="AE1602"/>
      <c r="AF1602"/>
      <c r="AG1602"/>
      <c r="AH1602"/>
      <c r="AI1602"/>
      <c r="AJ1602" s="185"/>
      <c r="AK1602" s="185"/>
      <c r="AL1602" s="185"/>
      <c r="AM1602" s="185"/>
      <c r="AN1602"/>
      <c r="AO1602" s="1"/>
      <c r="AP1602" s="1"/>
      <c r="AQ1602" s="1"/>
      <c r="AR1602" s="1"/>
      <c r="AS1602"/>
      <c r="AT1602"/>
      <c r="AU1602"/>
      <c r="AV1602"/>
      <c r="AW1602"/>
      <c r="AX1602"/>
      <c r="AY1602"/>
      <c r="AZ1602" s="1"/>
      <c r="BA1602"/>
      <c r="BB1602"/>
      <c r="BC1602"/>
      <c r="BD1602"/>
      <c r="BE1602"/>
      <c r="BF1602" s="1"/>
      <c r="BG1602"/>
      <c r="BH1602"/>
      <c r="BI1602"/>
      <c r="BJ1602"/>
      <c r="BK1602"/>
      <c r="BL1602"/>
      <c r="BM1602"/>
      <c r="BN1602"/>
      <c r="BO1602"/>
    </row>
    <row r="1603" spans="8:67" s="2" customFormat="1">
      <c r="H1603" s="202"/>
      <c r="I1603" s="10"/>
      <c r="J1603" s="10"/>
      <c r="K1603" s="10"/>
      <c r="L1603" s="20"/>
      <c r="M1603" s="31"/>
      <c r="N1603" s="39"/>
      <c r="O1603" s="39"/>
      <c r="P1603" s="39"/>
      <c r="Q1603" s="39"/>
      <c r="R1603" s="39"/>
      <c r="S1603" s="39"/>
      <c r="T1603" s="39"/>
      <c r="U1603" s="39"/>
      <c r="V1603" s="39"/>
      <c r="W1603" s="39"/>
      <c r="X1603" s="39"/>
      <c r="Y1603" s="51"/>
      <c r="Z1603" s="51"/>
      <c r="AA1603"/>
      <c r="AB1603"/>
      <c r="AC1603"/>
      <c r="AD1603"/>
      <c r="AE1603"/>
      <c r="AF1603"/>
      <c r="AG1603"/>
      <c r="AH1603"/>
      <c r="AI1603"/>
      <c r="AJ1603" s="185"/>
      <c r="AK1603" s="185"/>
      <c r="AL1603" s="185"/>
      <c r="AM1603" s="185"/>
      <c r="AN1603"/>
      <c r="AO1603" s="1"/>
      <c r="AP1603" s="1"/>
      <c r="AQ1603" s="1"/>
      <c r="AR1603" s="1"/>
      <c r="AS1603"/>
      <c r="AT1603"/>
      <c r="AU1603"/>
      <c r="AV1603"/>
      <c r="AW1603"/>
      <c r="AX1603"/>
      <c r="AY1603"/>
      <c r="AZ1603" s="1"/>
      <c r="BA1603"/>
      <c r="BB1603"/>
      <c r="BC1603"/>
      <c r="BD1603"/>
      <c r="BE1603"/>
      <c r="BF1603" s="1"/>
      <c r="BG1603"/>
      <c r="BH1603"/>
      <c r="BI1603"/>
      <c r="BJ1603"/>
      <c r="BK1603"/>
      <c r="BL1603"/>
      <c r="BM1603"/>
      <c r="BN1603"/>
      <c r="BO1603"/>
    </row>
    <row r="1604" spans="8:67" s="2" customFormat="1">
      <c r="H1604" s="202"/>
      <c r="I1604" s="10"/>
      <c r="J1604" s="10"/>
      <c r="K1604" s="10"/>
      <c r="L1604" s="20"/>
      <c r="M1604" s="31"/>
      <c r="N1604" s="39"/>
      <c r="O1604" s="39"/>
      <c r="P1604" s="39"/>
      <c r="Q1604" s="39"/>
      <c r="R1604" s="39"/>
      <c r="S1604" s="39"/>
      <c r="T1604" s="39"/>
      <c r="U1604" s="39"/>
      <c r="V1604" s="39"/>
      <c r="W1604" s="39"/>
      <c r="X1604" s="39"/>
      <c r="Y1604" s="51"/>
      <c r="Z1604" s="51"/>
      <c r="AA1604"/>
      <c r="AB1604"/>
      <c r="AC1604"/>
      <c r="AD1604"/>
      <c r="AE1604"/>
      <c r="AF1604"/>
      <c r="AG1604"/>
      <c r="AH1604"/>
      <c r="AI1604"/>
      <c r="AJ1604" s="185"/>
      <c r="AK1604" s="185"/>
      <c r="AL1604" s="185"/>
      <c r="AM1604" s="185"/>
      <c r="AN1604"/>
      <c r="AO1604" s="1"/>
      <c r="AP1604" s="1"/>
      <c r="AQ1604" s="1"/>
      <c r="AR1604" s="1"/>
      <c r="AS1604"/>
      <c r="AT1604"/>
      <c r="AU1604"/>
      <c r="AV1604"/>
      <c r="AW1604"/>
      <c r="AX1604"/>
      <c r="AY1604"/>
      <c r="AZ1604" s="1"/>
      <c r="BA1604"/>
      <c r="BB1604"/>
      <c r="BC1604"/>
      <c r="BD1604"/>
      <c r="BE1604"/>
      <c r="BF1604" s="1"/>
      <c r="BG1604"/>
      <c r="BH1604"/>
      <c r="BI1604"/>
      <c r="BJ1604"/>
      <c r="BK1604"/>
      <c r="BL1604"/>
      <c r="BM1604"/>
      <c r="BN1604"/>
      <c r="BO1604"/>
    </row>
    <row r="1605" spans="8:67" s="2" customFormat="1">
      <c r="H1605" s="202"/>
      <c r="I1605" s="10"/>
      <c r="J1605" s="10"/>
      <c r="K1605" s="10"/>
      <c r="L1605" s="20"/>
      <c r="M1605" s="31"/>
      <c r="N1605" s="39"/>
      <c r="O1605" s="39"/>
      <c r="P1605" s="39"/>
      <c r="Q1605" s="39"/>
      <c r="R1605" s="39"/>
      <c r="S1605" s="39"/>
      <c r="T1605" s="39"/>
      <c r="U1605" s="39"/>
      <c r="V1605" s="39"/>
      <c r="W1605" s="39"/>
      <c r="X1605" s="39"/>
      <c r="Y1605" s="51"/>
      <c r="Z1605" s="51"/>
      <c r="AA1605"/>
      <c r="AB1605"/>
      <c r="AC1605"/>
      <c r="AD1605"/>
      <c r="AE1605"/>
      <c r="AF1605"/>
      <c r="AG1605"/>
      <c r="AH1605"/>
      <c r="AI1605"/>
      <c r="AJ1605" s="185"/>
      <c r="AK1605" s="185"/>
      <c r="AL1605" s="185"/>
      <c r="AM1605" s="185"/>
      <c r="AN1605"/>
      <c r="AO1605" s="1"/>
      <c r="AP1605" s="1"/>
      <c r="AQ1605" s="1"/>
      <c r="AR1605" s="1"/>
      <c r="AS1605"/>
      <c r="AT1605"/>
      <c r="AU1605"/>
      <c r="AV1605"/>
      <c r="AW1605"/>
      <c r="AX1605"/>
      <c r="AY1605"/>
      <c r="AZ1605" s="1"/>
      <c r="BA1605"/>
      <c r="BB1605"/>
      <c r="BC1605"/>
      <c r="BD1605"/>
      <c r="BE1605"/>
      <c r="BF1605" s="1"/>
      <c r="BG1605"/>
      <c r="BH1605"/>
      <c r="BI1605"/>
      <c r="BJ1605"/>
      <c r="BK1605"/>
      <c r="BL1605"/>
      <c r="BM1605"/>
      <c r="BN1605"/>
      <c r="BO1605"/>
    </row>
    <row r="1606" spans="8:67" s="2" customFormat="1">
      <c r="H1606" s="202"/>
      <c r="I1606" s="10"/>
      <c r="J1606" s="10"/>
      <c r="K1606" s="10"/>
      <c r="L1606" s="20"/>
      <c r="M1606" s="31"/>
      <c r="N1606" s="39"/>
      <c r="O1606" s="39"/>
      <c r="P1606" s="39"/>
      <c r="Q1606" s="39"/>
      <c r="R1606" s="39"/>
      <c r="S1606" s="39"/>
      <c r="T1606" s="39"/>
      <c r="U1606" s="39"/>
      <c r="V1606" s="39"/>
      <c r="W1606" s="39"/>
      <c r="X1606" s="39"/>
      <c r="Y1606" s="51"/>
      <c r="Z1606" s="51"/>
      <c r="AA1606"/>
      <c r="AB1606"/>
      <c r="AC1606"/>
      <c r="AD1606"/>
      <c r="AE1606"/>
      <c r="AF1606"/>
      <c r="AG1606"/>
      <c r="AH1606"/>
      <c r="AI1606"/>
      <c r="AJ1606" s="185"/>
      <c r="AK1606" s="185"/>
      <c r="AL1606" s="185"/>
      <c r="AM1606" s="185"/>
      <c r="AN1606"/>
      <c r="AO1606" s="1"/>
      <c r="AP1606" s="1"/>
      <c r="AQ1606" s="1"/>
      <c r="AR1606" s="1"/>
      <c r="AS1606"/>
      <c r="AT1606"/>
      <c r="AU1606"/>
      <c r="AV1606"/>
      <c r="AW1606"/>
      <c r="AX1606"/>
      <c r="AY1606"/>
      <c r="AZ1606" s="1"/>
      <c r="BA1606"/>
      <c r="BB1606"/>
      <c r="BC1606"/>
      <c r="BD1606"/>
      <c r="BE1606"/>
      <c r="BF1606" s="1"/>
      <c r="BG1606"/>
      <c r="BH1606"/>
      <c r="BI1606"/>
      <c r="BJ1606"/>
      <c r="BK1606"/>
      <c r="BL1606"/>
      <c r="BM1606"/>
      <c r="BN1606"/>
      <c r="BO1606"/>
    </row>
    <row r="1607" spans="8:67" s="2" customFormat="1">
      <c r="H1607" s="202"/>
      <c r="I1607" s="10"/>
      <c r="J1607" s="10"/>
      <c r="K1607" s="10"/>
      <c r="L1607" s="20"/>
      <c r="M1607" s="31"/>
      <c r="N1607" s="39"/>
      <c r="O1607" s="39"/>
      <c r="P1607" s="39"/>
      <c r="Q1607" s="39"/>
      <c r="R1607" s="39"/>
      <c r="S1607" s="39"/>
      <c r="T1607" s="39"/>
      <c r="U1607" s="39"/>
      <c r="V1607" s="39"/>
      <c r="W1607" s="39"/>
      <c r="X1607" s="39"/>
      <c r="Y1607" s="51"/>
      <c r="Z1607" s="51"/>
      <c r="AA1607"/>
      <c r="AB1607"/>
      <c r="AC1607"/>
      <c r="AD1607"/>
      <c r="AE1607"/>
      <c r="AF1607"/>
      <c r="AG1607"/>
      <c r="AH1607"/>
      <c r="AI1607"/>
      <c r="AJ1607" s="185"/>
      <c r="AK1607" s="185"/>
      <c r="AL1607" s="185"/>
      <c r="AM1607" s="185"/>
      <c r="AN1607"/>
      <c r="AO1607" s="1"/>
      <c r="AP1607" s="1"/>
      <c r="AQ1607" s="1"/>
      <c r="AR1607" s="1"/>
      <c r="AS1607"/>
      <c r="AT1607"/>
      <c r="AU1607"/>
      <c r="AV1607"/>
      <c r="AW1607"/>
      <c r="AX1607"/>
      <c r="AY1607"/>
      <c r="AZ1607" s="1"/>
      <c r="BA1607"/>
      <c r="BB1607"/>
      <c r="BC1607"/>
      <c r="BD1607"/>
      <c r="BE1607"/>
      <c r="BF1607" s="1"/>
      <c r="BG1607"/>
      <c r="BH1607"/>
      <c r="BI1607"/>
      <c r="BJ1607"/>
      <c r="BK1607"/>
      <c r="BL1607"/>
      <c r="BM1607"/>
      <c r="BN1607"/>
      <c r="BO1607"/>
    </row>
    <row r="1608" spans="8:67" s="2" customFormat="1">
      <c r="H1608" s="202"/>
      <c r="I1608" s="10"/>
      <c r="J1608" s="10"/>
      <c r="K1608" s="10"/>
      <c r="L1608" s="20"/>
      <c r="M1608" s="31"/>
      <c r="N1608" s="39"/>
      <c r="O1608" s="39"/>
      <c r="P1608" s="39"/>
      <c r="Q1608" s="39"/>
      <c r="R1608" s="39"/>
      <c r="S1608" s="39"/>
      <c r="T1608" s="39"/>
      <c r="U1608" s="39"/>
      <c r="V1608" s="39"/>
      <c r="W1608" s="39"/>
      <c r="X1608" s="39"/>
      <c r="Y1608" s="51"/>
      <c r="Z1608" s="51"/>
      <c r="AA1608"/>
      <c r="AB1608"/>
      <c r="AC1608"/>
      <c r="AD1608"/>
      <c r="AE1608"/>
      <c r="AF1608"/>
      <c r="AG1608"/>
      <c r="AH1608"/>
      <c r="AI1608"/>
      <c r="AJ1608" s="185"/>
      <c r="AK1608" s="185"/>
      <c r="AL1608" s="185"/>
      <c r="AM1608" s="185"/>
      <c r="AN1608"/>
      <c r="AO1608" s="1"/>
      <c r="AP1608" s="1"/>
      <c r="AQ1608" s="1"/>
      <c r="AR1608" s="1"/>
      <c r="AS1608"/>
      <c r="AT1608"/>
      <c r="AU1608"/>
      <c r="AV1608"/>
      <c r="AW1608"/>
      <c r="AX1608"/>
      <c r="AY1608"/>
      <c r="AZ1608" s="1"/>
      <c r="BA1608"/>
      <c r="BB1608"/>
      <c r="BC1608"/>
      <c r="BD1608"/>
      <c r="BE1608"/>
      <c r="BF1608" s="1"/>
      <c r="BG1608"/>
      <c r="BH1608"/>
      <c r="BI1608"/>
      <c r="BJ1608"/>
      <c r="BK1608"/>
      <c r="BL1608"/>
      <c r="BM1608"/>
      <c r="BN1608"/>
      <c r="BO1608"/>
    </row>
    <row r="1609" spans="8:67" s="2" customFormat="1">
      <c r="H1609" s="202"/>
      <c r="I1609" s="10"/>
      <c r="J1609" s="10"/>
      <c r="K1609" s="10"/>
      <c r="L1609" s="20"/>
      <c r="M1609" s="31"/>
      <c r="N1609" s="39"/>
      <c r="O1609" s="39"/>
      <c r="P1609" s="39"/>
      <c r="Q1609" s="39"/>
      <c r="R1609" s="39"/>
      <c r="S1609" s="39"/>
      <c r="T1609" s="39"/>
      <c r="U1609" s="39"/>
      <c r="V1609" s="39"/>
      <c r="W1609" s="39"/>
      <c r="X1609" s="39"/>
      <c r="Y1609" s="51"/>
      <c r="Z1609" s="51"/>
      <c r="AA1609"/>
      <c r="AB1609"/>
      <c r="AC1609"/>
      <c r="AD1609"/>
      <c r="AE1609"/>
      <c r="AF1609"/>
      <c r="AG1609"/>
      <c r="AH1609"/>
      <c r="AI1609"/>
      <c r="AJ1609" s="185"/>
      <c r="AK1609" s="185"/>
      <c r="AL1609" s="185"/>
      <c r="AM1609" s="185"/>
      <c r="AN1609"/>
      <c r="AO1609" s="1"/>
      <c r="AP1609" s="1"/>
      <c r="AQ1609" s="1"/>
      <c r="AR1609" s="1"/>
      <c r="AS1609"/>
      <c r="AT1609"/>
      <c r="AU1609"/>
      <c r="AV1609"/>
      <c r="AW1609"/>
      <c r="AX1609"/>
      <c r="AY1609"/>
      <c r="AZ1609" s="1"/>
      <c r="BA1609"/>
      <c r="BB1609"/>
      <c r="BC1609"/>
      <c r="BD1609"/>
      <c r="BE1609"/>
      <c r="BF1609" s="1"/>
      <c r="BG1609"/>
      <c r="BH1609"/>
      <c r="BI1609"/>
      <c r="BJ1609"/>
      <c r="BK1609"/>
      <c r="BL1609"/>
      <c r="BM1609"/>
      <c r="BN1609"/>
      <c r="BO1609"/>
    </row>
    <row r="1610" spans="8:67" s="2" customFormat="1">
      <c r="H1610" s="202"/>
      <c r="I1610" s="10"/>
      <c r="J1610" s="10"/>
      <c r="K1610" s="10"/>
      <c r="L1610" s="20"/>
      <c r="M1610" s="31"/>
      <c r="N1610" s="39"/>
      <c r="O1610" s="39"/>
      <c r="P1610" s="39"/>
      <c r="Q1610" s="39"/>
      <c r="R1610" s="39"/>
      <c r="S1610" s="39"/>
      <c r="T1610" s="39"/>
      <c r="U1610" s="39"/>
      <c r="V1610" s="39"/>
      <c r="W1610" s="39"/>
      <c r="X1610" s="39"/>
      <c r="Y1610" s="51"/>
      <c r="Z1610" s="51"/>
      <c r="AA1610"/>
      <c r="AB1610"/>
      <c r="AC1610"/>
      <c r="AD1610"/>
      <c r="AE1610"/>
      <c r="AF1610"/>
      <c r="AG1610"/>
      <c r="AH1610"/>
      <c r="AI1610"/>
      <c r="AJ1610" s="185"/>
      <c r="AK1610" s="185"/>
      <c r="AL1610" s="185"/>
      <c r="AM1610" s="185"/>
      <c r="AN1610"/>
      <c r="AO1610" s="1"/>
      <c r="AP1610" s="1"/>
      <c r="AQ1610" s="1"/>
      <c r="AR1610" s="1"/>
      <c r="AS1610"/>
      <c r="AT1610"/>
      <c r="AU1610"/>
      <c r="AV1610"/>
      <c r="AW1610"/>
      <c r="AX1610"/>
      <c r="AY1610"/>
      <c r="AZ1610" s="1"/>
      <c r="BA1610"/>
      <c r="BB1610"/>
      <c r="BC1610"/>
      <c r="BD1610"/>
      <c r="BE1610"/>
      <c r="BF1610" s="1"/>
      <c r="BG1610"/>
      <c r="BH1610"/>
      <c r="BI1610"/>
      <c r="BJ1610"/>
      <c r="BK1610"/>
      <c r="BL1610"/>
      <c r="BM1610"/>
      <c r="BN1610"/>
      <c r="BO1610"/>
    </row>
    <row r="1611" spans="8:67" s="2" customFormat="1">
      <c r="H1611" s="202"/>
      <c r="I1611" s="10"/>
      <c r="J1611" s="10"/>
      <c r="K1611" s="10"/>
      <c r="L1611" s="20"/>
      <c r="M1611" s="31"/>
      <c r="N1611" s="39"/>
      <c r="O1611" s="39"/>
      <c r="P1611" s="39"/>
      <c r="Q1611" s="39"/>
      <c r="R1611" s="39"/>
      <c r="S1611" s="39"/>
      <c r="T1611" s="39"/>
      <c r="U1611" s="39"/>
      <c r="V1611" s="39"/>
      <c r="W1611" s="39"/>
      <c r="X1611" s="39"/>
      <c r="Y1611" s="51"/>
      <c r="Z1611" s="51"/>
      <c r="AA1611"/>
      <c r="AB1611"/>
      <c r="AC1611"/>
      <c r="AD1611"/>
      <c r="AE1611"/>
      <c r="AF1611"/>
      <c r="AG1611"/>
      <c r="AH1611"/>
      <c r="AI1611"/>
      <c r="AJ1611" s="185"/>
      <c r="AK1611" s="185"/>
      <c r="AL1611" s="185"/>
      <c r="AM1611" s="185"/>
      <c r="AN1611"/>
      <c r="AO1611" s="1"/>
      <c r="AP1611" s="1"/>
      <c r="AQ1611" s="1"/>
      <c r="AR1611" s="1"/>
      <c r="AS1611"/>
      <c r="AT1611"/>
      <c r="AU1611"/>
      <c r="AV1611"/>
      <c r="AW1611"/>
      <c r="AX1611"/>
      <c r="AY1611"/>
      <c r="AZ1611" s="1"/>
      <c r="BA1611"/>
      <c r="BB1611"/>
      <c r="BC1611"/>
      <c r="BD1611"/>
      <c r="BE1611"/>
      <c r="BF1611" s="1"/>
      <c r="BG1611"/>
      <c r="BH1611"/>
      <c r="BI1611"/>
      <c r="BJ1611"/>
      <c r="BK1611"/>
      <c r="BL1611"/>
      <c r="BM1611"/>
      <c r="BN1611"/>
      <c r="BO1611"/>
    </row>
    <row r="1612" spans="8:67" s="2" customFormat="1">
      <c r="H1612" s="202"/>
      <c r="I1612" s="10"/>
      <c r="J1612" s="10"/>
      <c r="K1612" s="10"/>
      <c r="L1612" s="20"/>
      <c r="M1612" s="31"/>
      <c r="N1612" s="39"/>
      <c r="O1612" s="39"/>
      <c r="P1612" s="39"/>
      <c r="Q1612" s="39"/>
      <c r="R1612" s="39"/>
      <c r="S1612" s="39"/>
      <c r="T1612" s="39"/>
      <c r="U1612" s="39"/>
      <c r="V1612" s="39"/>
      <c r="W1612" s="39"/>
      <c r="X1612" s="39"/>
      <c r="Y1612" s="51"/>
      <c r="Z1612" s="51"/>
      <c r="AA1612"/>
      <c r="AB1612"/>
      <c r="AC1612"/>
      <c r="AD1612"/>
      <c r="AE1612"/>
      <c r="AF1612"/>
      <c r="AG1612"/>
      <c r="AH1612"/>
      <c r="AI1612"/>
      <c r="AJ1612" s="185"/>
      <c r="AK1612" s="185"/>
      <c r="AL1612" s="185"/>
      <c r="AM1612" s="185"/>
      <c r="AN1612"/>
      <c r="AO1612" s="1"/>
      <c r="AP1612" s="1"/>
      <c r="AQ1612" s="1"/>
      <c r="AR1612" s="1"/>
      <c r="AS1612"/>
      <c r="AT1612"/>
      <c r="AU1612"/>
      <c r="AV1612"/>
      <c r="AW1612"/>
      <c r="AX1612"/>
      <c r="AY1612"/>
      <c r="AZ1612" s="1"/>
      <c r="BA1612"/>
      <c r="BB1612"/>
      <c r="BC1612"/>
      <c r="BD1612"/>
      <c r="BE1612"/>
      <c r="BF1612" s="1"/>
      <c r="BG1612"/>
      <c r="BH1612"/>
      <c r="BI1612"/>
      <c r="BJ1612"/>
      <c r="BK1612"/>
      <c r="BL1612"/>
      <c r="BM1612"/>
      <c r="BN1612"/>
      <c r="BO1612"/>
    </row>
    <row r="1613" spans="8:67" s="2" customFormat="1">
      <c r="H1613" s="202"/>
      <c r="I1613" s="10"/>
      <c r="J1613" s="10"/>
      <c r="K1613" s="10"/>
      <c r="L1613" s="20"/>
      <c r="M1613" s="31"/>
      <c r="N1613" s="39"/>
      <c r="O1613" s="39"/>
      <c r="P1613" s="39"/>
      <c r="Q1613" s="39"/>
      <c r="R1613" s="39"/>
      <c r="S1613" s="39"/>
      <c r="T1613" s="39"/>
      <c r="U1613" s="39"/>
      <c r="V1613" s="39"/>
      <c r="W1613" s="39"/>
      <c r="X1613" s="39"/>
      <c r="Y1613" s="51"/>
      <c r="Z1613" s="51"/>
      <c r="AA1613"/>
      <c r="AB1613"/>
      <c r="AC1613"/>
      <c r="AD1613"/>
      <c r="AE1613"/>
      <c r="AF1613"/>
      <c r="AG1613"/>
      <c r="AH1613"/>
      <c r="AI1613"/>
      <c r="AJ1613" s="185"/>
      <c r="AK1613" s="185"/>
      <c r="AL1613" s="185"/>
      <c r="AM1613" s="185"/>
      <c r="AN1613"/>
      <c r="AO1613" s="1"/>
      <c r="AP1613" s="1"/>
      <c r="AQ1613" s="1"/>
      <c r="AR1613" s="1"/>
      <c r="AS1613"/>
      <c r="AT1613"/>
      <c r="AU1613"/>
      <c r="AV1613"/>
      <c r="AW1613"/>
      <c r="AX1613"/>
      <c r="AY1613"/>
      <c r="AZ1613" s="1"/>
      <c r="BA1613"/>
      <c r="BB1613"/>
      <c r="BC1613"/>
      <c r="BD1613"/>
      <c r="BE1613"/>
      <c r="BF1613" s="1"/>
      <c r="BG1613"/>
      <c r="BH1613"/>
      <c r="BI1613"/>
      <c r="BJ1613"/>
      <c r="BK1613"/>
      <c r="BL1613"/>
      <c r="BM1613"/>
      <c r="BN1613"/>
      <c r="BO1613"/>
    </row>
    <row r="1614" spans="8:67" s="2" customFormat="1">
      <c r="H1614" s="202"/>
      <c r="I1614" s="10"/>
      <c r="J1614" s="10"/>
      <c r="K1614" s="10"/>
      <c r="L1614" s="20"/>
      <c r="M1614" s="31"/>
      <c r="N1614" s="39"/>
      <c r="O1614" s="39"/>
      <c r="P1614" s="39"/>
      <c r="Q1614" s="39"/>
      <c r="R1614" s="39"/>
      <c r="S1614" s="39"/>
      <c r="T1614" s="39"/>
      <c r="U1614" s="39"/>
      <c r="V1614" s="39"/>
      <c r="W1614" s="39"/>
      <c r="X1614" s="39"/>
      <c r="Y1614" s="51"/>
      <c r="Z1614" s="51"/>
      <c r="AA1614"/>
      <c r="AB1614"/>
      <c r="AC1614"/>
      <c r="AD1614"/>
      <c r="AE1614"/>
      <c r="AF1614"/>
      <c r="AG1614"/>
      <c r="AH1614"/>
      <c r="AI1614"/>
      <c r="AJ1614" s="185"/>
      <c r="AK1614" s="185"/>
      <c r="AL1614" s="185"/>
      <c r="AM1614" s="185"/>
      <c r="AN1614"/>
      <c r="AO1614" s="1"/>
      <c r="AP1614" s="1"/>
      <c r="AQ1614" s="1"/>
      <c r="AR1614" s="1"/>
      <c r="AS1614"/>
      <c r="AT1614"/>
      <c r="AU1614"/>
      <c r="AV1614"/>
      <c r="AW1614"/>
      <c r="AX1614"/>
      <c r="AY1614"/>
      <c r="AZ1614" s="1"/>
      <c r="BA1614"/>
      <c r="BB1614"/>
      <c r="BC1614"/>
      <c r="BD1614"/>
      <c r="BE1614"/>
      <c r="BF1614" s="1"/>
      <c r="BG1614"/>
      <c r="BH1614"/>
      <c r="BI1614"/>
      <c r="BJ1614"/>
      <c r="BK1614"/>
      <c r="BL1614"/>
      <c r="BM1614"/>
      <c r="BN1614"/>
      <c r="BO1614"/>
    </row>
    <row r="1615" spans="8:67" s="2" customFormat="1">
      <c r="H1615" s="202"/>
      <c r="I1615" s="10"/>
      <c r="J1615" s="10"/>
      <c r="K1615" s="10"/>
      <c r="L1615" s="20"/>
      <c r="M1615" s="31"/>
      <c r="N1615" s="39"/>
      <c r="O1615" s="39"/>
      <c r="P1615" s="39"/>
      <c r="Q1615" s="39"/>
      <c r="R1615" s="39"/>
      <c r="S1615" s="39"/>
      <c r="T1615" s="39"/>
      <c r="U1615" s="39"/>
      <c r="V1615" s="39"/>
      <c r="W1615" s="39"/>
      <c r="X1615" s="39"/>
      <c r="Y1615" s="51"/>
      <c r="Z1615" s="51"/>
      <c r="AA1615"/>
      <c r="AB1615"/>
      <c r="AC1615"/>
      <c r="AD1615"/>
      <c r="AE1615"/>
      <c r="AF1615"/>
      <c r="AG1615"/>
      <c r="AH1615"/>
      <c r="AI1615"/>
      <c r="AJ1615" s="185"/>
      <c r="AK1615" s="185"/>
      <c r="AL1615" s="185"/>
      <c r="AM1615" s="185"/>
      <c r="AN1615"/>
      <c r="AO1615" s="1"/>
      <c r="AP1615" s="1"/>
      <c r="AQ1615" s="1"/>
      <c r="AR1615" s="1"/>
      <c r="AS1615"/>
      <c r="AT1615"/>
      <c r="AU1615"/>
      <c r="AV1615"/>
      <c r="AW1615"/>
      <c r="AX1615"/>
      <c r="AY1615"/>
      <c r="AZ1615" s="1"/>
      <c r="BA1615"/>
      <c r="BB1615"/>
      <c r="BC1615"/>
      <c r="BD1615"/>
      <c r="BE1615"/>
      <c r="BF1615" s="1"/>
      <c r="BG1615"/>
      <c r="BH1615"/>
      <c r="BI1615"/>
      <c r="BJ1615"/>
      <c r="BK1615"/>
      <c r="BL1615"/>
      <c r="BM1615"/>
      <c r="BN1615"/>
      <c r="BO1615"/>
    </row>
    <row r="1616" spans="8:67" s="2" customFormat="1">
      <c r="H1616" s="202"/>
      <c r="I1616" s="10"/>
      <c r="J1616" s="10"/>
      <c r="K1616" s="10"/>
      <c r="L1616" s="20"/>
      <c r="M1616" s="31"/>
      <c r="N1616" s="39"/>
      <c r="O1616" s="39"/>
      <c r="P1616" s="39"/>
      <c r="Q1616" s="39"/>
      <c r="R1616" s="39"/>
      <c r="S1616" s="39"/>
      <c r="T1616" s="39"/>
      <c r="U1616" s="39"/>
      <c r="V1616" s="39"/>
      <c r="W1616" s="39"/>
      <c r="X1616" s="39"/>
      <c r="Y1616" s="51"/>
      <c r="Z1616" s="51"/>
      <c r="AA1616"/>
      <c r="AB1616"/>
      <c r="AC1616"/>
      <c r="AD1616"/>
      <c r="AE1616"/>
      <c r="AF1616"/>
      <c r="AG1616"/>
      <c r="AH1616"/>
      <c r="AI1616"/>
      <c r="AJ1616" s="185"/>
      <c r="AK1616" s="185"/>
      <c r="AL1616" s="185"/>
      <c r="AM1616" s="185"/>
      <c r="AN1616"/>
      <c r="AO1616" s="1"/>
      <c r="AP1616" s="1"/>
      <c r="AQ1616" s="1"/>
      <c r="AR1616" s="1"/>
      <c r="AS1616"/>
      <c r="AT1616"/>
      <c r="AU1616"/>
      <c r="AV1616"/>
      <c r="AW1616"/>
      <c r="AX1616"/>
      <c r="AY1616"/>
      <c r="AZ1616" s="1"/>
      <c r="BA1616"/>
      <c r="BB1616"/>
      <c r="BC1616"/>
      <c r="BD1616"/>
      <c r="BE1616"/>
      <c r="BF1616" s="1"/>
      <c r="BG1616"/>
      <c r="BH1616"/>
      <c r="BI1616"/>
      <c r="BJ1616"/>
      <c r="BK1616"/>
      <c r="BL1616"/>
      <c r="BM1616"/>
      <c r="BN1616"/>
      <c r="BO1616"/>
    </row>
    <row r="1617" spans="8:67" s="2" customFormat="1">
      <c r="H1617" s="202"/>
      <c r="I1617" s="10"/>
      <c r="J1617" s="10"/>
      <c r="K1617" s="10"/>
      <c r="L1617" s="20"/>
      <c r="M1617" s="31"/>
      <c r="N1617" s="39"/>
      <c r="O1617" s="39"/>
      <c r="P1617" s="39"/>
      <c r="Q1617" s="39"/>
      <c r="R1617" s="39"/>
      <c r="S1617" s="39"/>
      <c r="T1617" s="39"/>
      <c r="U1617" s="39"/>
      <c r="V1617" s="39"/>
      <c r="W1617" s="39"/>
      <c r="X1617" s="39"/>
      <c r="Y1617" s="51"/>
      <c r="Z1617" s="51"/>
      <c r="AA1617"/>
      <c r="AB1617"/>
      <c r="AC1617"/>
      <c r="AD1617"/>
      <c r="AE1617"/>
      <c r="AF1617"/>
      <c r="AG1617"/>
      <c r="AH1617"/>
      <c r="AI1617"/>
      <c r="AJ1617" s="185"/>
      <c r="AK1617" s="185"/>
      <c r="AL1617" s="185"/>
      <c r="AM1617" s="185"/>
      <c r="AN1617"/>
      <c r="AO1617" s="1"/>
      <c r="AP1617" s="1"/>
      <c r="AQ1617" s="1"/>
      <c r="AR1617" s="1"/>
      <c r="AS1617"/>
      <c r="AT1617"/>
      <c r="AU1617"/>
      <c r="AV1617"/>
      <c r="AW1617"/>
      <c r="AX1617"/>
      <c r="AY1617"/>
      <c r="AZ1617" s="1"/>
      <c r="BA1617"/>
      <c r="BB1617"/>
      <c r="BC1617"/>
      <c r="BD1617"/>
      <c r="BE1617"/>
      <c r="BF1617" s="1"/>
      <c r="BG1617"/>
      <c r="BH1617"/>
      <c r="BI1617"/>
      <c r="BJ1617"/>
      <c r="BK1617"/>
      <c r="BL1617"/>
      <c r="BM1617"/>
      <c r="BN1617"/>
      <c r="BO1617"/>
    </row>
    <row r="1618" spans="8:67" s="2" customFormat="1">
      <c r="H1618" s="202"/>
      <c r="I1618" s="10"/>
      <c r="J1618" s="10"/>
      <c r="K1618" s="10"/>
      <c r="L1618" s="20"/>
      <c r="M1618" s="31"/>
      <c r="N1618" s="39"/>
      <c r="O1618" s="39"/>
      <c r="P1618" s="39"/>
      <c r="Q1618" s="39"/>
      <c r="R1618" s="39"/>
      <c r="S1618" s="39"/>
      <c r="T1618" s="39"/>
      <c r="U1618" s="39"/>
      <c r="V1618" s="39"/>
      <c r="W1618" s="39"/>
      <c r="X1618" s="39"/>
      <c r="Y1618" s="51"/>
      <c r="Z1618" s="51"/>
      <c r="AA1618"/>
      <c r="AB1618"/>
      <c r="AC1618"/>
      <c r="AD1618"/>
      <c r="AE1618"/>
      <c r="AF1618"/>
      <c r="AG1618"/>
      <c r="AH1618"/>
      <c r="AI1618"/>
      <c r="AJ1618" s="185"/>
      <c r="AK1618" s="185"/>
      <c r="AL1618" s="185"/>
      <c r="AM1618" s="185"/>
      <c r="AN1618"/>
      <c r="AO1618" s="1"/>
      <c r="AP1618" s="1"/>
      <c r="AQ1618" s="1"/>
      <c r="AR1618" s="1"/>
      <c r="AS1618"/>
      <c r="AT1618"/>
      <c r="AU1618"/>
      <c r="AV1618"/>
      <c r="AW1618"/>
      <c r="AX1618"/>
      <c r="AY1618"/>
      <c r="AZ1618" s="1"/>
      <c r="BA1618"/>
      <c r="BB1618"/>
      <c r="BC1618"/>
      <c r="BD1618"/>
      <c r="BE1618"/>
      <c r="BF1618" s="1"/>
      <c r="BG1618"/>
      <c r="BH1618"/>
      <c r="BI1618"/>
      <c r="BJ1618"/>
      <c r="BK1618"/>
      <c r="BL1618"/>
      <c r="BM1618"/>
      <c r="BN1618"/>
      <c r="BO1618"/>
    </row>
    <row r="1619" spans="8:67" s="2" customFormat="1">
      <c r="H1619" s="202"/>
      <c r="I1619" s="10"/>
      <c r="J1619" s="10"/>
      <c r="K1619" s="10"/>
      <c r="L1619" s="20"/>
      <c r="M1619" s="31"/>
      <c r="N1619" s="39"/>
      <c r="O1619" s="39"/>
      <c r="P1619" s="39"/>
      <c r="Q1619" s="39"/>
      <c r="R1619" s="39"/>
      <c r="S1619" s="39"/>
      <c r="T1619" s="39"/>
      <c r="U1619" s="39"/>
      <c r="V1619" s="39"/>
      <c r="W1619" s="39"/>
      <c r="X1619" s="39"/>
      <c r="Y1619" s="51"/>
      <c r="Z1619" s="51"/>
      <c r="AA1619"/>
      <c r="AB1619"/>
      <c r="AC1619"/>
      <c r="AD1619"/>
      <c r="AE1619"/>
      <c r="AF1619"/>
      <c r="AG1619"/>
      <c r="AH1619"/>
      <c r="AI1619"/>
      <c r="AJ1619" s="185"/>
      <c r="AK1619" s="185"/>
      <c r="AL1619" s="185"/>
      <c r="AM1619" s="185"/>
      <c r="AN1619"/>
      <c r="AO1619" s="1"/>
      <c r="AP1619" s="1"/>
      <c r="AQ1619" s="1"/>
      <c r="AR1619" s="1"/>
      <c r="AS1619"/>
      <c r="AT1619"/>
      <c r="AU1619"/>
      <c r="AV1619"/>
      <c r="AW1619"/>
      <c r="AX1619"/>
      <c r="AY1619"/>
      <c r="AZ1619" s="1"/>
      <c r="BA1619"/>
      <c r="BB1619"/>
      <c r="BC1619"/>
      <c r="BD1619"/>
      <c r="BE1619"/>
      <c r="BF1619" s="1"/>
      <c r="BG1619"/>
      <c r="BH1619"/>
      <c r="BI1619"/>
      <c r="BJ1619"/>
      <c r="BK1619"/>
      <c r="BL1619"/>
      <c r="BM1619"/>
      <c r="BN1619"/>
      <c r="BO1619"/>
    </row>
    <row r="1620" spans="8:67" s="2" customFormat="1">
      <c r="H1620" s="202"/>
      <c r="I1620" s="10"/>
      <c r="J1620" s="10"/>
      <c r="K1620" s="10"/>
      <c r="L1620" s="20"/>
      <c r="M1620" s="31"/>
      <c r="N1620" s="39"/>
      <c r="O1620" s="39"/>
      <c r="P1620" s="39"/>
      <c r="Q1620" s="39"/>
      <c r="R1620" s="39"/>
      <c r="S1620" s="39"/>
      <c r="T1620" s="39"/>
      <c r="U1620" s="39"/>
      <c r="V1620" s="39"/>
      <c r="W1620" s="39"/>
      <c r="X1620" s="39"/>
      <c r="Y1620" s="51"/>
      <c r="Z1620" s="51"/>
      <c r="AA1620"/>
      <c r="AB1620"/>
      <c r="AC1620"/>
      <c r="AD1620"/>
      <c r="AE1620"/>
      <c r="AF1620"/>
      <c r="AG1620"/>
      <c r="AH1620"/>
      <c r="AI1620"/>
      <c r="AJ1620" s="185"/>
      <c r="AK1620" s="185"/>
      <c r="AL1620" s="185"/>
      <c r="AM1620" s="185"/>
      <c r="AN1620"/>
      <c r="AO1620" s="1"/>
      <c r="AP1620" s="1"/>
      <c r="AQ1620" s="1"/>
      <c r="AR1620" s="1"/>
      <c r="AS1620"/>
      <c r="AT1620"/>
      <c r="AU1620"/>
      <c r="AV1620"/>
      <c r="AW1620"/>
      <c r="AX1620"/>
      <c r="AY1620"/>
      <c r="AZ1620" s="1"/>
      <c r="BA1620"/>
      <c r="BB1620"/>
      <c r="BC1620"/>
      <c r="BD1620"/>
      <c r="BE1620"/>
      <c r="BF1620" s="1"/>
      <c r="BG1620"/>
      <c r="BH1620"/>
      <c r="BI1620"/>
      <c r="BJ1620"/>
      <c r="BK1620"/>
      <c r="BL1620"/>
      <c r="BM1620"/>
      <c r="BN1620"/>
      <c r="BO1620"/>
    </row>
    <row r="1621" spans="8:67" s="2" customFormat="1">
      <c r="H1621" s="202"/>
      <c r="I1621" s="10"/>
      <c r="J1621" s="10"/>
      <c r="K1621" s="10"/>
      <c r="L1621" s="20"/>
      <c r="M1621" s="31"/>
      <c r="N1621" s="39"/>
      <c r="O1621" s="39"/>
      <c r="P1621" s="39"/>
      <c r="Q1621" s="39"/>
      <c r="R1621" s="39"/>
      <c r="S1621" s="39"/>
      <c r="T1621" s="39"/>
      <c r="U1621" s="39"/>
      <c r="V1621" s="39"/>
      <c r="W1621" s="39"/>
      <c r="X1621" s="39"/>
      <c r="Y1621" s="51"/>
      <c r="Z1621" s="51"/>
      <c r="AA1621"/>
      <c r="AB1621"/>
      <c r="AC1621"/>
      <c r="AD1621"/>
      <c r="AE1621"/>
      <c r="AF1621"/>
      <c r="AG1621"/>
      <c r="AH1621"/>
      <c r="AI1621"/>
      <c r="AJ1621" s="185"/>
      <c r="AK1621" s="185"/>
      <c r="AL1621" s="185"/>
      <c r="AM1621" s="185"/>
      <c r="AN1621"/>
      <c r="AO1621" s="1"/>
      <c r="AP1621" s="1"/>
      <c r="AQ1621" s="1"/>
      <c r="AR1621" s="1"/>
      <c r="AS1621"/>
      <c r="AT1621"/>
      <c r="AU1621"/>
      <c r="AV1621"/>
      <c r="AW1621"/>
      <c r="AX1621"/>
      <c r="AY1621"/>
      <c r="AZ1621" s="1"/>
      <c r="BA1621"/>
      <c r="BB1621"/>
      <c r="BC1621"/>
      <c r="BD1621"/>
      <c r="BE1621"/>
      <c r="BF1621" s="1"/>
      <c r="BG1621"/>
      <c r="BH1621"/>
      <c r="BI1621"/>
      <c r="BJ1621"/>
      <c r="BK1621"/>
      <c r="BL1621"/>
      <c r="BM1621"/>
      <c r="BN1621"/>
      <c r="BO1621"/>
    </row>
    <row r="1622" spans="8:67" s="2" customFormat="1">
      <c r="H1622" s="202"/>
      <c r="I1622" s="10"/>
      <c r="J1622" s="10"/>
      <c r="K1622" s="10"/>
      <c r="L1622" s="20"/>
      <c r="M1622" s="31"/>
      <c r="N1622" s="39"/>
      <c r="O1622" s="39"/>
      <c r="P1622" s="39"/>
      <c r="Q1622" s="39"/>
      <c r="R1622" s="39"/>
      <c r="S1622" s="39"/>
      <c r="T1622" s="39"/>
      <c r="U1622" s="39"/>
      <c r="V1622" s="39"/>
      <c r="W1622" s="39"/>
      <c r="X1622" s="39"/>
      <c r="Y1622" s="51"/>
      <c r="Z1622" s="51"/>
      <c r="AA1622"/>
      <c r="AB1622"/>
      <c r="AC1622"/>
      <c r="AD1622"/>
      <c r="AE1622"/>
      <c r="AF1622"/>
      <c r="AG1622"/>
      <c r="AH1622"/>
      <c r="AI1622"/>
      <c r="AJ1622" s="185"/>
      <c r="AK1622" s="185"/>
      <c r="AL1622" s="185"/>
      <c r="AM1622" s="185"/>
      <c r="AN1622"/>
      <c r="AO1622" s="1"/>
      <c r="AP1622" s="1"/>
      <c r="AQ1622" s="1"/>
      <c r="AR1622" s="1"/>
      <c r="AS1622"/>
      <c r="AT1622"/>
      <c r="AU1622"/>
      <c r="AV1622"/>
      <c r="AW1622"/>
      <c r="AX1622"/>
      <c r="AY1622"/>
      <c r="AZ1622" s="1"/>
      <c r="BA1622"/>
      <c r="BB1622"/>
      <c r="BC1622"/>
      <c r="BD1622"/>
      <c r="BE1622"/>
      <c r="BF1622" s="1"/>
      <c r="BG1622"/>
      <c r="BH1622"/>
      <c r="BI1622"/>
      <c r="BJ1622"/>
      <c r="BK1622"/>
      <c r="BL1622"/>
      <c r="BM1622"/>
      <c r="BN1622"/>
      <c r="BO1622"/>
    </row>
    <row r="1623" spans="8:67" s="2" customFormat="1">
      <c r="H1623" s="202"/>
      <c r="I1623" s="10"/>
      <c r="J1623" s="10"/>
      <c r="K1623" s="10"/>
      <c r="L1623" s="20"/>
      <c r="M1623" s="31"/>
      <c r="N1623" s="39"/>
      <c r="O1623" s="39"/>
      <c r="P1623" s="39"/>
      <c r="Q1623" s="39"/>
      <c r="R1623" s="39"/>
      <c r="S1623" s="39"/>
      <c r="T1623" s="39"/>
      <c r="U1623" s="39"/>
      <c r="V1623" s="39"/>
      <c r="W1623" s="39"/>
      <c r="X1623" s="39"/>
      <c r="Y1623" s="51"/>
      <c r="Z1623" s="51"/>
      <c r="AA1623"/>
      <c r="AB1623"/>
      <c r="AC1623"/>
      <c r="AD1623"/>
      <c r="AE1623"/>
      <c r="AF1623"/>
      <c r="AG1623"/>
      <c r="AH1623"/>
      <c r="AI1623"/>
      <c r="AJ1623" s="185"/>
      <c r="AK1623" s="185"/>
      <c r="AL1623" s="185"/>
      <c r="AM1623" s="185"/>
      <c r="AN1623"/>
      <c r="AO1623" s="1"/>
      <c r="AP1623" s="1"/>
      <c r="AQ1623" s="1"/>
      <c r="AR1623" s="1"/>
      <c r="AS1623"/>
      <c r="AT1623"/>
      <c r="AU1623"/>
      <c r="AV1623"/>
      <c r="AW1623"/>
      <c r="AX1623"/>
      <c r="AY1623"/>
      <c r="AZ1623" s="1"/>
      <c r="BA1623"/>
      <c r="BB1623"/>
      <c r="BC1623"/>
      <c r="BD1623"/>
      <c r="BE1623"/>
      <c r="BF1623" s="1"/>
      <c r="BG1623"/>
      <c r="BH1623"/>
      <c r="BI1623"/>
      <c r="BJ1623"/>
      <c r="BK1623"/>
      <c r="BL1623"/>
      <c r="BM1623"/>
      <c r="BN1623"/>
      <c r="BO1623"/>
    </row>
    <row r="1624" spans="8:67" s="2" customFormat="1">
      <c r="H1624" s="202"/>
      <c r="I1624" s="10"/>
      <c r="J1624" s="10"/>
      <c r="K1624" s="10"/>
      <c r="L1624" s="20"/>
      <c r="M1624" s="31"/>
      <c r="N1624" s="39"/>
      <c r="O1624" s="39"/>
      <c r="P1624" s="39"/>
      <c r="Q1624" s="39"/>
      <c r="R1624" s="39"/>
      <c r="S1624" s="39"/>
      <c r="T1624" s="39"/>
      <c r="U1624" s="39"/>
      <c r="V1624" s="39"/>
      <c r="W1624" s="39"/>
      <c r="X1624" s="39"/>
      <c r="Y1624" s="51"/>
      <c r="Z1624" s="51"/>
      <c r="AA1624"/>
      <c r="AB1624"/>
      <c r="AC1624"/>
      <c r="AD1624"/>
      <c r="AE1624"/>
      <c r="AF1624"/>
      <c r="AG1624"/>
      <c r="AH1624"/>
      <c r="AI1624"/>
      <c r="AJ1624" s="185"/>
      <c r="AK1624" s="185"/>
      <c r="AL1624" s="185"/>
      <c r="AM1624" s="185"/>
      <c r="AN1624"/>
      <c r="AO1624" s="1"/>
      <c r="AP1624" s="1"/>
      <c r="AQ1624" s="1"/>
      <c r="AR1624" s="1"/>
      <c r="AS1624"/>
      <c r="AT1624"/>
      <c r="AU1624"/>
      <c r="AV1624"/>
      <c r="AW1624"/>
      <c r="AX1624"/>
      <c r="AY1624"/>
      <c r="AZ1624" s="1"/>
      <c r="BA1624"/>
      <c r="BB1624"/>
      <c r="BC1624"/>
      <c r="BD1624"/>
      <c r="BE1624"/>
      <c r="BF1624" s="1"/>
      <c r="BG1624"/>
      <c r="BH1624"/>
      <c r="BI1624"/>
      <c r="BJ1624"/>
      <c r="BK1624"/>
      <c r="BL1624"/>
      <c r="BM1624"/>
      <c r="BN1624"/>
      <c r="BO1624"/>
    </row>
    <row r="1625" spans="8:67" s="2" customFormat="1">
      <c r="H1625" s="202"/>
      <c r="I1625" s="10"/>
      <c r="J1625" s="10"/>
      <c r="K1625" s="10"/>
      <c r="L1625" s="20"/>
      <c r="M1625" s="31"/>
      <c r="N1625" s="39"/>
      <c r="O1625" s="39"/>
      <c r="P1625" s="39"/>
      <c r="Q1625" s="39"/>
      <c r="R1625" s="39"/>
      <c r="S1625" s="39"/>
      <c r="T1625" s="39"/>
      <c r="U1625" s="39"/>
      <c r="V1625" s="39"/>
      <c r="W1625" s="39"/>
      <c r="X1625" s="39"/>
      <c r="Y1625" s="51"/>
      <c r="Z1625" s="51"/>
      <c r="AA1625"/>
      <c r="AB1625"/>
      <c r="AC1625"/>
      <c r="AD1625"/>
      <c r="AE1625"/>
      <c r="AF1625"/>
      <c r="AG1625"/>
      <c r="AH1625"/>
      <c r="AI1625"/>
      <c r="AJ1625" s="185"/>
      <c r="AK1625" s="185"/>
      <c r="AL1625" s="185"/>
      <c r="AM1625" s="185"/>
      <c r="AN1625"/>
      <c r="AO1625" s="1"/>
      <c r="AP1625" s="1"/>
      <c r="AQ1625" s="1"/>
      <c r="AR1625" s="1"/>
      <c r="AS1625"/>
      <c r="AT1625"/>
      <c r="AU1625"/>
      <c r="AV1625"/>
      <c r="AW1625"/>
      <c r="AX1625"/>
      <c r="AY1625"/>
      <c r="AZ1625" s="1"/>
      <c r="BA1625"/>
      <c r="BB1625"/>
      <c r="BC1625"/>
      <c r="BD1625"/>
      <c r="BE1625"/>
      <c r="BF1625" s="1"/>
      <c r="BG1625"/>
      <c r="BH1625"/>
      <c r="BI1625"/>
      <c r="BJ1625"/>
      <c r="BK1625"/>
      <c r="BL1625"/>
      <c r="BM1625"/>
      <c r="BN1625"/>
      <c r="BO1625"/>
    </row>
    <row r="1626" spans="8:67" s="2" customFormat="1">
      <c r="H1626" s="202"/>
      <c r="I1626" s="10"/>
      <c r="J1626" s="10"/>
      <c r="K1626" s="10"/>
      <c r="L1626" s="20"/>
      <c r="M1626" s="31"/>
      <c r="N1626" s="39"/>
      <c r="O1626" s="39"/>
      <c r="P1626" s="39"/>
      <c r="Q1626" s="39"/>
      <c r="R1626" s="39"/>
      <c r="S1626" s="39"/>
      <c r="T1626" s="39"/>
      <c r="U1626" s="39"/>
      <c r="V1626" s="39"/>
      <c r="W1626" s="39"/>
      <c r="X1626" s="39"/>
      <c r="Y1626" s="51"/>
      <c r="Z1626" s="51"/>
      <c r="AA1626"/>
      <c r="AB1626"/>
      <c r="AC1626"/>
      <c r="AD1626"/>
      <c r="AE1626"/>
      <c r="AF1626"/>
      <c r="AG1626"/>
      <c r="AH1626"/>
      <c r="AI1626"/>
      <c r="AJ1626" s="185"/>
      <c r="AK1626" s="185"/>
      <c r="AL1626" s="185"/>
      <c r="AM1626" s="185"/>
      <c r="AN1626"/>
      <c r="AO1626" s="1"/>
      <c r="AP1626" s="1"/>
      <c r="AQ1626" s="1"/>
      <c r="AR1626" s="1"/>
      <c r="AS1626"/>
      <c r="AT1626"/>
      <c r="AU1626"/>
      <c r="AV1626"/>
      <c r="AW1626"/>
      <c r="AX1626"/>
      <c r="AY1626"/>
      <c r="AZ1626" s="1"/>
      <c r="BA1626"/>
      <c r="BB1626"/>
      <c r="BC1626"/>
      <c r="BD1626"/>
      <c r="BE1626"/>
      <c r="BF1626" s="1"/>
      <c r="BG1626"/>
      <c r="BH1626"/>
      <c r="BI1626"/>
      <c r="BJ1626"/>
      <c r="BK1626"/>
      <c r="BL1626"/>
      <c r="BM1626"/>
      <c r="BN1626"/>
      <c r="BO1626"/>
    </row>
    <row r="1627" spans="8:67" s="2" customFormat="1">
      <c r="H1627" s="202"/>
      <c r="I1627" s="10"/>
      <c r="J1627" s="10"/>
      <c r="K1627" s="10"/>
      <c r="L1627" s="20"/>
      <c r="M1627" s="31"/>
      <c r="N1627" s="39"/>
      <c r="O1627" s="39"/>
      <c r="P1627" s="39"/>
      <c r="Q1627" s="39"/>
      <c r="R1627" s="39"/>
      <c r="S1627" s="39"/>
      <c r="T1627" s="39"/>
      <c r="U1627" s="39"/>
      <c r="V1627" s="39"/>
      <c r="W1627" s="39"/>
      <c r="X1627" s="39"/>
      <c r="Y1627" s="51"/>
      <c r="Z1627" s="51"/>
      <c r="AA1627"/>
      <c r="AB1627"/>
      <c r="AC1627"/>
      <c r="AD1627"/>
      <c r="AE1627"/>
      <c r="AF1627"/>
      <c r="AG1627"/>
      <c r="AH1627"/>
      <c r="AI1627"/>
      <c r="AJ1627" s="185"/>
      <c r="AK1627" s="185"/>
      <c r="AL1627" s="185"/>
      <c r="AM1627" s="185"/>
      <c r="AN1627"/>
      <c r="AO1627" s="1"/>
      <c r="AP1627" s="1"/>
      <c r="AQ1627" s="1"/>
      <c r="AR1627" s="1"/>
      <c r="AS1627"/>
      <c r="AT1627"/>
      <c r="AU1627"/>
      <c r="AV1627"/>
      <c r="AW1627"/>
      <c r="AX1627"/>
      <c r="AY1627"/>
      <c r="AZ1627" s="1"/>
      <c r="BA1627"/>
      <c r="BB1627"/>
      <c r="BC1627"/>
      <c r="BD1627"/>
      <c r="BE1627"/>
      <c r="BF1627" s="1"/>
      <c r="BG1627"/>
      <c r="BH1627"/>
      <c r="BI1627"/>
      <c r="BJ1627"/>
      <c r="BK1627"/>
      <c r="BL1627"/>
      <c r="BM1627"/>
      <c r="BN1627"/>
      <c r="BO1627"/>
    </row>
    <row r="1628" spans="8:67" s="2" customFormat="1">
      <c r="H1628" s="202"/>
      <c r="I1628" s="10"/>
      <c r="J1628" s="10"/>
      <c r="K1628" s="10"/>
      <c r="L1628" s="20"/>
      <c r="M1628" s="31"/>
      <c r="N1628" s="39"/>
      <c r="O1628" s="39"/>
      <c r="P1628" s="39"/>
      <c r="Q1628" s="39"/>
      <c r="R1628" s="39"/>
      <c r="S1628" s="39"/>
      <c r="T1628" s="39"/>
      <c r="U1628" s="39"/>
      <c r="V1628" s="39"/>
      <c r="W1628" s="39"/>
      <c r="X1628" s="39"/>
      <c r="Y1628" s="51"/>
      <c r="Z1628" s="51"/>
      <c r="AA1628"/>
      <c r="AB1628"/>
      <c r="AC1628"/>
      <c r="AD1628"/>
      <c r="AE1628"/>
      <c r="AF1628"/>
      <c r="AG1628"/>
      <c r="AH1628"/>
      <c r="AI1628"/>
      <c r="AJ1628" s="185"/>
      <c r="AK1628" s="185"/>
      <c r="AL1628" s="185"/>
      <c r="AM1628" s="185"/>
      <c r="AN1628"/>
      <c r="AO1628" s="1"/>
      <c r="AP1628" s="1"/>
      <c r="AQ1628" s="1"/>
      <c r="AR1628" s="1"/>
      <c r="AS1628"/>
      <c r="AT1628"/>
      <c r="AU1628"/>
      <c r="AV1628"/>
      <c r="AW1628"/>
      <c r="AX1628"/>
      <c r="AY1628"/>
      <c r="AZ1628" s="1"/>
      <c r="BA1628"/>
      <c r="BB1628"/>
      <c r="BC1628"/>
      <c r="BD1628"/>
      <c r="BE1628"/>
      <c r="BF1628" s="1"/>
      <c r="BG1628"/>
      <c r="BH1628"/>
      <c r="BI1628"/>
      <c r="BJ1628"/>
      <c r="BK1628"/>
      <c r="BL1628"/>
      <c r="BM1628"/>
      <c r="BN1628"/>
      <c r="BO1628"/>
    </row>
    <row r="1629" spans="8:67" s="2" customFormat="1">
      <c r="H1629" s="202"/>
      <c r="I1629" s="10"/>
      <c r="J1629" s="10"/>
      <c r="K1629" s="10"/>
      <c r="L1629" s="20"/>
      <c r="M1629" s="31"/>
      <c r="N1629" s="39"/>
      <c r="O1629" s="39"/>
      <c r="P1629" s="39"/>
      <c r="Q1629" s="39"/>
      <c r="R1629" s="39"/>
      <c r="S1629" s="39"/>
      <c r="T1629" s="39"/>
      <c r="U1629" s="39"/>
      <c r="V1629" s="39"/>
      <c r="W1629" s="39"/>
      <c r="X1629" s="39"/>
      <c r="Y1629" s="51"/>
      <c r="Z1629" s="51"/>
      <c r="AA1629"/>
      <c r="AB1629"/>
      <c r="AC1629"/>
      <c r="AD1629"/>
      <c r="AE1629"/>
      <c r="AF1629"/>
      <c r="AG1629"/>
      <c r="AH1629"/>
      <c r="AI1629"/>
      <c r="AJ1629" s="185"/>
      <c r="AK1629" s="185"/>
      <c r="AL1629" s="185"/>
      <c r="AM1629" s="185"/>
      <c r="AN1629"/>
      <c r="AO1629" s="1"/>
      <c r="AP1629" s="1"/>
      <c r="AQ1629" s="1"/>
      <c r="AR1629" s="1"/>
      <c r="AS1629"/>
      <c r="AT1629"/>
      <c r="AU1629"/>
      <c r="AV1629"/>
      <c r="AW1629"/>
      <c r="AX1629"/>
      <c r="AY1629"/>
      <c r="AZ1629" s="1"/>
      <c r="BA1629"/>
      <c r="BB1629"/>
      <c r="BC1629"/>
      <c r="BD1629"/>
      <c r="BE1629"/>
      <c r="BF1629" s="1"/>
      <c r="BG1629"/>
      <c r="BH1629"/>
      <c r="BI1629"/>
      <c r="BJ1629"/>
      <c r="BK1629"/>
      <c r="BL1629"/>
      <c r="BM1629"/>
      <c r="BN1629"/>
      <c r="BO1629"/>
    </row>
    <row r="1630" spans="8:67" s="2" customFormat="1">
      <c r="H1630" s="202"/>
      <c r="I1630" s="10"/>
      <c r="J1630" s="10"/>
      <c r="K1630" s="10"/>
      <c r="L1630" s="20"/>
      <c r="M1630" s="31"/>
      <c r="N1630" s="39"/>
      <c r="O1630" s="39"/>
      <c r="P1630" s="39"/>
      <c r="Q1630" s="39"/>
      <c r="R1630" s="39"/>
      <c r="S1630" s="39"/>
      <c r="T1630" s="39"/>
      <c r="U1630" s="39"/>
      <c r="V1630" s="39"/>
      <c r="W1630" s="39"/>
      <c r="X1630" s="39"/>
      <c r="Y1630" s="51"/>
      <c r="Z1630" s="51"/>
      <c r="AA1630"/>
      <c r="AB1630"/>
      <c r="AC1630"/>
      <c r="AD1630"/>
      <c r="AE1630"/>
      <c r="AF1630"/>
      <c r="AG1630"/>
      <c r="AH1630"/>
      <c r="AI1630"/>
      <c r="AJ1630" s="185"/>
      <c r="AK1630" s="185"/>
      <c r="AL1630" s="185"/>
      <c r="AM1630" s="185"/>
      <c r="AN1630"/>
      <c r="AO1630" s="1"/>
      <c r="AP1630" s="1"/>
      <c r="AQ1630" s="1"/>
      <c r="AR1630" s="1"/>
      <c r="AS1630"/>
      <c r="AT1630"/>
      <c r="AU1630"/>
      <c r="AV1630"/>
      <c r="AW1630"/>
      <c r="AX1630"/>
      <c r="AY1630"/>
      <c r="AZ1630" s="1"/>
      <c r="BA1630"/>
      <c r="BB1630"/>
      <c r="BC1630"/>
      <c r="BD1630"/>
      <c r="BE1630"/>
      <c r="BF1630" s="1"/>
      <c r="BG1630"/>
      <c r="BH1630"/>
      <c r="BI1630"/>
      <c r="BJ1630"/>
      <c r="BK1630"/>
      <c r="BL1630"/>
      <c r="BM1630"/>
      <c r="BN1630"/>
      <c r="BO1630"/>
    </row>
    <row r="1631" spans="8:67" s="2" customFormat="1">
      <c r="H1631" s="202"/>
      <c r="I1631" s="10"/>
      <c r="J1631" s="10"/>
      <c r="K1631" s="10"/>
      <c r="L1631" s="20"/>
      <c r="M1631" s="31"/>
      <c r="N1631" s="39"/>
      <c r="O1631" s="39"/>
      <c r="P1631" s="39"/>
      <c r="Q1631" s="39"/>
      <c r="R1631" s="39"/>
      <c r="S1631" s="39"/>
      <c r="T1631" s="39"/>
      <c r="U1631" s="39"/>
      <c r="V1631" s="39"/>
      <c r="W1631" s="39"/>
      <c r="X1631" s="39"/>
      <c r="Y1631" s="51"/>
      <c r="Z1631" s="51"/>
      <c r="AA1631"/>
      <c r="AB1631"/>
      <c r="AC1631"/>
      <c r="AD1631"/>
      <c r="AE1631"/>
      <c r="AF1631"/>
      <c r="AG1631"/>
      <c r="AH1631"/>
      <c r="AI1631"/>
      <c r="AJ1631" s="185"/>
      <c r="AK1631" s="185"/>
      <c r="AL1631" s="185"/>
      <c r="AM1631" s="185"/>
      <c r="AN1631"/>
      <c r="AO1631" s="1"/>
      <c r="AP1631" s="1"/>
      <c r="AQ1631" s="1"/>
      <c r="AR1631" s="1"/>
      <c r="AS1631"/>
      <c r="AT1631"/>
      <c r="AU1631"/>
      <c r="AV1631"/>
      <c r="AW1631"/>
      <c r="AX1631"/>
      <c r="AY1631"/>
      <c r="AZ1631" s="1"/>
      <c r="BA1631"/>
      <c r="BB1631"/>
      <c r="BC1631"/>
      <c r="BD1631"/>
      <c r="BE1631"/>
      <c r="BF1631" s="1"/>
      <c r="BG1631"/>
      <c r="BH1631"/>
      <c r="BI1631"/>
      <c r="BJ1631"/>
      <c r="BK1631"/>
      <c r="BL1631"/>
      <c r="BM1631"/>
      <c r="BN1631"/>
      <c r="BO1631"/>
    </row>
    <row r="1632" spans="8:67" s="2" customFormat="1">
      <c r="H1632" s="202"/>
      <c r="I1632" s="10"/>
      <c r="J1632" s="10"/>
      <c r="K1632" s="10"/>
      <c r="L1632" s="20"/>
      <c r="M1632" s="31"/>
      <c r="N1632" s="39"/>
      <c r="O1632" s="39"/>
      <c r="P1632" s="39"/>
      <c r="Q1632" s="39"/>
      <c r="R1632" s="39"/>
      <c r="S1632" s="39"/>
      <c r="T1632" s="39"/>
      <c r="U1632" s="39"/>
      <c r="V1632" s="39"/>
      <c r="W1632" s="39"/>
      <c r="X1632" s="39"/>
      <c r="Y1632" s="51"/>
      <c r="Z1632" s="51"/>
      <c r="AA1632"/>
      <c r="AB1632"/>
      <c r="AC1632"/>
      <c r="AD1632"/>
      <c r="AE1632"/>
      <c r="AF1632"/>
      <c r="AG1632"/>
      <c r="AH1632"/>
      <c r="AI1632"/>
      <c r="AJ1632" s="185"/>
      <c r="AK1632" s="185"/>
      <c r="AL1632" s="185"/>
      <c r="AM1632" s="185"/>
      <c r="AN1632"/>
      <c r="AO1632" s="1"/>
      <c r="AP1632" s="1"/>
      <c r="AQ1632" s="1"/>
      <c r="AR1632" s="1"/>
      <c r="AS1632"/>
      <c r="AT1632"/>
      <c r="AU1632"/>
      <c r="AV1632"/>
      <c r="AW1632"/>
      <c r="AX1632"/>
      <c r="AY1632"/>
      <c r="AZ1632" s="1"/>
      <c r="BA1632"/>
      <c r="BB1632"/>
      <c r="BC1632"/>
      <c r="BD1632"/>
      <c r="BE1632"/>
      <c r="BF1632" s="1"/>
      <c r="BG1632"/>
      <c r="BH1632"/>
      <c r="BI1632"/>
      <c r="BJ1632"/>
      <c r="BK1632"/>
      <c r="BL1632"/>
      <c r="BM1632"/>
      <c r="BN1632"/>
      <c r="BO1632"/>
    </row>
    <row r="1633" spans="8:67" s="2" customFormat="1">
      <c r="H1633" s="202"/>
      <c r="I1633" s="10"/>
      <c r="J1633" s="10"/>
      <c r="K1633" s="10"/>
      <c r="L1633" s="20"/>
      <c r="M1633" s="31"/>
      <c r="N1633" s="39"/>
      <c r="O1633" s="39"/>
      <c r="P1633" s="39"/>
      <c r="Q1633" s="39"/>
      <c r="R1633" s="39"/>
      <c r="S1633" s="39"/>
      <c r="T1633" s="39"/>
      <c r="U1633" s="39"/>
      <c r="V1633" s="39"/>
      <c r="W1633" s="39"/>
      <c r="X1633" s="39"/>
      <c r="Y1633" s="51"/>
      <c r="Z1633" s="51"/>
      <c r="AA1633"/>
      <c r="AB1633"/>
      <c r="AC1633"/>
      <c r="AD1633"/>
      <c r="AE1633"/>
      <c r="AF1633"/>
      <c r="AG1633"/>
      <c r="AH1633"/>
      <c r="AI1633"/>
      <c r="AJ1633" s="185"/>
      <c r="AK1633" s="185"/>
      <c r="AL1633" s="185"/>
      <c r="AM1633" s="185"/>
      <c r="AN1633"/>
      <c r="AO1633" s="1"/>
      <c r="AP1633" s="1"/>
      <c r="AQ1633" s="1"/>
      <c r="AR1633" s="1"/>
      <c r="AS1633"/>
      <c r="AT1633"/>
      <c r="AU1633"/>
      <c r="AV1633"/>
      <c r="AW1633"/>
      <c r="AX1633"/>
      <c r="AY1633"/>
      <c r="AZ1633" s="1"/>
      <c r="BA1633"/>
      <c r="BB1633"/>
      <c r="BC1633"/>
      <c r="BD1633"/>
      <c r="BE1633"/>
      <c r="BF1633" s="1"/>
      <c r="BG1633"/>
      <c r="BH1633"/>
      <c r="BI1633"/>
      <c r="BJ1633"/>
      <c r="BK1633"/>
      <c r="BL1633"/>
      <c r="BM1633"/>
      <c r="BN1633"/>
      <c r="BO1633"/>
    </row>
    <row r="1634" spans="8:67" s="2" customFormat="1">
      <c r="H1634" s="202"/>
      <c r="I1634" s="10"/>
      <c r="J1634" s="10"/>
      <c r="K1634" s="10"/>
      <c r="L1634" s="20"/>
      <c r="M1634" s="31"/>
      <c r="N1634" s="39"/>
      <c r="O1634" s="39"/>
      <c r="P1634" s="39"/>
      <c r="Q1634" s="39"/>
      <c r="R1634" s="39"/>
      <c r="S1634" s="39"/>
      <c r="T1634" s="39"/>
      <c r="U1634" s="39"/>
      <c r="V1634" s="39"/>
      <c r="W1634" s="39"/>
      <c r="X1634" s="39"/>
      <c r="Y1634" s="51"/>
      <c r="Z1634" s="51"/>
      <c r="AA1634"/>
      <c r="AB1634"/>
      <c r="AC1634"/>
      <c r="AD1634"/>
      <c r="AE1634"/>
      <c r="AF1634"/>
      <c r="AG1634"/>
      <c r="AH1634"/>
      <c r="AI1634"/>
      <c r="AJ1634" s="185"/>
      <c r="AK1634" s="185"/>
      <c r="AL1634" s="185"/>
      <c r="AM1634" s="185"/>
      <c r="AN1634"/>
      <c r="AO1634" s="1"/>
      <c r="AP1634" s="1"/>
      <c r="AQ1634" s="1"/>
      <c r="AR1634" s="1"/>
      <c r="AS1634"/>
      <c r="AT1634"/>
      <c r="AU1634"/>
      <c r="AV1634"/>
      <c r="AW1634"/>
      <c r="AX1634"/>
      <c r="AY1634"/>
      <c r="AZ1634" s="1"/>
      <c r="BA1634"/>
      <c r="BB1634"/>
      <c r="BC1634"/>
      <c r="BD1634"/>
      <c r="BE1634"/>
      <c r="BF1634" s="1"/>
      <c r="BG1634"/>
      <c r="BH1634"/>
      <c r="BI1634"/>
      <c r="BJ1634"/>
      <c r="BK1634"/>
      <c r="BL1634"/>
      <c r="BM1634"/>
      <c r="BN1634"/>
      <c r="BO1634"/>
    </row>
    <row r="1635" spans="8:67" s="2" customFormat="1">
      <c r="H1635" s="202"/>
      <c r="I1635" s="10"/>
      <c r="J1635" s="10"/>
      <c r="K1635" s="10"/>
      <c r="L1635" s="20"/>
      <c r="M1635" s="31"/>
      <c r="N1635" s="39"/>
      <c r="O1635" s="39"/>
      <c r="P1635" s="39"/>
      <c r="Q1635" s="39"/>
      <c r="R1635" s="39"/>
      <c r="S1635" s="39"/>
      <c r="T1635" s="39"/>
      <c r="U1635" s="39"/>
      <c r="V1635" s="39"/>
      <c r="W1635" s="39"/>
      <c r="X1635" s="39"/>
      <c r="Y1635" s="51"/>
      <c r="Z1635" s="51"/>
      <c r="AA1635"/>
      <c r="AB1635"/>
      <c r="AC1635"/>
      <c r="AD1635"/>
      <c r="AE1635"/>
      <c r="AF1635"/>
      <c r="AG1635"/>
      <c r="AH1635"/>
      <c r="AI1635"/>
      <c r="AJ1635" s="185"/>
      <c r="AK1635" s="185"/>
      <c r="AL1635" s="185"/>
      <c r="AM1635" s="185"/>
      <c r="AN1635"/>
      <c r="AO1635" s="1"/>
      <c r="AP1635" s="1"/>
      <c r="AQ1635" s="1"/>
      <c r="AR1635" s="1"/>
      <c r="AS1635"/>
      <c r="AT1635"/>
      <c r="AU1635"/>
      <c r="AV1635"/>
      <c r="AW1635"/>
      <c r="AX1635"/>
      <c r="AY1635"/>
      <c r="AZ1635" s="1"/>
      <c r="BA1635"/>
      <c r="BB1635"/>
      <c r="BC1635"/>
      <c r="BD1635"/>
      <c r="BE1635"/>
      <c r="BF1635" s="1"/>
      <c r="BG1635"/>
      <c r="BH1635"/>
      <c r="BI1635"/>
      <c r="BJ1635"/>
      <c r="BK1635"/>
      <c r="BL1635"/>
      <c r="BM1635"/>
      <c r="BN1635"/>
      <c r="BO1635"/>
    </row>
    <row r="1636" spans="8:67" s="2" customFormat="1">
      <c r="H1636" s="202"/>
      <c r="I1636" s="10"/>
      <c r="J1636" s="10"/>
      <c r="K1636" s="10"/>
      <c r="L1636" s="20"/>
      <c r="M1636" s="31"/>
      <c r="N1636" s="39"/>
      <c r="O1636" s="39"/>
      <c r="P1636" s="39"/>
      <c r="Q1636" s="39"/>
      <c r="R1636" s="39"/>
      <c r="S1636" s="39"/>
      <c r="T1636" s="39"/>
      <c r="U1636" s="39"/>
      <c r="V1636" s="39"/>
      <c r="W1636" s="39"/>
      <c r="X1636" s="39"/>
      <c r="Y1636" s="51"/>
      <c r="Z1636" s="51"/>
      <c r="AA1636"/>
      <c r="AB1636"/>
      <c r="AC1636"/>
      <c r="AD1636"/>
      <c r="AE1636"/>
      <c r="AF1636"/>
      <c r="AG1636"/>
      <c r="AH1636"/>
      <c r="AI1636"/>
      <c r="AJ1636" s="185"/>
      <c r="AK1636" s="185"/>
      <c r="AL1636" s="185"/>
      <c r="AM1636" s="185"/>
      <c r="AN1636"/>
      <c r="AO1636" s="1"/>
      <c r="AP1636" s="1"/>
      <c r="AQ1636" s="1"/>
      <c r="AR1636" s="1"/>
      <c r="AS1636"/>
      <c r="AT1636"/>
      <c r="AU1636"/>
      <c r="AV1636"/>
      <c r="AW1636"/>
      <c r="AX1636"/>
      <c r="AY1636"/>
      <c r="AZ1636" s="1"/>
      <c r="BA1636"/>
      <c r="BB1636"/>
      <c r="BC1636"/>
      <c r="BD1636"/>
      <c r="BE1636"/>
      <c r="BF1636" s="1"/>
      <c r="BG1636"/>
      <c r="BH1636"/>
      <c r="BI1636"/>
      <c r="BJ1636"/>
      <c r="BK1636"/>
      <c r="BL1636"/>
      <c r="BM1636"/>
      <c r="BN1636"/>
      <c r="BO1636"/>
    </row>
    <row r="1637" spans="8:67" s="2" customFormat="1">
      <c r="H1637" s="202"/>
      <c r="I1637" s="10"/>
      <c r="J1637" s="10"/>
      <c r="K1637" s="10"/>
      <c r="L1637" s="20"/>
      <c r="M1637" s="31"/>
      <c r="N1637" s="39"/>
      <c r="O1637" s="39"/>
      <c r="P1637" s="39"/>
      <c r="Q1637" s="39"/>
      <c r="R1637" s="39"/>
      <c r="S1637" s="39"/>
      <c r="T1637" s="39"/>
      <c r="U1637" s="39"/>
      <c r="V1637" s="39"/>
      <c r="W1637" s="39"/>
      <c r="X1637" s="39"/>
      <c r="Y1637" s="51"/>
      <c r="Z1637" s="51"/>
      <c r="AA1637"/>
      <c r="AB1637"/>
      <c r="AC1637"/>
      <c r="AD1637"/>
      <c r="AE1637"/>
      <c r="AF1637"/>
      <c r="AG1637"/>
      <c r="AH1637"/>
      <c r="AI1637"/>
      <c r="AJ1637" s="185"/>
      <c r="AK1637" s="185"/>
      <c r="AL1637" s="185"/>
      <c r="AM1637" s="185"/>
      <c r="AN1637"/>
      <c r="AO1637" s="1"/>
      <c r="AP1637" s="1"/>
      <c r="AQ1637" s="1"/>
      <c r="AR1637" s="1"/>
      <c r="AS1637"/>
      <c r="AT1637"/>
      <c r="AU1637"/>
      <c r="AV1637"/>
      <c r="AW1637"/>
      <c r="AX1637"/>
      <c r="AY1637"/>
      <c r="AZ1637" s="1"/>
      <c r="BA1637"/>
      <c r="BB1637"/>
      <c r="BC1637"/>
      <c r="BD1637"/>
      <c r="BE1637"/>
      <c r="BF1637" s="1"/>
      <c r="BG1637"/>
      <c r="BH1637"/>
      <c r="BI1637"/>
      <c r="BJ1637"/>
      <c r="BK1637"/>
      <c r="BL1637"/>
      <c r="BM1637"/>
      <c r="BN1637"/>
      <c r="BO1637"/>
    </row>
    <row r="1638" spans="8:67" s="2" customFormat="1">
      <c r="H1638" s="202"/>
      <c r="I1638" s="10"/>
      <c r="J1638" s="10"/>
      <c r="K1638" s="10"/>
      <c r="L1638" s="20"/>
      <c r="M1638" s="31"/>
      <c r="N1638" s="39"/>
      <c r="O1638" s="39"/>
      <c r="P1638" s="39"/>
      <c r="Q1638" s="39"/>
      <c r="R1638" s="39"/>
      <c r="S1638" s="39"/>
      <c r="T1638" s="39"/>
      <c r="U1638" s="39"/>
      <c r="V1638" s="39"/>
      <c r="W1638" s="39"/>
      <c r="X1638" s="39"/>
      <c r="Y1638" s="51"/>
      <c r="Z1638" s="51"/>
      <c r="AA1638"/>
      <c r="AB1638"/>
      <c r="AC1638"/>
      <c r="AD1638"/>
      <c r="AE1638"/>
      <c r="AF1638"/>
      <c r="AG1638"/>
      <c r="AH1638"/>
      <c r="AI1638"/>
      <c r="AJ1638" s="185"/>
      <c r="AK1638" s="185"/>
      <c r="AL1638" s="185"/>
      <c r="AM1638" s="185"/>
      <c r="AN1638"/>
      <c r="AO1638" s="1"/>
      <c r="AP1638" s="1"/>
      <c r="AQ1638" s="1"/>
      <c r="AR1638" s="1"/>
      <c r="AS1638"/>
      <c r="AT1638"/>
      <c r="AU1638"/>
      <c r="AV1638"/>
      <c r="AW1638"/>
      <c r="AX1638"/>
      <c r="AY1638"/>
      <c r="AZ1638" s="1"/>
      <c r="BA1638"/>
      <c r="BB1638"/>
      <c r="BC1638"/>
      <c r="BD1638"/>
      <c r="BE1638"/>
      <c r="BF1638" s="1"/>
      <c r="BG1638"/>
      <c r="BH1638"/>
      <c r="BI1638"/>
      <c r="BJ1638"/>
      <c r="BK1638"/>
      <c r="BL1638"/>
      <c r="BM1638"/>
      <c r="BN1638"/>
      <c r="BO1638"/>
    </row>
    <row r="1639" spans="8:67" s="2" customFormat="1">
      <c r="H1639" s="202"/>
      <c r="I1639" s="10"/>
      <c r="J1639" s="10"/>
      <c r="K1639" s="10"/>
      <c r="L1639" s="20"/>
      <c r="M1639" s="31"/>
      <c r="N1639" s="39"/>
      <c r="O1639" s="39"/>
      <c r="P1639" s="39"/>
      <c r="Q1639" s="39"/>
      <c r="R1639" s="39"/>
      <c r="S1639" s="39"/>
      <c r="T1639" s="39"/>
      <c r="U1639" s="39"/>
      <c r="V1639" s="39"/>
      <c r="W1639" s="39"/>
      <c r="X1639" s="39"/>
      <c r="Y1639" s="51"/>
      <c r="Z1639" s="51"/>
      <c r="AA1639"/>
      <c r="AB1639"/>
      <c r="AC1639"/>
      <c r="AD1639"/>
      <c r="AE1639"/>
      <c r="AF1639"/>
      <c r="AG1639"/>
      <c r="AH1639"/>
      <c r="AI1639"/>
      <c r="AJ1639" s="185"/>
      <c r="AK1639" s="185"/>
      <c r="AL1639" s="185"/>
      <c r="AM1639" s="185"/>
      <c r="AN1639"/>
      <c r="AO1639" s="1"/>
      <c r="AP1639" s="1"/>
      <c r="AQ1639" s="1"/>
      <c r="AR1639" s="1"/>
      <c r="AS1639"/>
      <c r="AT1639"/>
      <c r="AU1639"/>
      <c r="AV1639"/>
      <c r="AW1639"/>
      <c r="AX1639"/>
      <c r="AY1639"/>
      <c r="AZ1639" s="1"/>
      <c r="BA1639"/>
      <c r="BB1639"/>
      <c r="BC1639"/>
      <c r="BD1639"/>
      <c r="BE1639"/>
      <c r="BF1639" s="1"/>
      <c r="BG1639"/>
      <c r="BH1639"/>
      <c r="BI1639"/>
      <c r="BJ1639"/>
      <c r="BK1639"/>
      <c r="BL1639"/>
      <c r="BM1639"/>
      <c r="BN1639"/>
      <c r="BO1639"/>
    </row>
    <row r="1640" spans="8:67" s="2" customFormat="1">
      <c r="H1640" s="202"/>
      <c r="I1640" s="10"/>
      <c r="J1640" s="10"/>
      <c r="K1640" s="10"/>
      <c r="L1640" s="20"/>
      <c r="M1640" s="31"/>
      <c r="N1640" s="39"/>
      <c r="O1640" s="39"/>
      <c r="P1640" s="39"/>
      <c r="Q1640" s="39"/>
      <c r="R1640" s="39"/>
      <c r="S1640" s="39"/>
      <c r="T1640" s="39"/>
      <c r="U1640" s="39"/>
      <c r="V1640" s="39"/>
      <c r="W1640" s="39"/>
      <c r="X1640" s="39"/>
      <c r="Y1640" s="51"/>
      <c r="Z1640" s="51"/>
      <c r="AA1640"/>
      <c r="AB1640"/>
      <c r="AC1640"/>
      <c r="AD1640"/>
      <c r="AE1640"/>
      <c r="AF1640"/>
      <c r="AG1640"/>
      <c r="AH1640"/>
      <c r="AI1640"/>
      <c r="AJ1640" s="185"/>
      <c r="AK1640" s="185"/>
      <c r="AL1640" s="185"/>
      <c r="AM1640" s="185"/>
      <c r="AN1640"/>
      <c r="AO1640" s="1"/>
      <c r="AP1640" s="1"/>
      <c r="AQ1640" s="1"/>
      <c r="AR1640" s="1"/>
      <c r="AS1640"/>
      <c r="AT1640"/>
      <c r="AU1640"/>
      <c r="AV1640"/>
      <c r="AW1640"/>
      <c r="AX1640"/>
      <c r="AY1640"/>
      <c r="AZ1640" s="1"/>
      <c r="BA1640"/>
      <c r="BB1640"/>
      <c r="BC1640"/>
      <c r="BD1640"/>
      <c r="BE1640"/>
      <c r="BF1640" s="1"/>
      <c r="BG1640"/>
      <c r="BH1640"/>
      <c r="BI1640"/>
      <c r="BJ1640"/>
      <c r="BK1640"/>
      <c r="BL1640"/>
      <c r="BM1640"/>
      <c r="BN1640"/>
      <c r="BO1640"/>
    </row>
    <row r="1641" spans="8:67" s="2" customFormat="1">
      <c r="H1641" s="202"/>
      <c r="I1641" s="10"/>
      <c r="J1641" s="10"/>
      <c r="K1641" s="10"/>
      <c r="L1641" s="20"/>
      <c r="M1641" s="31"/>
      <c r="N1641" s="39"/>
      <c r="O1641" s="39"/>
      <c r="P1641" s="39"/>
      <c r="Q1641" s="39"/>
      <c r="R1641" s="39"/>
      <c r="S1641" s="39"/>
      <c r="T1641" s="39"/>
      <c r="U1641" s="39"/>
      <c r="V1641" s="39"/>
      <c r="W1641" s="39"/>
      <c r="X1641" s="39"/>
      <c r="Y1641" s="51"/>
      <c r="Z1641" s="51"/>
      <c r="AA1641"/>
      <c r="AB1641"/>
      <c r="AC1641"/>
      <c r="AD1641"/>
      <c r="AE1641"/>
      <c r="AF1641"/>
      <c r="AG1641"/>
      <c r="AH1641"/>
      <c r="AI1641"/>
      <c r="AJ1641" s="185"/>
      <c r="AK1641" s="185"/>
      <c r="AL1641" s="185"/>
      <c r="AM1641" s="185"/>
      <c r="AN1641"/>
      <c r="AO1641" s="1"/>
      <c r="AP1641" s="1"/>
      <c r="AQ1641" s="1"/>
      <c r="AR1641" s="1"/>
      <c r="AS1641"/>
      <c r="AT1641"/>
      <c r="AU1641"/>
      <c r="AV1641"/>
      <c r="AW1641"/>
      <c r="AX1641"/>
      <c r="AY1641"/>
      <c r="AZ1641" s="1"/>
      <c r="BA1641"/>
      <c r="BB1641"/>
      <c r="BC1641"/>
      <c r="BD1641"/>
      <c r="BE1641"/>
      <c r="BF1641" s="1"/>
      <c r="BG1641"/>
      <c r="BH1641"/>
      <c r="BI1641"/>
      <c r="BJ1641"/>
      <c r="BK1641"/>
      <c r="BL1641"/>
      <c r="BM1641"/>
      <c r="BN1641"/>
      <c r="BO1641"/>
    </row>
    <row r="1642" spans="8:67" s="2" customFormat="1">
      <c r="H1642" s="202"/>
      <c r="I1642" s="10"/>
      <c r="J1642" s="10"/>
      <c r="K1642" s="10"/>
      <c r="L1642" s="20"/>
      <c r="M1642" s="31"/>
      <c r="N1642" s="39"/>
      <c r="O1642" s="39"/>
      <c r="P1642" s="39"/>
      <c r="Q1642" s="39"/>
      <c r="R1642" s="39"/>
      <c r="S1642" s="39"/>
      <c r="T1642" s="39"/>
      <c r="U1642" s="39"/>
      <c r="V1642" s="39"/>
      <c r="W1642" s="39"/>
      <c r="X1642" s="39"/>
      <c r="Y1642" s="51"/>
      <c r="Z1642" s="51"/>
      <c r="AA1642"/>
      <c r="AB1642"/>
      <c r="AC1642"/>
      <c r="AD1642"/>
      <c r="AE1642"/>
      <c r="AF1642"/>
      <c r="AG1642"/>
      <c r="AH1642"/>
      <c r="AI1642"/>
      <c r="AJ1642" s="185"/>
      <c r="AK1642" s="185"/>
      <c r="AL1642" s="185"/>
      <c r="AM1642" s="185"/>
      <c r="AN1642"/>
      <c r="AO1642" s="1"/>
      <c r="AP1642" s="1"/>
      <c r="AQ1642" s="1"/>
      <c r="AR1642" s="1"/>
      <c r="AS1642"/>
      <c r="AT1642"/>
      <c r="AU1642"/>
      <c r="AV1642"/>
      <c r="AW1642"/>
      <c r="AX1642"/>
      <c r="AY1642"/>
      <c r="AZ1642" s="1"/>
      <c r="BA1642"/>
      <c r="BB1642"/>
      <c r="BC1642"/>
      <c r="BD1642"/>
      <c r="BE1642"/>
      <c r="BF1642" s="1"/>
      <c r="BG1642"/>
      <c r="BH1642"/>
      <c r="BI1642"/>
      <c r="BJ1642"/>
      <c r="BK1642"/>
      <c r="BL1642"/>
      <c r="BM1642"/>
      <c r="BN1642"/>
      <c r="BO1642"/>
    </row>
    <row r="1643" spans="8:67" s="2" customFormat="1">
      <c r="H1643" s="202"/>
      <c r="I1643" s="10"/>
      <c r="J1643" s="10"/>
      <c r="K1643" s="10"/>
      <c r="L1643" s="20"/>
      <c r="M1643" s="31"/>
      <c r="N1643" s="39"/>
      <c r="O1643" s="39"/>
      <c r="P1643" s="39"/>
      <c r="Q1643" s="39"/>
      <c r="R1643" s="39"/>
      <c r="S1643" s="39"/>
      <c r="T1643" s="39"/>
      <c r="U1643" s="39"/>
      <c r="V1643" s="39"/>
      <c r="W1643" s="39"/>
      <c r="X1643" s="39"/>
      <c r="Y1643" s="51"/>
      <c r="Z1643" s="51"/>
      <c r="AA1643"/>
      <c r="AB1643"/>
      <c r="AC1643"/>
      <c r="AD1643"/>
      <c r="AE1643"/>
      <c r="AF1643"/>
      <c r="AG1643"/>
      <c r="AH1643"/>
      <c r="AI1643"/>
      <c r="AJ1643" s="185"/>
      <c r="AK1643" s="185"/>
      <c r="AL1643" s="185"/>
      <c r="AM1643" s="185"/>
      <c r="AN1643"/>
      <c r="AO1643" s="1"/>
      <c r="AP1643" s="1"/>
      <c r="AQ1643" s="1"/>
      <c r="AR1643" s="1"/>
      <c r="AS1643"/>
      <c r="AT1643"/>
      <c r="AU1643"/>
      <c r="AV1643"/>
      <c r="AW1643"/>
      <c r="AX1643"/>
      <c r="AY1643"/>
      <c r="AZ1643" s="1"/>
      <c r="BA1643"/>
      <c r="BB1643"/>
      <c r="BC1643"/>
      <c r="BD1643"/>
      <c r="BE1643"/>
      <c r="BF1643" s="1"/>
      <c r="BG1643"/>
      <c r="BH1643"/>
      <c r="BI1643"/>
      <c r="BJ1643"/>
      <c r="BK1643"/>
      <c r="BL1643"/>
      <c r="BM1643"/>
      <c r="BN1643"/>
      <c r="BO1643"/>
    </row>
    <row r="1644" spans="8:67" s="2" customFormat="1">
      <c r="H1644" s="202"/>
      <c r="I1644" s="10"/>
      <c r="J1644" s="10"/>
      <c r="K1644" s="10"/>
      <c r="L1644" s="20"/>
      <c r="M1644" s="31"/>
      <c r="N1644" s="39"/>
      <c r="O1644" s="39"/>
      <c r="P1644" s="39"/>
      <c r="Q1644" s="39"/>
      <c r="R1644" s="39"/>
      <c r="S1644" s="39"/>
      <c r="T1644" s="39"/>
      <c r="U1644" s="39"/>
      <c r="V1644" s="39"/>
      <c r="W1644" s="39"/>
      <c r="X1644" s="39"/>
      <c r="Y1644" s="51"/>
      <c r="Z1644" s="51"/>
      <c r="AA1644"/>
      <c r="AB1644"/>
      <c r="AC1644"/>
      <c r="AD1644"/>
      <c r="AE1644"/>
      <c r="AF1644"/>
      <c r="AG1644"/>
      <c r="AH1644"/>
      <c r="AI1644"/>
      <c r="AJ1644" s="185"/>
      <c r="AK1644" s="185"/>
      <c r="AL1644" s="185"/>
      <c r="AM1644" s="185"/>
      <c r="AN1644"/>
      <c r="AO1644" s="1"/>
      <c r="AP1644" s="1"/>
      <c r="AQ1644" s="1"/>
      <c r="AR1644" s="1"/>
      <c r="AS1644"/>
      <c r="AT1644"/>
      <c r="AU1644"/>
      <c r="AV1644"/>
      <c r="AW1644"/>
      <c r="AX1644"/>
      <c r="AY1644"/>
      <c r="AZ1644" s="1"/>
      <c r="BA1644"/>
      <c r="BB1644"/>
      <c r="BC1644"/>
      <c r="BD1644"/>
      <c r="BE1644"/>
      <c r="BF1644" s="1"/>
      <c r="BG1644"/>
      <c r="BH1644"/>
      <c r="BI1644"/>
      <c r="BJ1644"/>
      <c r="BK1644"/>
      <c r="BL1644"/>
      <c r="BM1644"/>
      <c r="BN1644"/>
      <c r="BO1644"/>
    </row>
    <row r="1645" spans="8:67" s="2" customFormat="1">
      <c r="H1645" s="202"/>
      <c r="I1645" s="10"/>
      <c r="J1645" s="10"/>
      <c r="K1645" s="10"/>
      <c r="L1645" s="20"/>
      <c r="M1645" s="31"/>
      <c r="N1645" s="39"/>
      <c r="O1645" s="39"/>
      <c r="P1645" s="39"/>
      <c r="Q1645" s="39"/>
      <c r="R1645" s="39"/>
      <c r="S1645" s="39"/>
      <c r="T1645" s="39"/>
      <c r="U1645" s="39"/>
      <c r="V1645" s="39"/>
      <c r="W1645" s="39"/>
      <c r="X1645" s="39"/>
      <c r="Y1645" s="51"/>
      <c r="Z1645" s="51"/>
      <c r="AA1645"/>
      <c r="AB1645"/>
      <c r="AC1645"/>
      <c r="AD1645"/>
      <c r="AE1645"/>
      <c r="AF1645"/>
      <c r="AG1645"/>
      <c r="AH1645"/>
      <c r="AI1645"/>
      <c r="AJ1645" s="185"/>
      <c r="AK1645" s="185"/>
      <c r="AL1645" s="185"/>
      <c r="AM1645" s="185"/>
      <c r="AN1645"/>
      <c r="AO1645" s="1"/>
      <c r="AP1645" s="1"/>
      <c r="AQ1645" s="1"/>
      <c r="AR1645" s="1"/>
      <c r="AS1645"/>
      <c r="AT1645"/>
      <c r="AU1645"/>
      <c r="AV1645"/>
      <c r="AW1645"/>
      <c r="AX1645"/>
      <c r="AY1645"/>
      <c r="AZ1645" s="1"/>
      <c r="BA1645"/>
      <c r="BB1645"/>
      <c r="BC1645"/>
      <c r="BD1645"/>
      <c r="BE1645"/>
      <c r="BF1645" s="1"/>
      <c r="BG1645"/>
      <c r="BH1645"/>
      <c r="BI1645"/>
      <c r="BJ1645"/>
      <c r="BK1645"/>
      <c r="BL1645"/>
      <c r="BM1645"/>
      <c r="BN1645"/>
      <c r="BO1645"/>
    </row>
    <row r="1646" spans="8:67" s="2" customFormat="1">
      <c r="H1646" s="202"/>
      <c r="I1646" s="10"/>
      <c r="J1646" s="10"/>
      <c r="K1646" s="10"/>
      <c r="L1646" s="20"/>
      <c r="M1646" s="31"/>
      <c r="N1646" s="39"/>
      <c r="O1646" s="39"/>
      <c r="P1646" s="39"/>
      <c r="Q1646" s="39"/>
      <c r="R1646" s="39"/>
      <c r="S1646" s="39"/>
      <c r="T1646" s="39"/>
      <c r="U1646" s="39"/>
      <c r="V1646" s="39"/>
      <c r="W1646" s="39"/>
      <c r="X1646" s="39"/>
      <c r="Y1646" s="51"/>
      <c r="Z1646" s="51"/>
      <c r="AA1646"/>
      <c r="AB1646"/>
      <c r="AC1646"/>
      <c r="AD1646"/>
      <c r="AE1646"/>
      <c r="AF1646"/>
      <c r="AG1646"/>
      <c r="AH1646"/>
      <c r="AI1646"/>
      <c r="AJ1646" s="185"/>
      <c r="AK1646" s="185"/>
      <c r="AL1646" s="185"/>
      <c r="AM1646" s="185"/>
      <c r="AN1646"/>
      <c r="AO1646" s="1"/>
      <c r="AP1646" s="1"/>
      <c r="AQ1646" s="1"/>
      <c r="AR1646" s="1"/>
      <c r="AS1646"/>
      <c r="AT1646"/>
      <c r="AU1646"/>
      <c r="AV1646"/>
      <c r="AW1646"/>
      <c r="AX1646"/>
      <c r="AY1646"/>
      <c r="AZ1646" s="1"/>
      <c r="BA1646"/>
      <c r="BB1646"/>
      <c r="BC1646"/>
      <c r="BD1646"/>
      <c r="BE1646"/>
      <c r="BF1646" s="1"/>
      <c r="BG1646"/>
      <c r="BH1646"/>
      <c r="BI1646"/>
      <c r="BJ1646"/>
      <c r="BK1646"/>
      <c r="BL1646"/>
      <c r="BM1646"/>
      <c r="BN1646"/>
      <c r="BO1646"/>
    </row>
    <row r="1647" spans="8:67" s="2" customFormat="1">
      <c r="H1647" s="202"/>
      <c r="I1647" s="10"/>
      <c r="J1647" s="10"/>
      <c r="K1647" s="10"/>
      <c r="L1647" s="20"/>
      <c r="M1647" s="31"/>
      <c r="N1647" s="39"/>
      <c r="O1647" s="39"/>
      <c r="P1647" s="39"/>
      <c r="Q1647" s="39"/>
      <c r="R1647" s="39"/>
      <c r="S1647" s="39"/>
      <c r="T1647" s="39"/>
      <c r="U1647" s="39"/>
      <c r="V1647" s="39"/>
      <c r="W1647" s="39"/>
      <c r="X1647" s="39"/>
      <c r="Y1647" s="51"/>
      <c r="Z1647" s="51"/>
      <c r="AA1647"/>
      <c r="AB1647"/>
      <c r="AC1647"/>
      <c r="AD1647"/>
      <c r="AE1647"/>
      <c r="AF1647"/>
      <c r="AG1647"/>
      <c r="AH1647"/>
      <c r="AI1647"/>
      <c r="AJ1647" s="185"/>
      <c r="AK1647" s="185"/>
      <c r="AL1647" s="185"/>
      <c r="AM1647" s="185"/>
      <c r="AN1647"/>
      <c r="AO1647" s="1"/>
      <c r="AP1647" s="1"/>
      <c r="AQ1647" s="1"/>
      <c r="AR1647" s="1"/>
      <c r="AS1647"/>
      <c r="AT1647"/>
      <c r="AU1647"/>
      <c r="AV1647"/>
      <c r="AW1647"/>
      <c r="AX1647"/>
      <c r="AY1647"/>
      <c r="AZ1647" s="1"/>
      <c r="BA1647"/>
      <c r="BB1647"/>
      <c r="BC1647"/>
      <c r="BD1647"/>
      <c r="BE1647"/>
      <c r="BF1647" s="1"/>
      <c r="BG1647"/>
      <c r="BH1647"/>
      <c r="BI1647"/>
      <c r="BJ1647"/>
      <c r="BK1647"/>
      <c r="BL1647"/>
      <c r="BM1647"/>
      <c r="BN1647"/>
      <c r="BO1647"/>
    </row>
    <row r="1648" spans="8:67" s="2" customFormat="1">
      <c r="H1648" s="202"/>
      <c r="I1648" s="10"/>
      <c r="J1648" s="10"/>
      <c r="K1648" s="10"/>
      <c r="L1648" s="20"/>
      <c r="M1648" s="31"/>
      <c r="N1648" s="39"/>
      <c r="O1648" s="39"/>
      <c r="P1648" s="39"/>
      <c r="Q1648" s="39"/>
      <c r="R1648" s="39"/>
      <c r="S1648" s="39"/>
      <c r="T1648" s="39"/>
      <c r="U1648" s="39"/>
      <c r="V1648" s="39"/>
      <c r="W1648" s="39"/>
      <c r="X1648" s="39"/>
      <c r="Y1648" s="51"/>
      <c r="Z1648" s="51"/>
      <c r="AA1648"/>
      <c r="AB1648"/>
      <c r="AC1648"/>
      <c r="AD1648"/>
      <c r="AE1648"/>
      <c r="AF1648"/>
      <c r="AG1648"/>
      <c r="AH1648"/>
      <c r="AI1648"/>
      <c r="AJ1648" s="185"/>
      <c r="AK1648" s="185"/>
      <c r="AL1648" s="185"/>
      <c r="AM1648" s="185"/>
      <c r="AN1648"/>
      <c r="AO1648" s="1"/>
      <c r="AP1648" s="1"/>
      <c r="AQ1648" s="1"/>
      <c r="AR1648" s="1"/>
      <c r="AS1648"/>
      <c r="AT1648"/>
      <c r="AU1648"/>
      <c r="AV1648"/>
      <c r="AW1648"/>
      <c r="AX1648"/>
      <c r="AY1648"/>
      <c r="AZ1648" s="1"/>
      <c r="BA1648"/>
      <c r="BB1648"/>
      <c r="BC1648"/>
      <c r="BD1648"/>
      <c r="BE1648"/>
      <c r="BF1648" s="1"/>
      <c r="BG1648"/>
      <c r="BH1648"/>
      <c r="BI1648"/>
      <c r="BJ1648"/>
      <c r="BK1648"/>
      <c r="BL1648"/>
      <c r="BM1648"/>
      <c r="BN1648"/>
      <c r="BO1648"/>
    </row>
    <row r="1649" spans="8:67" s="2" customFormat="1">
      <c r="H1649" s="202"/>
      <c r="I1649" s="10"/>
      <c r="J1649" s="10"/>
      <c r="K1649" s="10"/>
      <c r="L1649" s="20"/>
      <c r="M1649" s="31"/>
      <c r="N1649" s="39"/>
      <c r="O1649" s="39"/>
      <c r="P1649" s="39"/>
      <c r="Q1649" s="39"/>
      <c r="R1649" s="39"/>
      <c r="S1649" s="39"/>
      <c r="T1649" s="39"/>
      <c r="U1649" s="39"/>
      <c r="V1649" s="39"/>
      <c r="W1649" s="39"/>
      <c r="X1649" s="39"/>
      <c r="Y1649" s="51"/>
      <c r="Z1649" s="51"/>
      <c r="AA1649"/>
      <c r="AB1649"/>
      <c r="AC1649"/>
      <c r="AD1649"/>
      <c r="AE1649"/>
      <c r="AF1649"/>
      <c r="AG1649"/>
      <c r="AH1649"/>
      <c r="AI1649"/>
      <c r="AJ1649" s="185"/>
      <c r="AK1649" s="185"/>
      <c r="AL1649" s="185"/>
      <c r="AM1649" s="185"/>
      <c r="AN1649"/>
      <c r="AO1649" s="1"/>
      <c r="AP1649" s="1"/>
      <c r="AQ1649" s="1"/>
      <c r="AR1649" s="1"/>
      <c r="AS1649"/>
      <c r="AT1649"/>
      <c r="AU1649"/>
      <c r="AV1649"/>
      <c r="AW1649"/>
      <c r="AX1649"/>
      <c r="AY1649"/>
      <c r="AZ1649" s="1"/>
      <c r="BA1649"/>
      <c r="BB1649"/>
      <c r="BC1649"/>
      <c r="BD1649"/>
      <c r="BE1649"/>
      <c r="BF1649" s="1"/>
      <c r="BG1649"/>
      <c r="BH1649"/>
      <c r="BI1649"/>
      <c r="BJ1649"/>
      <c r="BK1649"/>
      <c r="BL1649"/>
      <c r="BM1649"/>
      <c r="BN1649"/>
      <c r="BO1649"/>
    </row>
    <row r="1650" spans="8:67" s="2" customFormat="1">
      <c r="H1650" s="202"/>
      <c r="I1650" s="10"/>
      <c r="J1650" s="10"/>
      <c r="K1650" s="10"/>
      <c r="L1650" s="20"/>
      <c r="M1650" s="31"/>
      <c r="N1650" s="39"/>
      <c r="O1650" s="39"/>
      <c r="P1650" s="39"/>
      <c r="Q1650" s="39"/>
      <c r="R1650" s="39"/>
      <c r="S1650" s="39"/>
      <c r="T1650" s="39"/>
      <c r="U1650" s="39"/>
      <c r="V1650" s="39"/>
      <c r="W1650" s="39"/>
      <c r="X1650" s="39"/>
      <c r="Y1650" s="51"/>
      <c r="Z1650" s="51"/>
      <c r="AA1650"/>
      <c r="AB1650"/>
      <c r="AC1650"/>
      <c r="AD1650"/>
      <c r="AE1650"/>
      <c r="AF1650"/>
      <c r="AG1650"/>
      <c r="AH1650"/>
      <c r="AI1650"/>
      <c r="AJ1650" s="185"/>
      <c r="AK1650" s="185"/>
      <c r="AL1650" s="185"/>
      <c r="AM1650" s="185"/>
      <c r="AN1650"/>
      <c r="AO1650" s="1"/>
      <c r="AP1650" s="1"/>
      <c r="AQ1650" s="1"/>
      <c r="AR1650" s="1"/>
      <c r="AS1650"/>
      <c r="AT1650"/>
      <c r="AU1650"/>
      <c r="AV1650"/>
      <c r="AW1650"/>
      <c r="AX1650"/>
      <c r="AY1650"/>
      <c r="AZ1650" s="1"/>
      <c r="BA1650"/>
      <c r="BB1650"/>
      <c r="BC1650"/>
      <c r="BD1650"/>
      <c r="BE1650"/>
      <c r="BF1650" s="1"/>
      <c r="BG1650"/>
      <c r="BH1650"/>
      <c r="BI1650"/>
      <c r="BJ1650"/>
      <c r="BK1650"/>
      <c r="BL1650"/>
      <c r="BM1650"/>
      <c r="BN1650"/>
      <c r="BO1650"/>
    </row>
    <row r="1651" spans="8:67" s="2" customFormat="1">
      <c r="H1651" s="202"/>
      <c r="I1651" s="10"/>
      <c r="J1651" s="10"/>
      <c r="K1651" s="10"/>
      <c r="L1651" s="20"/>
      <c r="M1651" s="31"/>
      <c r="N1651" s="39"/>
      <c r="O1651" s="39"/>
      <c r="P1651" s="39"/>
      <c r="Q1651" s="39"/>
      <c r="R1651" s="39"/>
      <c r="S1651" s="39"/>
      <c r="T1651" s="39"/>
      <c r="U1651" s="39"/>
      <c r="V1651" s="39"/>
      <c r="W1651" s="39"/>
      <c r="X1651" s="39"/>
      <c r="Y1651" s="51"/>
      <c r="Z1651" s="51"/>
      <c r="AA1651"/>
      <c r="AB1651"/>
      <c r="AC1651"/>
      <c r="AD1651"/>
      <c r="AE1651"/>
      <c r="AF1651"/>
      <c r="AG1651"/>
      <c r="AH1651"/>
      <c r="AI1651"/>
      <c r="AJ1651" s="185"/>
      <c r="AK1651" s="185"/>
      <c r="AL1651" s="185"/>
      <c r="AM1651" s="185"/>
      <c r="AN1651"/>
      <c r="AO1651" s="1"/>
      <c r="AP1651" s="1"/>
      <c r="AQ1651" s="1"/>
      <c r="AR1651" s="1"/>
      <c r="AS1651"/>
      <c r="AT1651"/>
      <c r="AU1651"/>
      <c r="AV1651"/>
      <c r="AW1651"/>
      <c r="AX1651"/>
      <c r="AY1651"/>
      <c r="AZ1651" s="1"/>
      <c r="BA1651"/>
      <c r="BB1651"/>
      <c r="BC1651"/>
      <c r="BD1651"/>
      <c r="BE1651"/>
      <c r="BF1651" s="1"/>
      <c r="BG1651"/>
      <c r="BH1651"/>
      <c r="BI1651"/>
      <c r="BJ1651"/>
      <c r="BK1651"/>
      <c r="BL1651"/>
      <c r="BM1651"/>
      <c r="BN1651"/>
      <c r="BO1651"/>
    </row>
    <row r="1652" spans="8:67" s="2" customFormat="1">
      <c r="H1652" s="202"/>
      <c r="I1652" s="10"/>
      <c r="J1652" s="10"/>
      <c r="K1652" s="10"/>
      <c r="L1652" s="20"/>
      <c r="M1652" s="31"/>
      <c r="N1652" s="39"/>
      <c r="O1652" s="39"/>
      <c r="P1652" s="39"/>
      <c r="Q1652" s="39"/>
      <c r="R1652" s="39"/>
      <c r="S1652" s="39"/>
      <c r="T1652" s="39"/>
      <c r="U1652" s="39"/>
      <c r="V1652" s="39"/>
      <c r="W1652" s="39"/>
      <c r="X1652" s="39"/>
      <c r="Y1652" s="51"/>
      <c r="Z1652" s="51"/>
      <c r="AA1652"/>
      <c r="AB1652"/>
      <c r="AC1652"/>
      <c r="AD1652"/>
      <c r="AE1652"/>
      <c r="AF1652"/>
      <c r="AG1652"/>
      <c r="AH1652"/>
      <c r="AI1652"/>
      <c r="AJ1652" s="185"/>
      <c r="AK1652" s="185"/>
      <c r="AL1652" s="185"/>
      <c r="AM1652" s="185"/>
      <c r="AN1652"/>
      <c r="AO1652" s="1"/>
      <c r="AP1652" s="1"/>
      <c r="AQ1652" s="1"/>
      <c r="AR1652" s="1"/>
      <c r="AS1652"/>
      <c r="AT1652"/>
      <c r="AU1652"/>
      <c r="AV1652"/>
      <c r="AW1652"/>
      <c r="AX1652"/>
      <c r="AY1652"/>
      <c r="AZ1652" s="1"/>
      <c r="BA1652"/>
      <c r="BB1652"/>
      <c r="BC1652"/>
      <c r="BD1652"/>
      <c r="BE1652"/>
      <c r="BF1652" s="1"/>
      <c r="BG1652"/>
      <c r="BH1652"/>
      <c r="BI1652"/>
      <c r="BJ1652"/>
      <c r="BK1652"/>
      <c r="BL1652"/>
      <c r="BM1652"/>
      <c r="BN1652"/>
      <c r="BO1652"/>
    </row>
    <row r="1653" spans="8:67" s="2" customFormat="1">
      <c r="H1653" s="202"/>
      <c r="I1653" s="10"/>
      <c r="J1653" s="10"/>
      <c r="K1653" s="10"/>
      <c r="L1653" s="20"/>
      <c r="M1653" s="31"/>
      <c r="N1653" s="39"/>
      <c r="O1653" s="39"/>
      <c r="P1653" s="39"/>
      <c r="Q1653" s="39"/>
      <c r="R1653" s="39"/>
      <c r="S1653" s="39"/>
      <c r="T1653" s="39"/>
      <c r="U1653" s="39"/>
      <c r="V1653" s="39"/>
      <c r="W1653" s="39"/>
      <c r="X1653" s="39"/>
      <c r="Y1653" s="51"/>
      <c r="Z1653" s="51"/>
      <c r="AA1653"/>
      <c r="AB1653"/>
      <c r="AC1653"/>
      <c r="AD1653"/>
      <c r="AE1653"/>
      <c r="AF1653"/>
      <c r="AG1653"/>
      <c r="AH1653"/>
      <c r="AI1653"/>
      <c r="AJ1653" s="185"/>
      <c r="AK1653" s="185"/>
      <c r="AL1653" s="185"/>
      <c r="AM1653" s="185"/>
      <c r="AN1653"/>
      <c r="AO1653" s="1"/>
      <c r="AP1653" s="1"/>
      <c r="AQ1653" s="1"/>
      <c r="AR1653" s="1"/>
      <c r="AS1653"/>
      <c r="AT1653"/>
      <c r="AU1653"/>
      <c r="AV1653"/>
      <c r="AW1653"/>
      <c r="AX1653"/>
      <c r="AY1653"/>
      <c r="AZ1653" s="1"/>
      <c r="BA1653"/>
      <c r="BB1653"/>
      <c r="BC1653"/>
      <c r="BD1653"/>
      <c r="BE1653"/>
      <c r="BF1653" s="1"/>
      <c r="BG1653"/>
      <c r="BH1653"/>
      <c r="BI1653"/>
      <c r="BJ1653"/>
      <c r="BK1653"/>
      <c r="BL1653"/>
      <c r="BM1653"/>
      <c r="BN1653"/>
      <c r="BO1653"/>
    </row>
    <row r="1654" spans="8:67" s="2" customFormat="1">
      <c r="H1654" s="202"/>
      <c r="I1654" s="10"/>
      <c r="J1654" s="10"/>
      <c r="K1654" s="10"/>
      <c r="L1654" s="20"/>
      <c r="M1654" s="31"/>
      <c r="N1654" s="39"/>
      <c r="O1654" s="39"/>
      <c r="P1654" s="39"/>
      <c r="Q1654" s="39"/>
      <c r="R1654" s="39"/>
      <c r="S1654" s="39"/>
      <c r="T1654" s="39"/>
      <c r="U1654" s="39"/>
      <c r="V1654" s="39"/>
      <c r="W1654" s="39"/>
      <c r="X1654" s="39"/>
      <c r="Y1654" s="51"/>
      <c r="Z1654" s="51"/>
      <c r="AA1654"/>
      <c r="AB1654"/>
      <c r="AC1654"/>
      <c r="AD1654"/>
      <c r="AE1654"/>
      <c r="AF1654"/>
      <c r="AG1654"/>
      <c r="AH1654"/>
      <c r="AI1654"/>
      <c r="AJ1654" s="185"/>
      <c r="AK1654" s="185"/>
      <c r="AL1654" s="185"/>
      <c r="AM1654" s="185"/>
      <c r="AN1654"/>
      <c r="AO1654" s="1"/>
      <c r="AP1654" s="1"/>
      <c r="AQ1654" s="1"/>
      <c r="AR1654" s="1"/>
      <c r="AS1654"/>
      <c r="AT1654"/>
      <c r="AU1654"/>
      <c r="AV1654"/>
      <c r="AW1654"/>
      <c r="AX1654"/>
      <c r="AY1654"/>
      <c r="AZ1654" s="1"/>
      <c r="BA1654"/>
      <c r="BB1654"/>
      <c r="BC1654"/>
      <c r="BD1654"/>
      <c r="BE1654"/>
      <c r="BF1654" s="1"/>
      <c r="BG1654"/>
      <c r="BH1654"/>
      <c r="BI1654"/>
      <c r="BJ1654"/>
      <c r="BK1654"/>
      <c r="BL1654"/>
      <c r="BM1654"/>
      <c r="BN1654"/>
      <c r="BO1654"/>
    </row>
    <row r="1655" spans="8:67" s="2" customFormat="1">
      <c r="H1655" s="202"/>
      <c r="I1655" s="10"/>
      <c r="J1655" s="10"/>
      <c r="K1655" s="10"/>
      <c r="L1655" s="20"/>
      <c r="M1655" s="31"/>
      <c r="N1655" s="39"/>
      <c r="O1655" s="39"/>
      <c r="P1655" s="39"/>
      <c r="Q1655" s="39"/>
      <c r="R1655" s="39"/>
      <c r="S1655" s="39"/>
      <c r="T1655" s="39"/>
      <c r="U1655" s="39"/>
      <c r="V1655" s="39"/>
      <c r="W1655" s="39"/>
      <c r="X1655" s="39"/>
      <c r="Y1655" s="51"/>
      <c r="Z1655" s="51"/>
      <c r="AA1655"/>
      <c r="AB1655"/>
      <c r="AC1655"/>
      <c r="AD1655"/>
      <c r="AE1655"/>
      <c r="AF1655"/>
      <c r="AG1655"/>
      <c r="AH1655"/>
      <c r="AI1655"/>
      <c r="AJ1655" s="185"/>
      <c r="AK1655" s="185"/>
      <c r="AL1655" s="185"/>
      <c r="AM1655" s="185"/>
      <c r="AN1655"/>
      <c r="AO1655" s="1"/>
      <c r="AP1655" s="1"/>
      <c r="AQ1655" s="1"/>
      <c r="AR1655" s="1"/>
      <c r="AS1655"/>
      <c r="AT1655"/>
      <c r="AU1655"/>
      <c r="AV1655"/>
      <c r="AW1655"/>
      <c r="AX1655"/>
      <c r="AY1655"/>
      <c r="AZ1655" s="1"/>
      <c r="BA1655"/>
      <c r="BB1655"/>
      <c r="BC1655"/>
      <c r="BD1655"/>
      <c r="BE1655"/>
      <c r="BF1655" s="1"/>
      <c r="BG1655"/>
      <c r="BH1655"/>
      <c r="BI1655"/>
      <c r="BJ1655"/>
      <c r="BK1655"/>
      <c r="BL1655"/>
      <c r="BM1655"/>
      <c r="BN1655"/>
      <c r="BO1655"/>
    </row>
    <row r="1656" spans="8:67" s="2" customFormat="1">
      <c r="H1656" s="202"/>
      <c r="I1656" s="10"/>
      <c r="J1656" s="10"/>
      <c r="K1656" s="10"/>
      <c r="L1656" s="20"/>
      <c r="M1656" s="31"/>
      <c r="N1656" s="39"/>
      <c r="O1656" s="39"/>
      <c r="P1656" s="39"/>
      <c r="Q1656" s="39"/>
      <c r="R1656" s="39"/>
      <c r="S1656" s="39"/>
      <c r="T1656" s="39"/>
      <c r="U1656" s="39"/>
      <c r="V1656" s="39"/>
      <c r="W1656" s="39"/>
      <c r="X1656" s="39"/>
      <c r="Y1656" s="51"/>
      <c r="Z1656" s="51"/>
      <c r="AA1656"/>
      <c r="AB1656"/>
      <c r="AC1656"/>
      <c r="AD1656"/>
      <c r="AE1656"/>
      <c r="AF1656"/>
      <c r="AG1656"/>
      <c r="AH1656"/>
      <c r="AI1656"/>
      <c r="AJ1656" s="185"/>
      <c r="AK1656" s="185"/>
      <c r="AL1656" s="185"/>
      <c r="AM1656" s="185"/>
      <c r="AN1656"/>
      <c r="AO1656" s="1"/>
      <c r="AP1656" s="1"/>
      <c r="AQ1656" s="1"/>
      <c r="AR1656" s="1"/>
      <c r="AS1656"/>
      <c r="AT1656"/>
      <c r="AU1656"/>
      <c r="AV1656"/>
      <c r="AW1656"/>
      <c r="AX1656"/>
      <c r="AY1656"/>
      <c r="AZ1656" s="1"/>
      <c r="BA1656"/>
      <c r="BB1656"/>
      <c r="BC1656"/>
      <c r="BD1656"/>
      <c r="BE1656"/>
      <c r="BF1656" s="1"/>
      <c r="BG1656"/>
      <c r="BH1656"/>
      <c r="BI1656"/>
      <c r="BJ1656"/>
      <c r="BK1656"/>
      <c r="BL1656"/>
      <c r="BM1656"/>
      <c r="BN1656"/>
      <c r="BO1656"/>
    </row>
    <row r="1657" spans="8:67" s="2" customFormat="1">
      <c r="H1657" s="202"/>
      <c r="I1657" s="10"/>
      <c r="J1657" s="10"/>
      <c r="K1657" s="10"/>
      <c r="L1657" s="20"/>
      <c r="M1657" s="31"/>
      <c r="N1657" s="39"/>
      <c r="O1657" s="39"/>
      <c r="P1657" s="39"/>
      <c r="Q1657" s="39"/>
      <c r="R1657" s="39"/>
      <c r="S1657" s="39"/>
      <c r="T1657" s="39"/>
      <c r="U1657" s="39"/>
      <c r="V1657" s="39"/>
      <c r="W1657" s="39"/>
      <c r="X1657" s="39"/>
      <c r="Y1657" s="51"/>
      <c r="Z1657" s="51"/>
      <c r="AA1657"/>
      <c r="AB1657"/>
      <c r="AC1657"/>
      <c r="AD1657"/>
      <c r="AE1657"/>
      <c r="AF1657"/>
      <c r="AG1657"/>
      <c r="AH1657"/>
      <c r="AI1657"/>
      <c r="AJ1657" s="185"/>
      <c r="AK1657" s="185"/>
      <c r="AL1657" s="185"/>
      <c r="AM1657" s="185"/>
      <c r="AN1657"/>
      <c r="AO1657" s="1"/>
      <c r="AP1657" s="1"/>
      <c r="AQ1657" s="1"/>
      <c r="AR1657" s="1"/>
      <c r="AS1657"/>
      <c r="AT1657"/>
      <c r="AU1657"/>
      <c r="AV1657"/>
      <c r="AW1657"/>
      <c r="AX1657"/>
      <c r="AY1657"/>
      <c r="AZ1657" s="1"/>
      <c r="BA1657"/>
      <c r="BB1657"/>
      <c r="BC1657"/>
      <c r="BD1657"/>
      <c r="BE1657"/>
      <c r="BF1657" s="1"/>
      <c r="BG1657"/>
      <c r="BH1657"/>
      <c r="BI1657"/>
      <c r="BJ1657"/>
      <c r="BK1657"/>
      <c r="BL1657"/>
      <c r="BM1657"/>
      <c r="BN1657"/>
      <c r="BO1657"/>
    </row>
    <row r="1658" spans="8:67" s="2" customFormat="1">
      <c r="H1658" s="202"/>
      <c r="I1658" s="10"/>
      <c r="J1658" s="10"/>
      <c r="K1658" s="10"/>
      <c r="L1658" s="20"/>
      <c r="M1658" s="31"/>
      <c r="N1658" s="39"/>
      <c r="O1658" s="39"/>
      <c r="P1658" s="39"/>
      <c r="Q1658" s="39"/>
      <c r="R1658" s="39"/>
      <c r="S1658" s="39"/>
      <c r="T1658" s="39"/>
      <c r="U1658" s="39"/>
      <c r="V1658" s="39"/>
      <c r="W1658" s="39"/>
      <c r="X1658" s="39"/>
      <c r="Y1658" s="51"/>
      <c r="Z1658" s="51"/>
      <c r="AA1658"/>
      <c r="AB1658"/>
      <c r="AC1658"/>
      <c r="AD1658"/>
      <c r="AE1658"/>
      <c r="AF1658"/>
      <c r="AG1658"/>
      <c r="AH1658"/>
      <c r="AI1658"/>
      <c r="AJ1658" s="185"/>
      <c r="AK1658" s="185"/>
      <c r="AL1658" s="185"/>
      <c r="AM1658" s="185"/>
      <c r="AN1658"/>
      <c r="AO1658" s="1"/>
      <c r="AP1658" s="1"/>
      <c r="AQ1658" s="1"/>
      <c r="AR1658" s="1"/>
      <c r="AS1658"/>
      <c r="AT1658"/>
      <c r="AU1658"/>
      <c r="AV1658"/>
      <c r="AW1658"/>
      <c r="AX1658"/>
      <c r="AY1658"/>
      <c r="AZ1658" s="1"/>
      <c r="BA1658"/>
      <c r="BB1658"/>
      <c r="BC1658"/>
      <c r="BD1658"/>
      <c r="BE1658"/>
      <c r="BF1658" s="1"/>
      <c r="BG1658"/>
      <c r="BH1658"/>
      <c r="BI1658"/>
      <c r="BJ1658"/>
      <c r="BK1658"/>
      <c r="BL1658"/>
      <c r="BM1658"/>
      <c r="BN1658"/>
      <c r="BO1658"/>
    </row>
    <row r="1659" spans="8:67" s="2" customFormat="1">
      <c r="H1659" s="202"/>
      <c r="I1659" s="10"/>
      <c r="J1659" s="10"/>
      <c r="K1659" s="10"/>
      <c r="L1659" s="20"/>
      <c r="M1659" s="31"/>
      <c r="N1659" s="39"/>
      <c r="O1659" s="39"/>
      <c r="P1659" s="39"/>
      <c r="Q1659" s="39"/>
      <c r="R1659" s="39"/>
      <c r="S1659" s="39"/>
      <c r="T1659" s="39"/>
      <c r="U1659" s="39"/>
      <c r="V1659" s="39"/>
      <c r="W1659" s="39"/>
      <c r="X1659" s="39"/>
      <c r="Y1659" s="51"/>
      <c r="Z1659" s="51"/>
      <c r="AA1659"/>
      <c r="AB1659"/>
      <c r="AC1659"/>
      <c r="AD1659"/>
      <c r="AE1659"/>
      <c r="AF1659"/>
      <c r="AG1659"/>
      <c r="AH1659"/>
      <c r="AI1659"/>
      <c r="AJ1659" s="185"/>
      <c r="AK1659" s="185"/>
      <c r="AL1659" s="185"/>
      <c r="AM1659" s="185"/>
      <c r="AN1659"/>
      <c r="AO1659" s="1"/>
      <c r="AP1659" s="1"/>
      <c r="AQ1659" s="1"/>
      <c r="AR1659" s="1"/>
      <c r="AS1659"/>
      <c r="AT1659"/>
      <c r="AU1659"/>
      <c r="AV1659"/>
      <c r="AW1659"/>
      <c r="AX1659"/>
      <c r="AY1659"/>
      <c r="AZ1659" s="1"/>
      <c r="BA1659"/>
      <c r="BB1659"/>
      <c r="BC1659"/>
      <c r="BD1659"/>
      <c r="BE1659"/>
      <c r="BF1659" s="1"/>
      <c r="BG1659"/>
      <c r="BH1659"/>
      <c r="BI1659"/>
      <c r="BJ1659"/>
      <c r="BK1659"/>
      <c r="BL1659"/>
      <c r="BM1659"/>
      <c r="BN1659"/>
      <c r="BO1659"/>
    </row>
    <row r="1660" spans="8:67" s="2" customFormat="1">
      <c r="H1660" s="202"/>
      <c r="I1660" s="10"/>
      <c r="J1660" s="10"/>
      <c r="K1660" s="10"/>
      <c r="L1660" s="20"/>
      <c r="M1660" s="31"/>
      <c r="N1660" s="39"/>
      <c r="O1660" s="39"/>
      <c r="P1660" s="39"/>
      <c r="Q1660" s="39"/>
      <c r="R1660" s="39"/>
      <c r="S1660" s="39"/>
      <c r="T1660" s="39"/>
      <c r="U1660" s="39"/>
      <c r="V1660" s="39"/>
      <c r="W1660" s="39"/>
      <c r="X1660" s="39"/>
      <c r="Y1660" s="51"/>
      <c r="Z1660" s="51"/>
      <c r="AA1660"/>
      <c r="AB1660"/>
      <c r="AC1660"/>
      <c r="AD1660"/>
      <c r="AE1660"/>
      <c r="AF1660"/>
      <c r="AG1660"/>
      <c r="AH1660"/>
      <c r="AI1660"/>
      <c r="AJ1660" s="185"/>
      <c r="AK1660" s="185"/>
      <c r="AL1660" s="185"/>
      <c r="AM1660" s="185"/>
      <c r="AN1660"/>
      <c r="AO1660" s="1"/>
      <c r="AP1660" s="1"/>
      <c r="AQ1660" s="1"/>
      <c r="AR1660" s="1"/>
      <c r="AS1660"/>
      <c r="AT1660"/>
      <c r="AU1660"/>
      <c r="AV1660"/>
      <c r="AW1660"/>
      <c r="AX1660"/>
      <c r="AY1660"/>
      <c r="AZ1660" s="1"/>
      <c r="BA1660"/>
      <c r="BB1660"/>
      <c r="BC1660"/>
      <c r="BD1660"/>
      <c r="BE1660"/>
      <c r="BF1660" s="1"/>
      <c r="BG1660"/>
      <c r="BH1660"/>
      <c r="BI1660"/>
      <c r="BJ1660"/>
      <c r="BK1660"/>
      <c r="BL1660"/>
      <c r="BM1660"/>
      <c r="BN1660"/>
      <c r="BO1660"/>
    </row>
    <row r="1661" spans="8:67" s="2" customFormat="1">
      <c r="H1661" s="202"/>
      <c r="I1661" s="10"/>
      <c r="J1661" s="10"/>
      <c r="K1661" s="10"/>
      <c r="L1661" s="20"/>
      <c r="M1661" s="31"/>
      <c r="N1661" s="39"/>
      <c r="O1661" s="39"/>
      <c r="P1661" s="39"/>
      <c r="Q1661" s="39"/>
      <c r="R1661" s="39"/>
      <c r="S1661" s="39"/>
      <c r="T1661" s="39"/>
      <c r="U1661" s="39"/>
      <c r="V1661" s="39"/>
      <c r="W1661" s="39"/>
      <c r="X1661" s="39"/>
      <c r="Y1661" s="51"/>
      <c r="Z1661" s="51"/>
      <c r="AA1661"/>
      <c r="AB1661"/>
      <c r="AC1661"/>
      <c r="AD1661"/>
      <c r="AE1661"/>
      <c r="AF1661"/>
      <c r="AG1661"/>
      <c r="AH1661"/>
      <c r="AI1661"/>
      <c r="AJ1661" s="185"/>
      <c r="AK1661" s="185"/>
      <c r="AL1661" s="185"/>
      <c r="AM1661" s="185"/>
      <c r="AN1661"/>
      <c r="AO1661" s="1"/>
      <c r="AP1661" s="1"/>
      <c r="AQ1661" s="1"/>
      <c r="AR1661" s="1"/>
      <c r="AS1661"/>
      <c r="AT1661"/>
      <c r="AU1661"/>
      <c r="AV1661"/>
      <c r="AW1661"/>
      <c r="AX1661"/>
      <c r="AY1661"/>
      <c r="AZ1661" s="1"/>
      <c r="BA1661"/>
      <c r="BB1661"/>
      <c r="BC1661"/>
      <c r="BD1661"/>
      <c r="BE1661"/>
      <c r="BF1661" s="1"/>
      <c r="BG1661"/>
      <c r="BH1661"/>
      <c r="BI1661"/>
      <c r="BJ1661"/>
      <c r="BK1661"/>
      <c r="BL1661"/>
      <c r="BM1661"/>
      <c r="BN1661"/>
      <c r="BO1661"/>
    </row>
    <row r="1662" spans="8:67" s="2" customFormat="1">
      <c r="H1662" s="202"/>
      <c r="I1662" s="10"/>
      <c r="J1662" s="10"/>
      <c r="K1662" s="10"/>
      <c r="L1662" s="20"/>
      <c r="M1662" s="31"/>
      <c r="N1662" s="39"/>
      <c r="O1662" s="39"/>
      <c r="P1662" s="39"/>
      <c r="Q1662" s="39"/>
      <c r="R1662" s="39"/>
      <c r="S1662" s="39"/>
      <c r="T1662" s="39"/>
      <c r="U1662" s="39"/>
      <c r="V1662" s="39"/>
      <c r="W1662" s="39"/>
      <c r="X1662" s="39"/>
      <c r="Y1662" s="51"/>
      <c r="Z1662" s="51"/>
      <c r="AA1662"/>
      <c r="AB1662"/>
      <c r="AC1662"/>
      <c r="AD1662"/>
      <c r="AE1662"/>
      <c r="AF1662"/>
      <c r="AG1662"/>
      <c r="AH1662"/>
      <c r="AI1662"/>
      <c r="AJ1662" s="185"/>
      <c r="AK1662" s="185"/>
      <c r="AL1662" s="185"/>
      <c r="AM1662" s="185"/>
      <c r="AN1662"/>
      <c r="AO1662" s="1"/>
      <c r="AP1662" s="1"/>
      <c r="AQ1662" s="1"/>
      <c r="AR1662" s="1"/>
      <c r="AS1662"/>
      <c r="AT1662"/>
      <c r="AU1662"/>
      <c r="AV1662"/>
      <c r="AW1662"/>
      <c r="AX1662"/>
      <c r="AY1662"/>
      <c r="AZ1662" s="1"/>
      <c r="BA1662"/>
      <c r="BB1662"/>
      <c r="BC1662"/>
      <c r="BD1662"/>
      <c r="BE1662"/>
      <c r="BF1662" s="1"/>
      <c r="BG1662"/>
      <c r="BH1662"/>
      <c r="BI1662"/>
      <c r="BJ1662"/>
      <c r="BK1662"/>
      <c r="BL1662"/>
      <c r="BM1662"/>
      <c r="BN1662"/>
      <c r="BO1662"/>
    </row>
    <row r="1663" spans="8:67" s="2" customFormat="1">
      <c r="H1663" s="202"/>
      <c r="I1663" s="10"/>
      <c r="J1663" s="10"/>
      <c r="K1663" s="10"/>
      <c r="L1663" s="20"/>
      <c r="M1663" s="31"/>
      <c r="N1663" s="39"/>
      <c r="O1663" s="39"/>
      <c r="P1663" s="39"/>
      <c r="Q1663" s="39"/>
      <c r="R1663" s="39"/>
      <c r="S1663" s="39"/>
      <c r="T1663" s="39"/>
      <c r="U1663" s="39"/>
      <c r="V1663" s="39"/>
      <c r="W1663" s="39"/>
      <c r="X1663" s="39"/>
      <c r="Y1663" s="51"/>
      <c r="Z1663" s="51"/>
      <c r="AA1663"/>
      <c r="AB1663"/>
      <c r="AC1663"/>
      <c r="AD1663"/>
      <c r="AE1663"/>
      <c r="AF1663"/>
      <c r="AG1663"/>
      <c r="AH1663"/>
      <c r="AI1663"/>
      <c r="AJ1663" s="185"/>
      <c r="AK1663" s="185"/>
      <c r="AL1663" s="185"/>
      <c r="AM1663" s="185"/>
      <c r="AN1663"/>
      <c r="AO1663" s="1"/>
      <c r="AP1663" s="1"/>
      <c r="AQ1663" s="1"/>
      <c r="AR1663" s="1"/>
      <c r="AS1663"/>
      <c r="AT1663"/>
      <c r="AU1663"/>
      <c r="AV1663"/>
      <c r="AW1663"/>
      <c r="AX1663"/>
      <c r="AY1663"/>
      <c r="AZ1663" s="1"/>
      <c r="BA1663"/>
      <c r="BB1663"/>
      <c r="BC1663"/>
      <c r="BD1663"/>
      <c r="BE1663"/>
      <c r="BF1663" s="1"/>
      <c r="BG1663"/>
      <c r="BH1663"/>
      <c r="BI1663"/>
      <c r="BJ1663"/>
      <c r="BK1663"/>
      <c r="BL1663"/>
      <c r="BM1663"/>
      <c r="BN1663"/>
      <c r="BO1663"/>
    </row>
    <row r="1664" spans="8:67" s="2" customFormat="1">
      <c r="H1664" s="202"/>
      <c r="I1664" s="10"/>
      <c r="J1664" s="10"/>
      <c r="K1664" s="10"/>
      <c r="L1664" s="20"/>
      <c r="M1664" s="31"/>
      <c r="N1664" s="39"/>
      <c r="O1664" s="39"/>
      <c r="P1664" s="39"/>
      <c r="Q1664" s="39"/>
      <c r="R1664" s="39"/>
      <c r="S1664" s="39"/>
      <c r="T1664" s="39"/>
      <c r="U1664" s="39"/>
      <c r="V1664" s="39"/>
      <c r="W1664" s="39"/>
      <c r="X1664" s="39"/>
      <c r="Y1664" s="51"/>
      <c r="Z1664" s="51"/>
      <c r="AA1664"/>
      <c r="AB1664"/>
      <c r="AC1664"/>
      <c r="AD1664"/>
      <c r="AE1664"/>
      <c r="AF1664"/>
      <c r="AG1664"/>
      <c r="AH1664"/>
      <c r="AI1664"/>
      <c r="AJ1664" s="185"/>
      <c r="AK1664" s="185"/>
      <c r="AL1664" s="185"/>
      <c r="AM1664" s="185"/>
      <c r="AN1664"/>
      <c r="AO1664" s="1"/>
      <c r="AP1664" s="1"/>
      <c r="AQ1664" s="1"/>
      <c r="AR1664" s="1"/>
      <c r="AS1664"/>
      <c r="AT1664"/>
      <c r="AU1664"/>
      <c r="AV1664"/>
      <c r="AW1664"/>
      <c r="AX1664"/>
      <c r="AY1664"/>
      <c r="AZ1664" s="1"/>
      <c r="BA1664"/>
      <c r="BB1664"/>
      <c r="BC1664"/>
      <c r="BD1664"/>
      <c r="BE1664"/>
      <c r="BF1664" s="1"/>
      <c r="BG1664"/>
      <c r="BH1664"/>
      <c r="BI1664"/>
      <c r="BJ1664"/>
      <c r="BK1664"/>
      <c r="BL1664"/>
      <c r="BM1664"/>
      <c r="BN1664"/>
      <c r="BO1664"/>
    </row>
    <row r="1665" spans="8:67" s="2" customFormat="1">
      <c r="H1665" s="202"/>
      <c r="I1665" s="10"/>
      <c r="J1665" s="10"/>
      <c r="K1665" s="10"/>
      <c r="L1665" s="20"/>
      <c r="M1665" s="31"/>
      <c r="N1665" s="39"/>
      <c r="O1665" s="39"/>
      <c r="P1665" s="39"/>
      <c r="Q1665" s="39"/>
      <c r="R1665" s="39"/>
      <c r="S1665" s="39"/>
      <c r="T1665" s="39"/>
      <c r="U1665" s="39"/>
      <c r="V1665" s="39"/>
      <c r="W1665" s="39"/>
      <c r="X1665" s="39"/>
      <c r="Y1665" s="51"/>
      <c r="Z1665" s="51"/>
      <c r="AA1665"/>
      <c r="AB1665"/>
      <c r="AC1665"/>
      <c r="AD1665"/>
      <c r="AE1665"/>
      <c r="AF1665"/>
      <c r="AG1665"/>
      <c r="AH1665"/>
      <c r="AI1665"/>
      <c r="AJ1665" s="185"/>
      <c r="AK1665" s="185"/>
      <c r="AL1665" s="185"/>
      <c r="AM1665" s="185"/>
      <c r="AN1665"/>
      <c r="AO1665" s="1"/>
      <c r="AP1665" s="1"/>
      <c r="AQ1665" s="1"/>
      <c r="AR1665" s="1"/>
      <c r="AS1665"/>
      <c r="AT1665"/>
      <c r="AU1665"/>
      <c r="AV1665"/>
      <c r="AW1665"/>
      <c r="AX1665"/>
      <c r="AY1665"/>
      <c r="AZ1665" s="1"/>
      <c r="BA1665"/>
      <c r="BB1665"/>
      <c r="BC1665"/>
      <c r="BD1665"/>
      <c r="BE1665"/>
      <c r="BF1665" s="1"/>
      <c r="BG1665"/>
      <c r="BH1665"/>
      <c r="BI1665"/>
      <c r="BJ1665"/>
      <c r="BK1665"/>
      <c r="BL1665"/>
      <c r="BM1665"/>
      <c r="BN1665"/>
      <c r="BO1665"/>
    </row>
    <row r="1666" spans="8:67" s="2" customFormat="1">
      <c r="H1666" s="202"/>
      <c r="I1666" s="10"/>
      <c r="J1666" s="10"/>
      <c r="K1666" s="10"/>
      <c r="L1666" s="20"/>
      <c r="M1666" s="31"/>
      <c r="N1666" s="39"/>
      <c r="O1666" s="39"/>
      <c r="P1666" s="39"/>
      <c r="Q1666" s="39"/>
      <c r="R1666" s="39"/>
      <c r="S1666" s="39"/>
      <c r="T1666" s="39"/>
      <c r="U1666" s="39"/>
      <c r="V1666" s="39"/>
      <c r="W1666" s="39"/>
      <c r="X1666" s="39"/>
      <c r="Y1666" s="51"/>
      <c r="Z1666" s="51"/>
      <c r="AA1666"/>
      <c r="AB1666"/>
      <c r="AC1666"/>
      <c r="AD1666"/>
      <c r="AE1666"/>
      <c r="AF1666"/>
      <c r="AG1666"/>
      <c r="AH1666"/>
      <c r="AI1666"/>
      <c r="AJ1666" s="185"/>
      <c r="AK1666" s="185"/>
      <c r="AL1666" s="185"/>
      <c r="AM1666" s="185"/>
      <c r="AN1666"/>
      <c r="AO1666" s="1"/>
      <c r="AP1666" s="1"/>
      <c r="AQ1666" s="1"/>
      <c r="AR1666" s="1"/>
      <c r="AS1666"/>
      <c r="AT1666"/>
      <c r="AU1666"/>
      <c r="AV1666"/>
      <c r="AW1666"/>
      <c r="AX1666"/>
      <c r="AY1666"/>
      <c r="AZ1666" s="1"/>
      <c r="BA1666"/>
      <c r="BB1666"/>
      <c r="BC1666"/>
      <c r="BD1666"/>
      <c r="BE1666"/>
      <c r="BF1666" s="1"/>
      <c r="BG1666"/>
      <c r="BH1666"/>
      <c r="BI1666"/>
      <c r="BJ1666"/>
      <c r="BK1666"/>
      <c r="BL1666"/>
      <c r="BM1666"/>
      <c r="BN1666"/>
      <c r="BO1666"/>
    </row>
    <row r="1667" spans="8:67" s="2" customFormat="1">
      <c r="H1667" s="202"/>
      <c r="I1667" s="10"/>
      <c r="J1667" s="10"/>
      <c r="K1667" s="10"/>
      <c r="L1667" s="20"/>
      <c r="M1667" s="31"/>
      <c r="N1667" s="39"/>
      <c r="O1667" s="39"/>
      <c r="P1667" s="39"/>
      <c r="Q1667" s="39"/>
      <c r="R1667" s="39"/>
      <c r="S1667" s="39"/>
      <c r="T1667" s="39"/>
      <c r="U1667" s="39"/>
      <c r="V1667" s="39"/>
      <c r="W1667" s="39"/>
      <c r="X1667" s="39"/>
      <c r="Y1667" s="51"/>
      <c r="Z1667" s="51"/>
      <c r="AA1667"/>
      <c r="AB1667"/>
      <c r="AC1667"/>
      <c r="AD1667"/>
      <c r="AE1667"/>
      <c r="AF1667"/>
      <c r="AG1667"/>
      <c r="AH1667"/>
      <c r="AI1667"/>
      <c r="AJ1667" s="185"/>
      <c r="AK1667" s="185"/>
      <c r="AL1667" s="185"/>
      <c r="AM1667" s="185"/>
      <c r="AN1667"/>
      <c r="AO1667" s="1"/>
      <c r="AP1667" s="1"/>
      <c r="AQ1667" s="1"/>
      <c r="AR1667" s="1"/>
      <c r="AS1667"/>
      <c r="AT1667"/>
      <c r="AU1667"/>
      <c r="AV1667"/>
      <c r="AW1667"/>
      <c r="AX1667"/>
      <c r="AY1667"/>
      <c r="AZ1667" s="1"/>
      <c r="BA1667"/>
      <c r="BB1667"/>
      <c r="BC1667"/>
      <c r="BD1667"/>
      <c r="BE1667"/>
      <c r="BF1667" s="1"/>
      <c r="BG1667"/>
      <c r="BH1667"/>
      <c r="BI1667"/>
      <c r="BJ1667"/>
      <c r="BK1667"/>
      <c r="BL1667"/>
      <c r="BM1667"/>
      <c r="BN1667"/>
      <c r="BO1667"/>
    </row>
    <row r="1668" spans="8:67" s="2" customFormat="1">
      <c r="H1668" s="202"/>
      <c r="I1668" s="10"/>
      <c r="J1668" s="10"/>
      <c r="K1668" s="10"/>
      <c r="L1668" s="20"/>
      <c r="M1668" s="31"/>
      <c r="N1668" s="39"/>
      <c r="O1668" s="39"/>
      <c r="P1668" s="39"/>
      <c r="Q1668" s="39"/>
      <c r="R1668" s="39"/>
      <c r="S1668" s="39"/>
      <c r="T1668" s="39"/>
      <c r="U1668" s="39"/>
      <c r="V1668" s="39"/>
      <c r="W1668" s="39"/>
      <c r="X1668" s="39"/>
      <c r="Y1668" s="51"/>
      <c r="Z1668" s="51"/>
      <c r="AA1668"/>
      <c r="AB1668"/>
      <c r="AC1668"/>
      <c r="AD1668"/>
      <c r="AE1668"/>
      <c r="AF1668"/>
      <c r="AG1668"/>
      <c r="AH1668"/>
      <c r="AI1668"/>
      <c r="AJ1668" s="185"/>
      <c r="AK1668" s="185"/>
      <c r="AL1668" s="185"/>
      <c r="AM1668" s="185"/>
      <c r="AN1668"/>
      <c r="AO1668" s="1"/>
      <c r="AP1668" s="1"/>
      <c r="AQ1668" s="1"/>
      <c r="AR1668" s="1"/>
      <c r="AS1668"/>
      <c r="AT1668"/>
      <c r="AU1668"/>
      <c r="AV1668"/>
      <c r="AW1668"/>
      <c r="AX1668"/>
      <c r="AY1668"/>
      <c r="AZ1668" s="1"/>
      <c r="BA1668"/>
      <c r="BB1668"/>
      <c r="BC1668"/>
      <c r="BD1668"/>
      <c r="BE1668"/>
      <c r="BF1668" s="1"/>
      <c r="BG1668"/>
      <c r="BH1668"/>
      <c r="BI1668"/>
      <c r="BJ1668"/>
      <c r="BK1668"/>
      <c r="BL1668"/>
      <c r="BM1668"/>
      <c r="BN1668"/>
      <c r="BO1668"/>
    </row>
    <row r="1669" spans="8:67" s="2" customFormat="1">
      <c r="H1669" s="202"/>
      <c r="I1669" s="10"/>
      <c r="J1669" s="10"/>
      <c r="K1669" s="10"/>
      <c r="L1669" s="20"/>
      <c r="M1669" s="31"/>
      <c r="N1669" s="39"/>
      <c r="O1669" s="39"/>
      <c r="P1669" s="39"/>
      <c r="Q1669" s="39"/>
      <c r="R1669" s="39"/>
      <c r="S1669" s="39"/>
      <c r="T1669" s="39"/>
      <c r="U1669" s="39"/>
      <c r="V1669" s="39"/>
      <c r="W1669" s="39"/>
      <c r="X1669" s="39"/>
      <c r="Y1669" s="51"/>
      <c r="Z1669" s="51"/>
      <c r="AA1669"/>
      <c r="AB1669"/>
      <c r="AC1669"/>
      <c r="AD1669"/>
      <c r="AE1669"/>
      <c r="AF1669"/>
      <c r="AG1669"/>
      <c r="AH1669"/>
      <c r="AI1669"/>
      <c r="AJ1669" s="185"/>
      <c r="AK1669" s="185"/>
      <c r="AL1669" s="185"/>
      <c r="AM1669" s="185"/>
      <c r="AN1669"/>
      <c r="AO1669" s="1"/>
      <c r="AP1669" s="1"/>
      <c r="AQ1669" s="1"/>
      <c r="AR1669" s="1"/>
      <c r="AS1669"/>
      <c r="AT1669"/>
      <c r="AU1669"/>
      <c r="AV1669"/>
      <c r="AW1669"/>
      <c r="AX1669"/>
      <c r="AY1669"/>
      <c r="AZ1669" s="1"/>
      <c r="BA1669"/>
      <c r="BB1669"/>
      <c r="BC1669"/>
      <c r="BD1669"/>
      <c r="BE1669"/>
      <c r="BF1669" s="1"/>
      <c r="BG1669"/>
      <c r="BH1669"/>
      <c r="BI1669"/>
      <c r="BJ1669"/>
      <c r="BK1669"/>
      <c r="BL1669"/>
      <c r="BM1669"/>
      <c r="BN1669"/>
      <c r="BO1669"/>
    </row>
    <row r="1670" spans="8:67" s="2" customFormat="1">
      <c r="H1670" s="202"/>
      <c r="I1670" s="10"/>
      <c r="J1670" s="10"/>
      <c r="K1670" s="10"/>
      <c r="L1670" s="20"/>
      <c r="M1670" s="31"/>
      <c r="N1670" s="39"/>
      <c r="O1670" s="39"/>
      <c r="P1670" s="39"/>
      <c r="Q1670" s="39"/>
      <c r="R1670" s="39"/>
      <c r="S1670" s="39"/>
      <c r="T1670" s="39"/>
      <c r="U1670" s="39"/>
      <c r="V1670" s="39"/>
      <c r="W1670" s="39"/>
      <c r="X1670" s="39"/>
      <c r="Y1670" s="51"/>
      <c r="Z1670" s="51"/>
      <c r="AA1670"/>
      <c r="AB1670"/>
      <c r="AC1670"/>
      <c r="AD1670"/>
      <c r="AE1670"/>
      <c r="AF1670"/>
      <c r="AG1670"/>
      <c r="AH1670"/>
      <c r="AI1670"/>
      <c r="AJ1670" s="185"/>
      <c r="AK1670" s="185"/>
      <c r="AL1670" s="185"/>
      <c r="AM1670" s="185"/>
      <c r="AN1670"/>
      <c r="AO1670" s="1"/>
      <c r="AP1670" s="1"/>
      <c r="AQ1670" s="1"/>
      <c r="AR1670" s="1"/>
      <c r="AS1670"/>
      <c r="AT1670"/>
      <c r="AU1670"/>
      <c r="AV1670"/>
      <c r="AW1670"/>
      <c r="AX1670"/>
      <c r="AY1670"/>
      <c r="AZ1670" s="1"/>
      <c r="BA1670"/>
      <c r="BB1670"/>
      <c r="BC1670"/>
      <c r="BD1670"/>
      <c r="BE1670"/>
      <c r="BF1670" s="1"/>
      <c r="BG1670"/>
      <c r="BH1670"/>
      <c r="BI1670"/>
      <c r="BJ1670"/>
      <c r="BK1670"/>
      <c r="BL1670"/>
      <c r="BM1670"/>
      <c r="BN1670"/>
      <c r="BO1670"/>
    </row>
    <row r="1671" spans="8:67" s="2" customFormat="1">
      <c r="H1671" s="202"/>
      <c r="I1671" s="10"/>
      <c r="J1671" s="10"/>
      <c r="K1671" s="10"/>
      <c r="L1671" s="20"/>
      <c r="M1671" s="31"/>
      <c r="N1671" s="39"/>
      <c r="O1671" s="39"/>
      <c r="P1671" s="39"/>
      <c r="Q1671" s="39"/>
      <c r="R1671" s="39"/>
      <c r="S1671" s="39"/>
      <c r="T1671" s="39"/>
      <c r="U1671" s="39"/>
      <c r="V1671" s="39"/>
      <c r="W1671" s="39"/>
      <c r="X1671" s="39"/>
      <c r="Y1671" s="51"/>
      <c r="Z1671" s="51"/>
      <c r="AA1671"/>
      <c r="AB1671"/>
      <c r="AC1671"/>
      <c r="AD1671"/>
      <c r="AE1671"/>
      <c r="AF1671"/>
      <c r="AG1671"/>
      <c r="AH1671"/>
      <c r="AI1671"/>
      <c r="AJ1671" s="185"/>
      <c r="AK1671" s="185"/>
      <c r="AL1671" s="185"/>
      <c r="AM1671" s="185"/>
      <c r="AN1671"/>
      <c r="AO1671" s="1"/>
      <c r="AP1671" s="1"/>
      <c r="AQ1671" s="1"/>
      <c r="AR1671" s="1"/>
      <c r="AS1671"/>
      <c r="AT1671"/>
      <c r="AU1671"/>
      <c r="AV1671"/>
      <c r="AW1671"/>
      <c r="AX1671"/>
      <c r="AY1671"/>
      <c r="AZ1671" s="1"/>
      <c r="BA1671"/>
      <c r="BB1671"/>
      <c r="BC1671"/>
      <c r="BD1671"/>
      <c r="BE1671"/>
      <c r="BF1671" s="1"/>
      <c r="BG1671"/>
      <c r="BH1671"/>
      <c r="BI1671"/>
      <c r="BJ1671"/>
      <c r="BK1671"/>
      <c r="BL1671"/>
      <c r="BM1671"/>
      <c r="BN1671"/>
      <c r="BO1671"/>
    </row>
    <row r="1672" spans="8:67" s="2" customFormat="1">
      <c r="H1672" s="202"/>
      <c r="I1672" s="10"/>
      <c r="J1672" s="10"/>
      <c r="K1672" s="10"/>
      <c r="L1672" s="20"/>
      <c r="M1672" s="31"/>
      <c r="N1672" s="39"/>
      <c r="O1672" s="39"/>
      <c r="P1672" s="39"/>
      <c r="Q1672" s="39"/>
      <c r="R1672" s="39"/>
      <c r="S1672" s="39"/>
      <c r="T1672" s="39"/>
      <c r="U1672" s="39"/>
      <c r="V1672" s="39"/>
      <c r="W1672" s="39"/>
      <c r="X1672" s="39"/>
      <c r="Y1672" s="51"/>
      <c r="Z1672" s="51"/>
      <c r="AA1672"/>
      <c r="AB1672"/>
      <c r="AC1672"/>
      <c r="AD1672"/>
      <c r="AE1672"/>
      <c r="AF1672"/>
      <c r="AG1672"/>
      <c r="AH1672"/>
      <c r="AI1672"/>
      <c r="AJ1672" s="185"/>
      <c r="AK1672" s="185"/>
      <c r="AL1672" s="185"/>
      <c r="AM1672" s="185"/>
      <c r="AN1672"/>
      <c r="AO1672" s="1"/>
      <c r="AP1672" s="1"/>
      <c r="AQ1672" s="1"/>
      <c r="AR1672" s="1"/>
      <c r="AS1672"/>
      <c r="AT1672"/>
      <c r="AU1672"/>
      <c r="AV1672"/>
      <c r="AW1672"/>
      <c r="AX1672"/>
      <c r="AY1672"/>
      <c r="AZ1672" s="1"/>
      <c r="BA1672"/>
      <c r="BB1672"/>
      <c r="BC1672"/>
      <c r="BD1672"/>
      <c r="BE1672"/>
      <c r="BF1672" s="1"/>
      <c r="BG1672"/>
      <c r="BH1672"/>
      <c r="BI1672"/>
      <c r="BJ1672"/>
      <c r="BK1672"/>
      <c r="BL1672"/>
      <c r="BM1672"/>
      <c r="BN1672"/>
      <c r="BO1672"/>
    </row>
    <row r="1673" spans="8:67" s="2" customFormat="1">
      <c r="H1673" s="202"/>
      <c r="I1673" s="10"/>
      <c r="J1673" s="10"/>
      <c r="K1673" s="10"/>
      <c r="L1673" s="20"/>
      <c r="M1673" s="31"/>
      <c r="N1673" s="39"/>
      <c r="O1673" s="39"/>
      <c r="P1673" s="39"/>
      <c r="Q1673" s="39"/>
      <c r="R1673" s="39"/>
      <c r="S1673" s="39"/>
      <c r="T1673" s="39"/>
      <c r="U1673" s="39"/>
      <c r="V1673" s="39"/>
      <c r="W1673" s="39"/>
      <c r="X1673" s="39"/>
      <c r="Y1673" s="51"/>
      <c r="Z1673" s="51"/>
      <c r="AA1673"/>
      <c r="AB1673"/>
      <c r="AC1673"/>
      <c r="AD1673"/>
      <c r="AE1673"/>
      <c r="AF1673"/>
      <c r="AG1673"/>
      <c r="AH1673"/>
      <c r="AI1673"/>
      <c r="AJ1673" s="185"/>
      <c r="AK1673" s="185"/>
      <c r="AL1673" s="185"/>
      <c r="AM1673" s="185"/>
      <c r="AN1673"/>
      <c r="AO1673" s="1"/>
      <c r="AP1673" s="1"/>
      <c r="AQ1673" s="1"/>
      <c r="AR1673" s="1"/>
      <c r="AS1673"/>
      <c r="AT1673"/>
      <c r="AU1673"/>
      <c r="AV1673"/>
      <c r="AW1673"/>
      <c r="AX1673"/>
      <c r="AY1673"/>
      <c r="AZ1673" s="1"/>
      <c r="BA1673"/>
      <c r="BB1673"/>
      <c r="BC1673"/>
      <c r="BD1673"/>
      <c r="BE1673"/>
      <c r="BF1673" s="1"/>
      <c r="BG1673"/>
      <c r="BH1673"/>
      <c r="BI1673"/>
      <c r="BJ1673"/>
      <c r="BK1673"/>
      <c r="BL1673"/>
      <c r="BM1673"/>
      <c r="BN1673"/>
      <c r="BO1673"/>
    </row>
    <row r="1674" spans="8:67" s="2" customFormat="1">
      <c r="H1674" s="202"/>
      <c r="I1674" s="10"/>
      <c r="J1674" s="10"/>
      <c r="K1674" s="10"/>
      <c r="L1674" s="20"/>
      <c r="M1674" s="31"/>
      <c r="N1674" s="39"/>
      <c r="O1674" s="39"/>
      <c r="P1674" s="39"/>
      <c r="Q1674" s="39"/>
      <c r="R1674" s="39"/>
      <c r="S1674" s="39"/>
      <c r="T1674" s="39"/>
      <c r="U1674" s="39"/>
      <c r="V1674" s="39"/>
      <c r="W1674" s="39"/>
      <c r="X1674" s="39"/>
      <c r="Y1674" s="51"/>
      <c r="Z1674" s="51"/>
      <c r="AA1674"/>
      <c r="AB1674"/>
      <c r="AC1674"/>
      <c r="AD1674"/>
      <c r="AE1674"/>
      <c r="AF1674"/>
      <c r="AG1674"/>
      <c r="AH1674"/>
      <c r="AI1674"/>
      <c r="AJ1674" s="185"/>
      <c r="AK1674" s="185"/>
      <c r="AL1674" s="185"/>
      <c r="AM1674" s="185"/>
      <c r="AN1674"/>
      <c r="AO1674" s="1"/>
      <c r="AP1674" s="1"/>
      <c r="AQ1674" s="1"/>
      <c r="AR1674" s="1"/>
      <c r="AS1674"/>
      <c r="AT1674"/>
      <c r="AU1674"/>
      <c r="AV1674"/>
      <c r="AW1674"/>
      <c r="AX1674"/>
      <c r="AY1674"/>
      <c r="AZ1674" s="1"/>
      <c r="BA1674"/>
      <c r="BB1674"/>
      <c r="BC1674"/>
      <c r="BD1674"/>
      <c r="BE1674"/>
      <c r="BF1674" s="1"/>
      <c r="BG1674"/>
      <c r="BH1674"/>
      <c r="BI1674"/>
      <c r="BJ1674"/>
      <c r="BK1674"/>
      <c r="BL1674"/>
      <c r="BM1674"/>
      <c r="BN1674"/>
      <c r="BO1674"/>
    </row>
    <row r="1675" spans="8:67" s="2" customFormat="1">
      <c r="H1675" s="202"/>
      <c r="I1675" s="10"/>
      <c r="J1675" s="10"/>
      <c r="K1675" s="10"/>
      <c r="L1675" s="20"/>
      <c r="M1675" s="31"/>
      <c r="N1675" s="39"/>
      <c r="O1675" s="39"/>
      <c r="P1675" s="39"/>
      <c r="Q1675" s="39"/>
      <c r="R1675" s="39"/>
      <c r="S1675" s="39"/>
      <c r="T1675" s="39"/>
      <c r="U1675" s="39"/>
      <c r="V1675" s="39"/>
      <c r="W1675" s="39"/>
      <c r="X1675" s="39"/>
      <c r="Y1675" s="51"/>
      <c r="Z1675" s="51"/>
      <c r="AA1675"/>
      <c r="AB1675"/>
      <c r="AC1675"/>
      <c r="AD1675"/>
      <c r="AE1675"/>
      <c r="AF1675"/>
      <c r="AG1675"/>
      <c r="AH1675"/>
      <c r="AI1675"/>
      <c r="AJ1675" s="185"/>
      <c r="AK1675" s="185"/>
      <c r="AL1675" s="185"/>
      <c r="AM1675" s="185"/>
      <c r="AN1675"/>
      <c r="AO1675" s="1"/>
      <c r="AP1675" s="1"/>
      <c r="AQ1675" s="1"/>
      <c r="AR1675" s="1"/>
      <c r="AS1675"/>
      <c r="AT1675"/>
      <c r="AU1675"/>
      <c r="AV1675"/>
      <c r="AW1675"/>
      <c r="AX1675"/>
      <c r="AY1675"/>
      <c r="AZ1675" s="1"/>
      <c r="BA1675"/>
      <c r="BB1675"/>
      <c r="BC1675"/>
      <c r="BD1675"/>
      <c r="BE1675"/>
      <c r="BF1675" s="1"/>
      <c r="BG1675"/>
      <c r="BH1675"/>
      <c r="BI1675"/>
      <c r="BJ1675"/>
      <c r="BK1675"/>
      <c r="BL1675"/>
      <c r="BM1675"/>
      <c r="BN1675"/>
      <c r="BO1675"/>
    </row>
    <row r="1676" spans="8:67" s="2" customFormat="1">
      <c r="H1676" s="202"/>
      <c r="I1676" s="10"/>
      <c r="J1676" s="10"/>
      <c r="K1676" s="10"/>
      <c r="L1676" s="20"/>
      <c r="M1676" s="31"/>
      <c r="N1676" s="39"/>
      <c r="O1676" s="39"/>
      <c r="P1676" s="39"/>
      <c r="Q1676" s="39"/>
      <c r="R1676" s="39"/>
      <c r="S1676" s="39"/>
      <c r="T1676" s="39"/>
      <c r="U1676" s="39"/>
      <c r="V1676" s="39"/>
      <c r="W1676" s="39"/>
      <c r="X1676" s="39"/>
      <c r="Y1676" s="51"/>
      <c r="Z1676" s="51"/>
      <c r="AA1676"/>
      <c r="AB1676"/>
      <c r="AC1676"/>
      <c r="AD1676"/>
      <c r="AE1676"/>
      <c r="AF1676"/>
      <c r="AG1676"/>
      <c r="AH1676"/>
      <c r="AI1676"/>
      <c r="AJ1676" s="185"/>
      <c r="AK1676" s="185"/>
      <c r="AL1676" s="185"/>
      <c r="AM1676" s="185"/>
      <c r="AN1676"/>
      <c r="AO1676" s="1"/>
      <c r="AP1676" s="1"/>
      <c r="AQ1676" s="1"/>
      <c r="AR1676" s="1"/>
      <c r="AS1676"/>
      <c r="AT1676"/>
      <c r="AU1676"/>
      <c r="AV1676"/>
      <c r="AW1676"/>
      <c r="AX1676"/>
      <c r="AY1676"/>
      <c r="AZ1676" s="1"/>
      <c r="BA1676"/>
      <c r="BB1676"/>
      <c r="BC1676"/>
      <c r="BD1676"/>
      <c r="BE1676"/>
      <c r="BF1676" s="1"/>
      <c r="BG1676"/>
      <c r="BH1676"/>
      <c r="BI1676"/>
      <c r="BJ1676"/>
      <c r="BK1676"/>
      <c r="BL1676"/>
      <c r="BM1676"/>
      <c r="BN1676"/>
      <c r="BO1676"/>
    </row>
    <row r="1677" spans="8:67" s="2" customFormat="1">
      <c r="H1677" s="202"/>
      <c r="I1677" s="10"/>
      <c r="J1677" s="10"/>
      <c r="K1677" s="10"/>
      <c r="L1677" s="20"/>
      <c r="M1677" s="31"/>
      <c r="N1677" s="39"/>
      <c r="O1677" s="39"/>
      <c r="P1677" s="39"/>
      <c r="Q1677" s="39"/>
      <c r="R1677" s="39"/>
      <c r="S1677" s="39"/>
      <c r="T1677" s="39"/>
      <c r="U1677" s="39"/>
      <c r="V1677" s="39"/>
      <c r="W1677" s="39"/>
      <c r="X1677" s="39"/>
      <c r="Y1677" s="51"/>
      <c r="Z1677" s="51"/>
      <c r="AA1677"/>
      <c r="AB1677"/>
      <c r="AC1677"/>
      <c r="AD1677"/>
      <c r="AE1677"/>
      <c r="AF1677"/>
      <c r="AG1677"/>
      <c r="AH1677"/>
      <c r="AI1677"/>
      <c r="AJ1677" s="185"/>
      <c r="AK1677" s="185"/>
      <c r="AL1677" s="185"/>
      <c r="AM1677" s="185"/>
      <c r="AN1677"/>
      <c r="AO1677" s="1"/>
      <c r="AP1677" s="1"/>
      <c r="AQ1677" s="1"/>
      <c r="AR1677" s="1"/>
      <c r="AS1677"/>
      <c r="AT1677"/>
      <c r="AU1677"/>
      <c r="AV1677"/>
      <c r="AW1677"/>
      <c r="AX1677"/>
      <c r="AY1677"/>
      <c r="AZ1677" s="1"/>
      <c r="BA1677"/>
      <c r="BB1677"/>
      <c r="BC1677"/>
      <c r="BD1677"/>
      <c r="BE1677"/>
      <c r="BF1677" s="1"/>
      <c r="BG1677"/>
      <c r="BH1677"/>
      <c r="BI1677"/>
      <c r="BJ1677"/>
      <c r="BK1677"/>
      <c r="BL1677"/>
      <c r="BM1677"/>
      <c r="BN1677"/>
      <c r="BO1677"/>
    </row>
    <row r="1678" spans="8:67" s="2" customFormat="1">
      <c r="H1678" s="202"/>
      <c r="I1678" s="10"/>
      <c r="J1678" s="10"/>
      <c r="K1678" s="10"/>
      <c r="L1678" s="20"/>
      <c r="M1678" s="31"/>
      <c r="N1678" s="39"/>
      <c r="O1678" s="39"/>
      <c r="P1678" s="39"/>
      <c r="Q1678" s="39"/>
      <c r="R1678" s="39"/>
      <c r="S1678" s="39"/>
      <c r="T1678" s="39"/>
      <c r="U1678" s="39"/>
      <c r="V1678" s="39"/>
      <c r="W1678" s="39"/>
      <c r="X1678" s="39"/>
      <c r="Y1678" s="51"/>
      <c r="Z1678" s="51"/>
      <c r="AA1678"/>
      <c r="AB1678"/>
      <c r="AC1678"/>
      <c r="AD1678"/>
      <c r="AE1678"/>
      <c r="AF1678"/>
      <c r="AG1678"/>
      <c r="AH1678"/>
      <c r="AI1678"/>
      <c r="AJ1678" s="185"/>
      <c r="AK1678" s="185"/>
      <c r="AL1678" s="185"/>
      <c r="AM1678" s="185"/>
      <c r="AN1678"/>
      <c r="AO1678" s="1"/>
      <c r="AP1678" s="1"/>
      <c r="AQ1678" s="1"/>
      <c r="AR1678" s="1"/>
      <c r="AS1678"/>
      <c r="AT1678"/>
      <c r="AU1678"/>
      <c r="AV1678"/>
      <c r="AW1678"/>
      <c r="AX1678"/>
      <c r="AY1678"/>
      <c r="AZ1678" s="1"/>
      <c r="BA1678"/>
      <c r="BB1678"/>
      <c r="BC1678"/>
      <c r="BD1678"/>
      <c r="BE1678"/>
      <c r="BF1678" s="1"/>
      <c r="BG1678"/>
      <c r="BH1678"/>
      <c r="BI1678"/>
      <c r="BJ1678"/>
      <c r="BK1678"/>
      <c r="BL1678"/>
      <c r="BM1678"/>
      <c r="BN1678"/>
      <c r="BO1678"/>
    </row>
    <row r="1679" spans="8:67" s="2" customFormat="1">
      <c r="H1679" s="202"/>
      <c r="I1679" s="10"/>
      <c r="J1679" s="10"/>
      <c r="K1679" s="10"/>
      <c r="L1679" s="20"/>
      <c r="M1679" s="31"/>
      <c r="N1679" s="39"/>
      <c r="O1679" s="39"/>
      <c r="P1679" s="39"/>
      <c r="Q1679" s="39"/>
      <c r="R1679" s="39"/>
      <c r="S1679" s="39"/>
      <c r="T1679" s="39"/>
      <c r="U1679" s="39"/>
      <c r="V1679" s="39"/>
      <c r="W1679" s="39"/>
      <c r="X1679" s="39"/>
      <c r="Y1679" s="51"/>
      <c r="Z1679" s="51"/>
      <c r="AA1679"/>
      <c r="AB1679"/>
      <c r="AC1679"/>
      <c r="AD1679"/>
      <c r="AE1679"/>
      <c r="AF1679"/>
      <c r="AG1679"/>
      <c r="AH1679"/>
      <c r="AI1679"/>
      <c r="AJ1679" s="185"/>
      <c r="AK1679" s="185"/>
      <c r="AL1679" s="185"/>
      <c r="AM1679" s="185"/>
      <c r="AN1679"/>
      <c r="AO1679" s="1"/>
      <c r="AP1679" s="1"/>
      <c r="AQ1679" s="1"/>
      <c r="AR1679" s="1"/>
      <c r="AS1679"/>
      <c r="AT1679"/>
      <c r="AU1679"/>
      <c r="AV1679"/>
      <c r="AW1679"/>
      <c r="AX1679"/>
      <c r="AY1679"/>
      <c r="AZ1679" s="1"/>
      <c r="BA1679"/>
      <c r="BB1679"/>
      <c r="BC1679"/>
      <c r="BD1679"/>
      <c r="BE1679"/>
      <c r="BF1679" s="1"/>
      <c r="BG1679"/>
      <c r="BH1679"/>
      <c r="BI1679"/>
      <c r="BJ1679"/>
      <c r="BK1679"/>
      <c r="BL1679"/>
      <c r="BM1679"/>
      <c r="BN1679"/>
      <c r="BO1679"/>
    </row>
    <row r="1680" spans="8:67" s="2" customFormat="1">
      <c r="H1680" s="202"/>
      <c r="I1680" s="10"/>
      <c r="J1680" s="10"/>
      <c r="K1680" s="10"/>
      <c r="L1680" s="20"/>
      <c r="M1680" s="31"/>
      <c r="N1680" s="39"/>
      <c r="O1680" s="39"/>
      <c r="P1680" s="39"/>
      <c r="Q1680" s="39"/>
      <c r="R1680" s="39"/>
      <c r="S1680" s="39"/>
      <c r="T1680" s="39"/>
      <c r="U1680" s="39"/>
      <c r="V1680" s="39"/>
      <c r="W1680" s="39"/>
      <c r="X1680" s="39"/>
      <c r="Y1680" s="51"/>
      <c r="Z1680" s="51"/>
      <c r="AA1680"/>
      <c r="AB1680"/>
      <c r="AC1680"/>
      <c r="AD1680"/>
      <c r="AE1680"/>
      <c r="AF1680"/>
      <c r="AG1680"/>
      <c r="AH1680"/>
      <c r="AI1680"/>
      <c r="AJ1680" s="185"/>
      <c r="AK1680" s="185"/>
      <c r="AL1680" s="185"/>
      <c r="AM1680" s="185"/>
      <c r="AN1680"/>
      <c r="AO1680" s="1"/>
      <c r="AP1680" s="1"/>
      <c r="AQ1680" s="1"/>
      <c r="AR1680" s="1"/>
      <c r="AS1680"/>
      <c r="AT1680"/>
      <c r="AU1680"/>
      <c r="AV1680"/>
      <c r="AW1680"/>
      <c r="AX1680"/>
      <c r="AY1680"/>
      <c r="AZ1680" s="1"/>
      <c r="BA1680"/>
      <c r="BB1680"/>
      <c r="BC1680"/>
      <c r="BD1680"/>
      <c r="BE1680"/>
      <c r="BF1680" s="1"/>
      <c r="BG1680"/>
      <c r="BH1680"/>
      <c r="BI1680"/>
      <c r="BJ1680"/>
      <c r="BK1680"/>
      <c r="BL1680"/>
      <c r="BM1680"/>
      <c r="BN1680"/>
      <c r="BO1680"/>
    </row>
    <row r="1681" spans="8:67" s="2" customFormat="1">
      <c r="H1681" s="202"/>
      <c r="I1681" s="10"/>
      <c r="J1681" s="10"/>
      <c r="K1681" s="10"/>
      <c r="L1681" s="20"/>
      <c r="M1681" s="31"/>
      <c r="N1681" s="39"/>
      <c r="O1681" s="39"/>
      <c r="P1681" s="39"/>
      <c r="Q1681" s="39"/>
      <c r="R1681" s="39"/>
      <c r="S1681" s="39"/>
      <c r="T1681" s="39"/>
      <c r="U1681" s="39"/>
      <c r="V1681" s="39"/>
      <c r="W1681" s="39"/>
      <c r="X1681" s="39"/>
      <c r="Y1681" s="51"/>
      <c r="Z1681" s="51"/>
      <c r="AA1681"/>
      <c r="AB1681"/>
      <c r="AC1681"/>
      <c r="AD1681"/>
      <c r="AE1681"/>
      <c r="AF1681"/>
      <c r="AG1681"/>
      <c r="AH1681"/>
      <c r="AI1681"/>
      <c r="AJ1681" s="185"/>
      <c r="AK1681" s="185"/>
      <c r="AL1681" s="185"/>
      <c r="AM1681" s="185"/>
      <c r="AN1681"/>
      <c r="AO1681" s="1"/>
      <c r="AP1681" s="1"/>
      <c r="AQ1681" s="1"/>
      <c r="AR1681" s="1"/>
      <c r="AS1681"/>
      <c r="AT1681"/>
      <c r="AU1681"/>
      <c r="AV1681"/>
      <c r="AW1681"/>
      <c r="AX1681"/>
      <c r="AY1681"/>
      <c r="AZ1681" s="1"/>
      <c r="BA1681"/>
      <c r="BB1681"/>
      <c r="BC1681"/>
      <c r="BD1681"/>
      <c r="BE1681"/>
      <c r="BF1681" s="1"/>
      <c r="BG1681"/>
      <c r="BH1681"/>
      <c r="BI1681"/>
      <c r="BJ1681"/>
      <c r="BK1681"/>
      <c r="BL1681"/>
      <c r="BM1681"/>
      <c r="BN1681"/>
      <c r="BO1681"/>
    </row>
    <row r="1682" spans="8:67" s="2" customFormat="1">
      <c r="H1682" s="202"/>
      <c r="I1682" s="10"/>
      <c r="J1682" s="10"/>
      <c r="K1682" s="10"/>
      <c r="L1682" s="20"/>
      <c r="M1682" s="31"/>
      <c r="N1682" s="39"/>
      <c r="O1682" s="39"/>
      <c r="P1682" s="39"/>
      <c r="Q1682" s="39"/>
      <c r="R1682" s="39"/>
      <c r="S1682" s="39"/>
      <c r="T1682" s="39"/>
      <c r="U1682" s="39"/>
      <c r="V1682" s="39"/>
      <c r="W1682" s="39"/>
      <c r="X1682" s="39"/>
      <c r="Y1682" s="51"/>
      <c r="Z1682" s="51"/>
      <c r="AA1682"/>
      <c r="AB1682"/>
      <c r="AC1682"/>
      <c r="AD1682"/>
      <c r="AE1682"/>
      <c r="AF1682"/>
      <c r="AG1682"/>
      <c r="AH1682"/>
      <c r="AI1682"/>
      <c r="AJ1682" s="185"/>
      <c r="AK1682" s="185"/>
      <c r="AL1682" s="185"/>
      <c r="AM1682" s="185"/>
      <c r="AN1682"/>
      <c r="AO1682" s="1"/>
      <c r="AP1682" s="1"/>
      <c r="AQ1682" s="1"/>
      <c r="AR1682" s="1"/>
      <c r="AS1682"/>
      <c r="AT1682"/>
      <c r="AU1682"/>
      <c r="AV1682"/>
      <c r="AW1682"/>
      <c r="AX1682"/>
      <c r="AY1682"/>
      <c r="AZ1682" s="1"/>
      <c r="BA1682"/>
      <c r="BB1682"/>
      <c r="BC1682"/>
      <c r="BD1682"/>
      <c r="BE1682"/>
      <c r="BF1682" s="1"/>
      <c r="BG1682"/>
      <c r="BH1682"/>
      <c r="BI1682"/>
      <c r="BJ1682"/>
      <c r="BK1682"/>
      <c r="BL1682"/>
      <c r="BM1682"/>
      <c r="BN1682"/>
      <c r="BO1682"/>
    </row>
    <row r="1683" spans="8:67" s="2" customFormat="1">
      <c r="H1683" s="202"/>
      <c r="I1683" s="10"/>
      <c r="J1683" s="10"/>
      <c r="K1683" s="10"/>
      <c r="L1683" s="20"/>
      <c r="M1683" s="31"/>
      <c r="N1683" s="39"/>
      <c r="O1683" s="39"/>
      <c r="P1683" s="39"/>
      <c r="Q1683" s="39"/>
      <c r="R1683" s="39"/>
      <c r="S1683" s="39"/>
      <c r="T1683" s="39"/>
      <c r="U1683" s="39"/>
      <c r="V1683" s="39"/>
      <c r="W1683" s="39"/>
      <c r="X1683" s="39"/>
      <c r="Y1683" s="51"/>
      <c r="Z1683" s="51"/>
      <c r="AA1683"/>
      <c r="AB1683"/>
      <c r="AC1683"/>
      <c r="AD1683"/>
      <c r="AE1683"/>
      <c r="AF1683"/>
      <c r="AG1683"/>
      <c r="AH1683"/>
      <c r="AI1683"/>
      <c r="AJ1683" s="185"/>
      <c r="AK1683" s="185"/>
      <c r="AL1683" s="185"/>
      <c r="AM1683" s="185"/>
      <c r="AN1683"/>
      <c r="AO1683" s="1"/>
      <c r="AP1683" s="1"/>
      <c r="AQ1683" s="1"/>
      <c r="AR1683" s="1"/>
      <c r="AS1683"/>
      <c r="AT1683"/>
      <c r="AU1683"/>
      <c r="AV1683"/>
      <c r="AW1683"/>
      <c r="AX1683"/>
      <c r="AY1683"/>
      <c r="AZ1683" s="1"/>
      <c r="BA1683"/>
      <c r="BB1683"/>
      <c r="BC1683"/>
      <c r="BD1683"/>
      <c r="BE1683"/>
      <c r="BF1683" s="1"/>
      <c r="BG1683"/>
      <c r="BH1683"/>
      <c r="BI1683"/>
      <c r="BJ1683"/>
      <c r="BK1683"/>
      <c r="BL1683"/>
      <c r="BM1683"/>
      <c r="BN1683"/>
      <c r="BO1683"/>
    </row>
    <row r="1684" spans="8:67" s="2" customFormat="1">
      <c r="H1684" s="202"/>
      <c r="I1684" s="10"/>
      <c r="J1684" s="10"/>
      <c r="K1684" s="10"/>
      <c r="L1684" s="20"/>
      <c r="M1684" s="31"/>
      <c r="N1684" s="39"/>
      <c r="O1684" s="39"/>
      <c r="P1684" s="39"/>
      <c r="Q1684" s="39"/>
      <c r="R1684" s="39"/>
      <c r="S1684" s="39"/>
      <c r="T1684" s="39"/>
      <c r="U1684" s="39"/>
      <c r="V1684" s="39"/>
      <c r="W1684" s="39"/>
      <c r="X1684" s="39"/>
      <c r="Y1684" s="51"/>
      <c r="Z1684" s="51"/>
      <c r="AA1684"/>
      <c r="AB1684"/>
      <c r="AC1684"/>
      <c r="AD1684"/>
      <c r="AE1684"/>
      <c r="AF1684"/>
      <c r="AG1684"/>
      <c r="AH1684"/>
      <c r="AI1684"/>
      <c r="AJ1684" s="185"/>
      <c r="AK1684" s="185"/>
      <c r="AL1684" s="185"/>
      <c r="AM1684" s="185"/>
      <c r="AN1684"/>
      <c r="AO1684" s="1"/>
      <c r="AP1684" s="1"/>
      <c r="AQ1684" s="1"/>
      <c r="AR1684" s="1"/>
      <c r="AS1684"/>
      <c r="AT1684"/>
      <c r="AU1684"/>
      <c r="AV1684"/>
      <c r="AW1684"/>
      <c r="AX1684"/>
      <c r="AY1684"/>
      <c r="AZ1684" s="1"/>
      <c r="BA1684"/>
      <c r="BB1684"/>
      <c r="BC1684"/>
      <c r="BD1684"/>
      <c r="BE1684"/>
      <c r="BF1684" s="1"/>
      <c r="BG1684"/>
      <c r="BH1684"/>
      <c r="BI1684"/>
      <c r="BJ1684"/>
      <c r="BK1684"/>
      <c r="BL1684"/>
      <c r="BM1684"/>
      <c r="BN1684"/>
      <c r="BO1684"/>
    </row>
    <row r="1685" spans="8:67" s="2" customFormat="1">
      <c r="H1685" s="202"/>
      <c r="I1685" s="10"/>
      <c r="J1685" s="10"/>
      <c r="K1685" s="10"/>
      <c r="L1685" s="20"/>
      <c r="M1685" s="31"/>
      <c r="N1685" s="39"/>
      <c r="O1685" s="39"/>
      <c r="P1685" s="39"/>
      <c r="Q1685" s="39"/>
      <c r="R1685" s="39"/>
      <c r="S1685" s="39"/>
      <c r="T1685" s="39"/>
      <c r="U1685" s="39"/>
      <c r="V1685" s="39"/>
      <c r="W1685" s="39"/>
      <c r="X1685" s="39"/>
      <c r="Y1685" s="51"/>
      <c r="Z1685" s="51"/>
      <c r="AA1685"/>
      <c r="AB1685"/>
      <c r="AC1685"/>
      <c r="AD1685"/>
      <c r="AE1685"/>
      <c r="AF1685"/>
      <c r="AG1685"/>
      <c r="AH1685"/>
      <c r="AI1685"/>
      <c r="AJ1685" s="185"/>
      <c r="AK1685" s="185"/>
      <c r="AL1685" s="185"/>
      <c r="AM1685" s="185"/>
      <c r="AN1685"/>
      <c r="AO1685" s="1"/>
      <c r="AP1685" s="1"/>
      <c r="AQ1685" s="1"/>
      <c r="AR1685" s="1"/>
      <c r="AS1685"/>
      <c r="AT1685"/>
      <c r="AU1685"/>
      <c r="AV1685"/>
      <c r="AW1685"/>
      <c r="AX1685"/>
      <c r="AY1685"/>
      <c r="AZ1685" s="1"/>
      <c r="BA1685"/>
      <c r="BB1685"/>
      <c r="BC1685"/>
      <c r="BD1685"/>
      <c r="BE1685"/>
      <c r="BF1685" s="1"/>
      <c r="BG1685"/>
      <c r="BH1685"/>
      <c r="BI1685"/>
      <c r="BJ1685"/>
      <c r="BK1685"/>
      <c r="BL1685"/>
      <c r="BM1685"/>
      <c r="BN1685"/>
      <c r="BO1685"/>
    </row>
    <row r="1686" spans="8:67" s="2" customFormat="1">
      <c r="H1686" s="202"/>
      <c r="I1686" s="10"/>
      <c r="J1686" s="10"/>
      <c r="K1686" s="10"/>
      <c r="L1686" s="20"/>
      <c r="M1686" s="31"/>
      <c r="N1686" s="39"/>
      <c r="O1686" s="39"/>
      <c r="P1686" s="39"/>
      <c r="Q1686" s="39"/>
      <c r="R1686" s="39"/>
      <c r="S1686" s="39"/>
      <c r="T1686" s="39"/>
      <c r="U1686" s="39"/>
      <c r="V1686" s="39"/>
      <c r="W1686" s="39"/>
      <c r="X1686" s="39"/>
      <c r="Y1686" s="51"/>
      <c r="Z1686" s="51"/>
      <c r="AA1686"/>
      <c r="AB1686"/>
      <c r="AC1686"/>
      <c r="AD1686"/>
      <c r="AE1686"/>
      <c r="AF1686"/>
      <c r="AG1686"/>
      <c r="AH1686"/>
      <c r="AI1686"/>
      <c r="AJ1686" s="185"/>
      <c r="AK1686" s="185"/>
      <c r="AL1686" s="185"/>
      <c r="AM1686" s="185"/>
      <c r="AN1686"/>
      <c r="AO1686" s="1"/>
      <c r="AP1686" s="1"/>
      <c r="AQ1686" s="1"/>
      <c r="AR1686" s="1"/>
      <c r="AS1686"/>
      <c r="AT1686"/>
      <c r="AU1686"/>
      <c r="AV1686"/>
      <c r="AW1686"/>
      <c r="AX1686"/>
      <c r="AY1686"/>
      <c r="AZ1686" s="1"/>
      <c r="BA1686"/>
      <c r="BB1686"/>
      <c r="BC1686"/>
      <c r="BD1686"/>
      <c r="BE1686"/>
      <c r="BF1686" s="1"/>
      <c r="BG1686"/>
      <c r="BH1686"/>
      <c r="BI1686"/>
      <c r="BJ1686"/>
      <c r="BK1686"/>
      <c r="BL1686"/>
      <c r="BM1686"/>
      <c r="BN1686"/>
      <c r="BO1686"/>
    </row>
    <row r="1687" spans="8:67" s="2" customFormat="1">
      <c r="H1687" s="202"/>
      <c r="I1687" s="10"/>
      <c r="J1687" s="10"/>
      <c r="K1687" s="10"/>
      <c r="L1687" s="20"/>
      <c r="M1687" s="31"/>
      <c r="N1687" s="39"/>
      <c r="O1687" s="39"/>
      <c r="P1687" s="39"/>
      <c r="Q1687" s="39"/>
      <c r="R1687" s="39"/>
      <c r="S1687" s="39"/>
      <c r="T1687" s="39"/>
      <c r="U1687" s="39"/>
      <c r="V1687" s="39"/>
      <c r="W1687" s="39"/>
      <c r="X1687" s="39"/>
      <c r="Y1687" s="51"/>
      <c r="Z1687" s="51"/>
      <c r="AA1687"/>
      <c r="AB1687"/>
      <c r="AC1687"/>
      <c r="AD1687"/>
      <c r="AE1687"/>
      <c r="AF1687"/>
      <c r="AG1687"/>
      <c r="AH1687"/>
      <c r="AI1687"/>
      <c r="AJ1687" s="185"/>
      <c r="AK1687" s="185"/>
      <c r="AL1687" s="185"/>
      <c r="AM1687" s="185"/>
      <c r="AN1687"/>
      <c r="AO1687" s="1"/>
      <c r="AP1687" s="1"/>
      <c r="AQ1687" s="1"/>
      <c r="AR1687" s="1"/>
      <c r="AS1687"/>
      <c r="AT1687"/>
      <c r="AU1687"/>
      <c r="AV1687"/>
      <c r="AW1687"/>
      <c r="AX1687"/>
      <c r="AY1687"/>
      <c r="AZ1687" s="1"/>
      <c r="BA1687"/>
      <c r="BB1687"/>
      <c r="BC1687"/>
      <c r="BD1687"/>
      <c r="BE1687"/>
      <c r="BF1687" s="1"/>
      <c r="BG1687"/>
      <c r="BH1687"/>
      <c r="BI1687"/>
      <c r="BJ1687"/>
      <c r="BK1687"/>
      <c r="BL1687"/>
      <c r="BM1687"/>
      <c r="BN1687"/>
      <c r="BO1687"/>
    </row>
    <row r="1688" spans="8:67" s="2" customFormat="1">
      <c r="H1688" s="202"/>
      <c r="I1688" s="10"/>
      <c r="J1688" s="10"/>
      <c r="K1688" s="10"/>
      <c r="L1688" s="20"/>
      <c r="M1688" s="31"/>
      <c r="N1688" s="39"/>
      <c r="O1688" s="39"/>
      <c r="P1688" s="39"/>
      <c r="Q1688" s="39"/>
      <c r="R1688" s="39"/>
      <c r="S1688" s="39"/>
      <c r="T1688" s="39"/>
      <c r="U1688" s="39"/>
      <c r="V1688" s="39"/>
      <c r="W1688" s="39"/>
      <c r="X1688" s="39"/>
      <c r="Y1688" s="51"/>
      <c r="Z1688" s="51"/>
      <c r="AA1688"/>
      <c r="AB1688"/>
      <c r="AC1688"/>
      <c r="AD1688"/>
      <c r="AE1688"/>
      <c r="AF1688"/>
      <c r="AG1688"/>
      <c r="AH1688"/>
      <c r="AI1688"/>
      <c r="AJ1688" s="185"/>
      <c r="AK1688" s="185"/>
      <c r="AL1688" s="185"/>
      <c r="AM1688" s="185"/>
      <c r="AN1688"/>
      <c r="AO1688" s="1"/>
      <c r="AP1688" s="1"/>
      <c r="AQ1688" s="1"/>
      <c r="AR1688" s="1"/>
      <c r="AS1688"/>
      <c r="AT1688"/>
      <c r="AU1688"/>
      <c r="AV1688"/>
      <c r="AW1688"/>
      <c r="AX1688"/>
      <c r="AY1688"/>
      <c r="AZ1688" s="1"/>
      <c r="BA1688"/>
      <c r="BB1688"/>
      <c r="BC1688"/>
      <c r="BD1688"/>
      <c r="BE1688"/>
      <c r="BF1688" s="1"/>
      <c r="BG1688"/>
      <c r="BH1688"/>
      <c r="BI1688"/>
      <c r="BJ1688"/>
      <c r="BK1688"/>
      <c r="BL1688"/>
      <c r="BM1688"/>
      <c r="BN1688"/>
      <c r="BO1688"/>
    </row>
    <row r="1689" spans="8:67" s="2" customFormat="1">
      <c r="H1689" s="202"/>
      <c r="I1689" s="10"/>
      <c r="J1689" s="10"/>
      <c r="K1689" s="10"/>
      <c r="L1689" s="20"/>
      <c r="M1689" s="31"/>
      <c r="N1689" s="39"/>
      <c r="O1689" s="39"/>
      <c r="P1689" s="39"/>
      <c r="Q1689" s="39"/>
      <c r="R1689" s="39"/>
      <c r="S1689" s="39"/>
      <c r="T1689" s="39"/>
      <c r="U1689" s="39"/>
      <c r="V1689" s="39"/>
      <c r="W1689" s="39"/>
      <c r="X1689" s="39"/>
      <c r="Y1689" s="51"/>
      <c r="Z1689" s="51"/>
      <c r="AA1689"/>
      <c r="AB1689"/>
      <c r="AC1689"/>
      <c r="AD1689"/>
      <c r="AE1689"/>
      <c r="AF1689"/>
      <c r="AG1689"/>
      <c r="AH1689"/>
      <c r="AI1689"/>
      <c r="AJ1689" s="185"/>
      <c r="AK1689" s="185"/>
      <c r="AL1689" s="185"/>
      <c r="AM1689" s="185"/>
      <c r="AN1689"/>
      <c r="AO1689" s="1"/>
      <c r="AP1689" s="1"/>
      <c r="AQ1689" s="1"/>
      <c r="AR1689" s="1"/>
      <c r="AS1689"/>
      <c r="AT1689"/>
      <c r="AU1689"/>
      <c r="AV1689"/>
      <c r="AW1689"/>
      <c r="AX1689"/>
      <c r="AY1689"/>
      <c r="AZ1689" s="1"/>
      <c r="BA1689"/>
      <c r="BB1689"/>
      <c r="BC1689"/>
      <c r="BD1689"/>
      <c r="BE1689"/>
      <c r="BF1689" s="1"/>
      <c r="BG1689"/>
      <c r="BH1689"/>
      <c r="BI1689"/>
      <c r="BJ1689"/>
      <c r="BK1689"/>
      <c r="BL1689"/>
      <c r="BM1689"/>
      <c r="BN1689"/>
      <c r="BO1689"/>
    </row>
    <row r="1690" spans="8:67" s="2" customFormat="1">
      <c r="H1690" s="202"/>
      <c r="I1690" s="10"/>
      <c r="J1690" s="10"/>
      <c r="K1690" s="10"/>
      <c r="L1690" s="20"/>
      <c r="M1690" s="31"/>
      <c r="N1690" s="39"/>
      <c r="O1690" s="39"/>
      <c r="P1690" s="39"/>
      <c r="Q1690" s="39"/>
      <c r="R1690" s="39"/>
      <c r="S1690" s="39"/>
      <c r="T1690" s="39"/>
      <c r="U1690" s="39"/>
      <c r="V1690" s="39"/>
      <c r="W1690" s="39"/>
      <c r="X1690" s="39"/>
      <c r="Y1690" s="51"/>
      <c r="Z1690" s="51"/>
      <c r="AA1690"/>
      <c r="AB1690"/>
      <c r="AC1690"/>
      <c r="AD1690"/>
      <c r="AE1690"/>
      <c r="AF1690"/>
      <c r="AG1690"/>
      <c r="AH1690"/>
      <c r="AI1690"/>
      <c r="AJ1690" s="185"/>
      <c r="AK1690" s="185"/>
      <c r="AL1690" s="185"/>
      <c r="AM1690" s="185"/>
      <c r="AN1690"/>
      <c r="AO1690" s="1"/>
      <c r="AP1690" s="1"/>
      <c r="AQ1690" s="1"/>
      <c r="AR1690" s="1"/>
      <c r="AS1690"/>
      <c r="AT1690"/>
      <c r="AU1690"/>
      <c r="AV1690"/>
      <c r="AW1690"/>
      <c r="AX1690"/>
      <c r="AY1690"/>
      <c r="AZ1690" s="1"/>
      <c r="BA1690"/>
      <c r="BB1690"/>
      <c r="BC1690"/>
      <c r="BD1690"/>
      <c r="BE1690"/>
      <c r="BF1690" s="1"/>
      <c r="BG1690"/>
      <c r="BH1690"/>
      <c r="BI1690"/>
      <c r="BJ1690"/>
      <c r="BK1690"/>
      <c r="BL1690"/>
      <c r="BM1690"/>
      <c r="BN1690"/>
      <c r="BO1690"/>
    </row>
    <row r="1691" spans="8:67" s="2" customFormat="1">
      <c r="H1691" s="202"/>
      <c r="I1691" s="10"/>
      <c r="J1691" s="10"/>
      <c r="K1691" s="10"/>
      <c r="L1691" s="20"/>
      <c r="M1691" s="31"/>
      <c r="N1691" s="39"/>
      <c r="O1691" s="39"/>
      <c r="P1691" s="39"/>
      <c r="Q1691" s="39"/>
      <c r="R1691" s="39"/>
      <c r="S1691" s="39"/>
      <c r="T1691" s="39"/>
      <c r="U1691" s="39"/>
      <c r="V1691" s="39"/>
      <c r="W1691" s="39"/>
      <c r="X1691" s="39"/>
      <c r="Y1691" s="51"/>
      <c r="Z1691" s="51"/>
      <c r="AA1691"/>
      <c r="AB1691"/>
      <c r="AC1691"/>
      <c r="AD1691"/>
      <c r="AE1691"/>
      <c r="AF1691"/>
      <c r="AG1691"/>
      <c r="AH1691"/>
      <c r="AI1691"/>
      <c r="AJ1691" s="185"/>
      <c r="AK1691" s="185"/>
      <c r="AL1691" s="185"/>
      <c r="AM1691" s="185"/>
      <c r="AN1691"/>
      <c r="AO1691" s="1"/>
      <c r="AP1691" s="1"/>
      <c r="AQ1691" s="1"/>
      <c r="AR1691" s="1"/>
      <c r="AS1691"/>
      <c r="AT1691"/>
      <c r="AU1691"/>
      <c r="AV1691"/>
      <c r="AW1691"/>
      <c r="AX1691"/>
      <c r="AY1691"/>
      <c r="AZ1691" s="1"/>
      <c r="BA1691"/>
      <c r="BB1691"/>
      <c r="BC1691"/>
      <c r="BD1691"/>
      <c r="BE1691"/>
      <c r="BF1691" s="1"/>
      <c r="BG1691"/>
      <c r="BH1691"/>
      <c r="BI1691"/>
      <c r="BJ1691"/>
      <c r="BK1691"/>
      <c r="BL1691"/>
      <c r="BM1691"/>
      <c r="BN1691"/>
      <c r="BO1691"/>
    </row>
    <row r="1692" spans="8:67" s="2" customFormat="1">
      <c r="H1692" s="202"/>
      <c r="I1692" s="10"/>
      <c r="J1692" s="10"/>
      <c r="K1692" s="10"/>
      <c r="L1692" s="20"/>
      <c r="M1692" s="31"/>
      <c r="N1692" s="39"/>
      <c r="O1692" s="39"/>
      <c r="P1692" s="39"/>
      <c r="Q1692" s="39"/>
      <c r="R1692" s="39"/>
      <c r="S1692" s="39"/>
      <c r="T1692" s="39"/>
      <c r="U1692" s="39"/>
      <c r="V1692" s="39"/>
      <c r="W1692" s="39"/>
      <c r="X1692" s="39"/>
      <c r="Y1692" s="51"/>
      <c r="Z1692" s="51"/>
      <c r="AA1692"/>
      <c r="AB1692"/>
      <c r="AC1692"/>
      <c r="AD1692"/>
      <c r="AE1692"/>
      <c r="AF1692"/>
      <c r="AG1692"/>
      <c r="AH1692"/>
      <c r="AI1692"/>
      <c r="AJ1692" s="185"/>
      <c r="AK1692" s="185"/>
      <c r="AL1692" s="185"/>
      <c r="AM1692" s="185"/>
      <c r="AN1692"/>
      <c r="AO1692" s="1"/>
      <c r="AP1692" s="1"/>
      <c r="AQ1692" s="1"/>
      <c r="AR1692" s="1"/>
      <c r="AS1692"/>
      <c r="AT1692"/>
      <c r="AU1692"/>
      <c r="AV1692"/>
      <c r="AW1692"/>
      <c r="AX1692"/>
      <c r="AY1692"/>
      <c r="AZ1692" s="1"/>
      <c r="BA1692"/>
      <c r="BB1692"/>
      <c r="BC1692"/>
      <c r="BD1692"/>
      <c r="BE1692"/>
      <c r="BF1692" s="1"/>
      <c r="BG1692"/>
      <c r="BH1692"/>
      <c r="BI1692"/>
      <c r="BJ1692"/>
      <c r="BK1692"/>
      <c r="BL1692"/>
      <c r="BM1692"/>
      <c r="BN1692"/>
      <c r="BO1692"/>
    </row>
    <row r="1693" spans="8:67" s="2" customFormat="1">
      <c r="H1693" s="202"/>
      <c r="I1693" s="10"/>
      <c r="J1693" s="10"/>
      <c r="K1693" s="10"/>
      <c r="L1693" s="20"/>
      <c r="M1693" s="31"/>
      <c r="N1693" s="39"/>
      <c r="O1693" s="39"/>
      <c r="P1693" s="39"/>
      <c r="Q1693" s="39"/>
      <c r="R1693" s="39"/>
      <c r="S1693" s="39"/>
      <c r="T1693" s="39"/>
      <c r="U1693" s="39"/>
      <c r="V1693" s="39"/>
      <c r="W1693" s="39"/>
      <c r="X1693" s="39"/>
      <c r="Y1693" s="51"/>
      <c r="Z1693" s="51"/>
      <c r="AA1693"/>
      <c r="AB1693"/>
      <c r="AC1693"/>
      <c r="AD1693"/>
      <c r="AE1693"/>
      <c r="AF1693"/>
      <c r="AG1693"/>
      <c r="AH1693"/>
      <c r="AI1693"/>
      <c r="AJ1693" s="185"/>
      <c r="AK1693" s="185"/>
      <c r="AL1693" s="185"/>
      <c r="AM1693" s="185"/>
      <c r="AN1693"/>
      <c r="AO1693" s="1"/>
      <c r="AP1693" s="1"/>
      <c r="AQ1693" s="1"/>
      <c r="AR1693" s="1"/>
      <c r="AS1693"/>
      <c r="AT1693"/>
      <c r="AU1693"/>
      <c r="AV1693"/>
      <c r="AW1693"/>
      <c r="AX1693"/>
      <c r="AY1693"/>
      <c r="AZ1693" s="1"/>
      <c r="BA1693"/>
      <c r="BB1693"/>
      <c r="BC1693"/>
      <c r="BD1693"/>
      <c r="BE1693"/>
      <c r="BF1693" s="1"/>
      <c r="BG1693"/>
      <c r="BH1693"/>
      <c r="BI1693"/>
      <c r="BJ1693"/>
      <c r="BK1693"/>
      <c r="BL1693"/>
      <c r="BM1693"/>
      <c r="BN1693"/>
      <c r="BO1693"/>
    </row>
    <row r="1694" spans="8:67" s="2" customFormat="1">
      <c r="H1694" s="202"/>
      <c r="I1694" s="10"/>
      <c r="J1694" s="10"/>
      <c r="K1694" s="10"/>
      <c r="L1694" s="20"/>
      <c r="M1694" s="31"/>
      <c r="N1694" s="39"/>
      <c r="O1694" s="39"/>
      <c r="P1694" s="39"/>
      <c r="Q1694" s="39"/>
      <c r="R1694" s="39"/>
      <c r="S1694" s="39"/>
      <c r="T1694" s="39"/>
      <c r="U1694" s="39"/>
      <c r="V1694" s="39"/>
      <c r="W1694" s="39"/>
      <c r="X1694" s="39"/>
      <c r="Y1694" s="51"/>
      <c r="Z1694" s="51"/>
      <c r="AA1694"/>
      <c r="AB1694"/>
      <c r="AC1694"/>
      <c r="AD1694"/>
      <c r="AE1694"/>
      <c r="AF1694"/>
      <c r="AG1694"/>
      <c r="AH1694"/>
      <c r="AI1694"/>
      <c r="AJ1694" s="185"/>
      <c r="AK1694" s="185"/>
      <c r="AL1694" s="185"/>
      <c r="AM1694" s="185"/>
      <c r="AN1694"/>
      <c r="AO1694" s="1"/>
      <c r="AP1694" s="1"/>
      <c r="AQ1694" s="1"/>
      <c r="AR1694" s="1"/>
      <c r="AS1694"/>
      <c r="AT1694"/>
      <c r="AU1694"/>
      <c r="AV1694"/>
      <c r="AW1694"/>
      <c r="AX1694"/>
      <c r="AY1694"/>
      <c r="AZ1694" s="1"/>
      <c r="BA1694"/>
      <c r="BB1694"/>
      <c r="BC1694"/>
      <c r="BD1694"/>
      <c r="BE1694"/>
      <c r="BF1694" s="1"/>
      <c r="BG1694"/>
      <c r="BH1694"/>
      <c r="BI1694"/>
      <c r="BJ1694"/>
      <c r="BK1694"/>
      <c r="BL1694"/>
      <c r="BM1694"/>
      <c r="BN1694"/>
      <c r="BO1694"/>
    </row>
    <row r="1695" spans="8:67" s="2" customFormat="1">
      <c r="H1695" s="202"/>
      <c r="I1695" s="10"/>
      <c r="J1695" s="10"/>
      <c r="K1695" s="10"/>
      <c r="L1695" s="20"/>
      <c r="M1695" s="31"/>
      <c r="N1695" s="39"/>
      <c r="O1695" s="39"/>
      <c r="P1695" s="39"/>
      <c r="Q1695" s="39"/>
      <c r="R1695" s="39"/>
      <c r="S1695" s="39"/>
      <c r="T1695" s="39"/>
      <c r="U1695" s="39"/>
      <c r="V1695" s="39"/>
      <c r="W1695" s="39"/>
      <c r="X1695" s="39"/>
      <c r="Y1695" s="51"/>
      <c r="Z1695" s="51"/>
      <c r="AA1695"/>
      <c r="AB1695"/>
      <c r="AC1695"/>
      <c r="AD1695"/>
      <c r="AE1695"/>
      <c r="AF1695"/>
      <c r="AG1695"/>
      <c r="AH1695"/>
      <c r="AI1695"/>
      <c r="AJ1695" s="185"/>
      <c r="AK1695" s="185"/>
      <c r="AL1695" s="185"/>
      <c r="AM1695" s="185"/>
      <c r="AN1695"/>
      <c r="AO1695" s="1"/>
      <c r="AP1695" s="1"/>
      <c r="AQ1695" s="1"/>
      <c r="AR1695" s="1"/>
      <c r="AS1695"/>
      <c r="AT1695"/>
      <c r="AU1695"/>
      <c r="AV1695"/>
      <c r="AW1695"/>
      <c r="AX1695"/>
      <c r="AY1695"/>
      <c r="AZ1695" s="1"/>
      <c r="BA1695"/>
      <c r="BB1695"/>
      <c r="BC1695"/>
      <c r="BD1695"/>
      <c r="BE1695"/>
      <c r="BF1695" s="1"/>
      <c r="BG1695"/>
      <c r="BH1695"/>
      <c r="BI1695"/>
      <c r="BJ1695"/>
      <c r="BK1695"/>
      <c r="BL1695"/>
      <c r="BM1695"/>
      <c r="BN1695"/>
      <c r="BO1695"/>
    </row>
    <row r="1696" spans="8:67" s="2" customFormat="1">
      <c r="H1696" s="202"/>
      <c r="I1696" s="10"/>
      <c r="J1696" s="10"/>
      <c r="K1696" s="10"/>
      <c r="L1696" s="20"/>
      <c r="M1696" s="31"/>
      <c r="N1696" s="39"/>
      <c r="O1696" s="39"/>
      <c r="P1696" s="39"/>
      <c r="Q1696" s="39"/>
      <c r="R1696" s="39"/>
      <c r="S1696" s="39"/>
      <c r="T1696" s="39"/>
      <c r="U1696" s="39"/>
      <c r="V1696" s="39"/>
      <c r="W1696" s="39"/>
      <c r="X1696" s="39"/>
      <c r="Y1696" s="51"/>
      <c r="Z1696" s="51"/>
      <c r="AA1696"/>
      <c r="AB1696"/>
      <c r="AC1696"/>
      <c r="AD1696"/>
      <c r="AE1696"/>
      <c r="AF1696"/>
      <c r="AG1696"/>
      <c r="AH1696"/>
      <c r="AI1696"/>
      <c r="AJ1696" s="185"/>
      <c r="AK1696" s="185"/>
      <c r="AL1696" s="185"/>
      <c r="AM1696" s="185"/>
      <c r="AN1696"/>
      <c r="AO1696" s="1"/>
      <c r="AP1696" s="1"/>
      <c r="AQ1696" s="1"/>
      <c r="AR1696" s="1"/>
      <c r="AS1696"/>
      <c r="AT1696"/>
      <c r="AU1696"/>
      <c r="AV1696"/>
      <c r="AW1696"/>
      <c r="AX1696"/>
      <c r="AY1696"/>
      <c r="AZ1696" s="1"/>
      <c r="BA1696"/>
      <c r="BB1696"/>
      <c r="BC1696"/>
      <c r="BD1696"/>
      <c r="BE1696"/>
      <c r="BF1696" s="1"/>
      <c r="BG1696"/>
      <c r="BH1696"/>
      <c r="BI1696"/>
      <c r="BJ1696"/>
      <c r="BK1696"/>
      <c r="BL1696"/>
      <c r="BM1696"/>
      <c r="BN1696"/>
      <c r="BO1696"/>
    </row>
    <row r="1697" spans="8:67" s="2" customFormat="1">
      <c r="H1697" s="202"/>
      <c r="I1697" s="10"/>
      <c r="J1697" s="10"/>
      <c r="K1697" s="10"/>
      <c r="L1697" s="20"/>
      <c r="M1697" s="31"/>
      <c r="N1697" s="39"/>
      <c r="O1697" s="39"/>
      <c r="P1697" s="39"/>
      <c r="Q1697" s="39"/>
      <c r="R1697" s="39"/>
      <c r="S1697" s="39"/>
      <c r="T1697" s="39"/>
      <c r="U1697" s="39"/>
      <c r="V1697" s="39"/>
      <c r="W1697" s="39"/>
      <c r="X1697" s="39"/>
      <c r="Y1697" s="51"/>
      <c r="Z1697" s="51"/>
      <c r="AA1697"/>
      <c r="AB1697"/>
      <c r="AC1697"/>
      <c r="AD1697"/>
      <c r="AE1697"/>
      <c r="AF1697"/>
      <c r="AG1697"/>
      <c r="AH1697"/>
      <c r="AI1697"/>
      <c r="AJ1697" s="185"/>
      <c r="AK1697" s="185"/>
      <c r="AL1697" s="185"/>
      <c r="AM1697" s="185"/>
      <c r="AN1697"/>
      <c r="AO1697" s="1"/>
      <c r="AP1697" s="1"/>
      <c r="AQ1697" s="1"/>
      <c r="AR1697" s="1"/>
      <c r="AS1697"/>
      <c r="AT1697"/>
      <c r="AU1697"/>
      <c r="AV1697"/>
      <c r="AW1697"/>
      <c r="AX1697"/>
      <c r="AY1697"/>
      <c r="AZ1697" s="1"/>
      <c r="BA1697"/>
      <c r="BB1697"/>
      <c r="BC1697"/>
      <c r="BD1697"/>
      <c r="BE1697"/>
      <c r="BF1697" s="1"/>
      <c r="BG1697"/>
      <c r="BH1697"/>
      <c r="BI1697"/>
      <c r="BJ1697"/>
      <c r="BK1697"/>
      <c r="BL1697"/>
      <c r="BM1697"/>
      <c r="BN1697"/>
      <c r="BO1697"/>
    </row>
    <row r="1698" spans="8:67" s="2" customFormat="1">
      <c r="H1698" s="202"/>
      <c r="I1698" s="10"/>
      <c r="J1698" s="10"/>
      <c r="K1698" s="10"/>
      <c r="L1698" s="20"/>
      <c r="M1698" s="31"/>
      <c r="N1698" s="39"/>
      <c r="O1698" s="39"/>
      <c r="P1698" s="39"/>
      <c r="Q1698" s="39"/>
      <c r="R1698" s="39"/>
      <c r="S1698" s="39"/>
      <c r="T1698" s="39"/>
      <c r="U1698" s="39"/>
      <c r="V1698" s="39"/>
      <c r="W1698" s="39"/>
      <c r="X1698" s="39"/>
      <c r="Y1698" s="51"/>
      <c r="Z1698" s="51"/>
      <c r="AA1698"/>
      <c r="AB1698"/>
      <c r="AC1698"/>
      <c r="AD1698"/>
      <c r="AE1698"/>
      <c r="AF1698"/>
      <c r="AG1698"/>
      <c r="AH1698"/>
      <c r="AI1698"/>
      <c r="AJ1698" s="185"/>
      <c r="AK1698" s="185"/>
      <c r="AL1698" s="185"/>
      <c r="AM1698" s="185"/>
      <c r="AN1698"/>
      <c r="AO1698" s="1"/>
      <c r="AP1698" s="1"/>
      <c r="AQ1698" s="1"/>
      <c r="AR1698" s="1"/>
      <c r="AS1698"/>
      <c r="AT1698"/>
      <c r="AU1698"/>
      <c r="AV1698"/>
      <c r="AW1698"/>
      <c r="AX1698"/>
      <c r="AY1698"/>
      <c r="AZ1698" s="1"/>
      <c r="BA1698"/>
      <c r="BB1698"/>
      <c r="BC1698"/>
      <c r="BD1698"/>
      <c r="BE1698"/>
      <c r="BF1698" s="1"/>
      <c r="BG1698"/>
      <c r="BH1698"/>
      <c r="BI1698"/>
      <c r="BJ1698"/>
      <c r="BK1698"/>
      <c r="BL1698"/>
      <c r="BM1698"/>
      <c r="BN1698"/>
      <c r="BO1698"/>
    </row>
    <row r="1699" spans="8:67" s="2" customFormat="1">
      <c r="H1699" s="202"/>
      <c r="I1699" s="10"/>
      <c r="J1699" s="10"/>
      <c r="K1699" s="10"/>
      <c r="L1699" s="20"/>
      <c r="M1699" s="31"/>
      <c r="N1699" s="39"/>
      <c r="O1699" s="39"/>
      <c r="P1699" s="39"/>
      <c r="Q1699" s="39"/>
      <c r="R1699" s="39"/>
      <c r="S1699" s="39"/>
      <c r="T1699" s="39"/>
      <c r="U1699" s="39"/>
      <c r="V1699" s="39"/>
      <c r="W1699" s="39"/>
      <c r="X1699" s="39"/>
      <c r="Y1699" s="51"/>
      <c r="Z1699" s="51"/>
      <c r="AA1699"/>
      <c r="AB1699"/>
      <c r="AC1699"/>
      <c r="AD1699"/>
      <c r="AE1699"/>
      <c r="AF1699"/>
      <c r="AG1699"/>
      <c r="AH1699"/>
      <c r="AI1699"/>
      <c r="AJ1699" s="185"/>
      <c r="AK1699" s="185"/>
      <c r="AL1699" s="185"/>
      <c r="AM1699" s="185"/>
      <c r="AN1699"/>
      <c r="AO1699" s="1"/>
      <c r="AP1699" s="1"/>
      <c r="AQ1699" s="1"/>
      <c r="AR1699" s="1"/>
      <c r="AS1699"/>
      <c r="AT1699"/>
      <c r="AU1699"/>
      <c r="AV1699"/>
      <c r="AW1699"/>
      <c r="AX1699"/>
      <c r="AY1699"/>
      <c r="AZ1699" s="1"/>
      <c r="BA1699"/>
      <c r="BB1699"/>
      <c r="BC1699"/>
      <c r="BD1699"/>
      <c r="BE1699"/>
      <c r="BF1699" s="1"/>
      <c r="BG1699"/>
      <c r="BH1699"/>
      <c r="BI1699"/>
      <c r="BJ1699"/>
      <c r="BK1699"/>
      <c r="BL1699"/>
      <c r="BM1699"/>
      <c r="BN1699"/>
      <c r="BO1699"/>
    </row>
    <row r="1700" spans="8:67" s="2" customFormat="1">
      <c r="H1700" s="202"/>
      <c r="I1700" s="10"/>
      <c r="J1700" s="10"/>
      <c r="K1700" s="10"/>
      <c r="L1700" s="20"/>
      <c r="M1700" s="31"/>
      <c r="N1700" s="39"/>
      <c r="O1700" s="39"/>
      <c r="P1700" s="39"/>
      <c r="Q1700" s="39"/>
      <c r="R1700" s="39"/>
      <c r="S1700" s="39"/>
      <c r="T1700" s="39"/>
      <c r="U1700" s="39"/>
      <c r="V1700" s="39"/>
      <c r="W1700" s="39"/>
      <c r="X1700" s="39"/>
      <c r="Y1700" s="51"/>
      <c r="Z1700" s="51"/>
      <c r="AA1700"/>
      <c r="AB1700"/>
      <c r="AC1700"/>
      <c r="AD1700"/>
      <c r="AE1700"/>
      <c r="AF1700"/>
      <c r="AG1700"/>
      <c r="AH1700"/>
      <c r="AI1700"/>
      <c r="AJ1700" s="185"/>
      <c r="AK1700" s="185"/>
      <c r="AL1700" s="185"/>
      <c r="AM1700" s="185"/>
      <c r="AN1700"/>
      <c r="AO1700" s="1"/>
      <c r="AP1700" s="1"/>
      <c r="AQ1700" s="1"/>
      <c r="AR1700" s="1"/>
      <c r="AS1700"/>
      <c r="AT1700"/>
      <c r="AU1700"/>
      <c r="AV1700"/>
      <c r="AW1700"/>
      <c r="AX1700"/>
      <c r="AY1700"/>
      <c r="AZ1700" s="1"/>
      <c r="BA1700"/>
      <c r="BB1700"/>
      <c r="BC1700"/>
      <c r="BD1700"/>
      <c r="BE1700"/>
      <c r="BF1700" s="1"/>
      <c r="BG1700"/>
      <c r="BH1700"/>
      <c r="BI1700"/>
      <c r="BJ1700"/>
      <c r="BK1700"/>
      <c r="BL1700"/>
      <c r="BM1700"/>
      <c r="BN1700"/>
      <c r="BO1700"/>
    </row>
    <row r="1701" spans="8:67" s="2" customFormat="1">
      <c r="H1701" s="202"/>
      <c r="I1701" s="10"/>
      <c r="J1701" s="10"/>
      <c r="K1701" s="10"/>
      <c r="L1701" s="20"/>
      <c r="M1701" s="31"/>
      <c r="N1701" s="39"/>
      <c r="O1701" s="39"/>
      <c r="P1701" s="39"/>
      <c r="Q1701" s="39"/>
      <c r="R1701" s="39"/>
      <c r="S1701" s="39"/>
      <c r="T1701" s="39"/>
      <c r="U1701" s="39"/>
      <c r="V1701" s="39"/>
      <c r="W1701" s="39"/>
      <c r="X1701" s="39"/>
      <c r="Y1701" s="51"/>
      <c r="Z1701" s="51"/>
      <c r="AA1701"/>
      <c r="AB1701"/>
      <c r="AC1701"/>
      <c r="AD1701"/>
      <c r="AE1701"/>
      <c r="AF1701"/>
      <c r="AG1701"/>
      <c r="AH1701"/>
      <c r="AI1701"/>
      <c r="AJ1701" s="185"/>
      <c r="AK1701" s="185"/>
      <c r="AL1701" s="185"/>
      <c r="AM1701" s="185"/>
      <c r="AN1701"/>
      <c r="AO1701" s="1"/>
      <c r="AP1701" s="1"/>
      <c r="AQ1701" s="1"/>
      <c r="AR1701" s="1"/>
      <c r="AS1701"/>
      <c r="AT1701"/>
      <c r="AU1701"/>
      <c r="AV1701"/>
      <c r="AW1701"/>
      <c r="AX1701"/>
      <c r="AY1701"/>
      <c r="AZ1701" s="1"/>
      <c r="BA1701"/>
      <c r="BB1701"/>
      <c r="BC1701"/>
      <c r="BD1701"/>
      <c r="BE1701"/>
      <c r="BF1701" s="1"/>
      <c r="BG1701"/>
      <c r="BH1701"/>
      <c r="BI1701"/>
      <c r="BJ1701"/>
      <c r="BK1701"/>
      <c r="BL1701"/>
      <c r="BM1701"/>
      <c r="BN1701"/>
      <c r="BO1701"/>
    </row>
    <row r="1702" spans="8:67" s="2" customFormat="1">
      <c r="H1702" s="202"/>
      <c r="I1702" s="10"/>
      <c r="J1702" s="10"/>
      <c r="K1702" s="10"/>
      <c r="L1702" s="20"/>
      <c r="M1702" s="31"/>
      <c r="N1702" s="39"/>
      <c r="O1702" s="39"/>
      <c r="P1702" s="39"/>
      <c r="Q1702" s="39"/>
      <c r="R1702" s="39"/>
      <c r="S1702" s="39"/>
      <c r="T1702" s="39"/>
      <c r="U1702" s="39"/>
      <c r="V1702" s="39"/>
      <c r="W1702" s="39"/>
      <c r="X1702" s="39"/>
      <c r="Y1702" s="51"/>
      <c r="Z1702" s="51"/>
      <c r="AA1702"/>
      <c r="AB1702"/>
      <c r="AC1702"/>
      <c r="AD1702"/>
      <c r="AE1702"/>
      <c r="AF1702"/>
      <c r="AG1702"/>
      <c r="AH1702"/>
      <c r="AI1702"/>
      <c r="AJ1702" s="185"/>
      <c r="AK1702" s="185"/>
      <c r="AL1702" s="185"/>
      <c r="AM1702" s="185"/>
      <c r="AN1702"/>
      <c r="AO1702" s="1"/>
      <c r="AP1702" s="1"/>
      <c r="AQ1702" s="1"/>
      <c r="AR1702" s="1"/>
      <c r="AS1702"/>
      <c r="AT1702"/>
      <c r="AU1702"/>
      <c r="AV1702"/>
      <c r="AW1702"/>
      <c r="AX1702"/>
      <c r="AY1702"/>
      <c r="AZ1702" s="1"/>
      <c r="BA1702"/>
      <c r="BB1702"/>
      <c r="BC1702"/>
      <c r="BD1702"/>
      <c r="BE1702"/>
      <c r="BF1702" s="1"/>
      <c r="BG1702"/>
      <c r="BH1702"/>
      <c r="BI1702"/>
      <c r="BJ1702"/>
      <c r="BK1702"/>
      <c r="BL1702"/>
      <c r="BM1702"/>
      <c r="BN1702"/>
      <c r="BO1702"/>
    </row>
    <row r="1703" spans="8:67" s="2" customFormat="1">
      <c r="H1703" s="202"/>
      <c r="I1703" s="10"/>
      <c r="J1703" s="10"/>
      <c r="K1703" s="10"/>
      <c r="L1703" s="20"/>
      <c r="M1703" s="31"/>
      <c r="N1703" s="39"/>
      <c r="O1703" s="39"/>
      <c r="P1703" s="39"/>
      <c r="Q1703" s="39"/>
      <c r="R1703" s="39"/>
      <c r="S1703" s="39"/>
      <c r="T1703" s="39"/>
      <c r="U1703" s="39"/>
      <c r="V1703" s="39"/>
      <c r="W1703" s="39"/>
      <c r="X1703" s="39"/>
      <c r="Y1703" s="51"/>
      <c r="Z1703" s="51"/>
      <c r="AA1703"/>
      <c r="AB1703"/>
      <c r="AC1703"/>
      <c r="AD1703"/>
      <c r="AE1703"/>
      <c r="AF1703"/>
      <c r="AG1703"/>
      <c r="AH1703"/>
      <c r="AI1703"/>
      <c r="AJ1703" s="185"/>
      <c r="AK1703" s="185"/>
      <c r="AL1703" s="185"/>
      <c r="AM1703" s="185"/>
      <c r="AN1703"/>
      <c r="AO1703" s="1"/>
      <c r="AP1703" s="1"/>
      <c r="AQ1703" s="1"/>
      <c r="AR1703" s="1"/>
      <c r="AS1703"/>
      <c r="AT1703"/>
      <c r="AU1703"/>
      <c r="AV1703"/>
      <c r="AW1703"/>
      <c r="AX1703"/>
      <c r="AY1703"/>
      <c r="AZ1703" s="1"/>
      <c r="BA1703"/>
      <c r="BB1703"/>
      <c r="BC1703"/>
      <c r="BD1703"/>
      <c r="BE1703"/>
      <c r="BF1703" s="1"/>
      <c r="BG1703"/>
      <c r="BH1703"/>
      <c r="BI1703"/>
      <c r="BJ1703"/>
      <c r="BK1703"/>
      <c r="BL1703"/>
      <c r="BM1703"/>
      <c r="BN1703"/>
      <c r="BO1703"/>
    </row>
    <row r="1704" spans="8:67" s="2" customFormat="1">
      <c r="H1704" s="202"/>
      <c r="I1704" s="10"/>
      <c r="J1704" s="10"/>
      <c r="K1704" s="10"/>
      <c r="L1704" s="20"/>
      <c r="M1704" s="31"/>
      <c r="N1704" s="39"/>
      <c r="O1704" s="39"/>
      <c r="P1704" s="39"/>
      <c r="Q1704" s="39"/>
      <c r="R1704" s="39"/>
      <c r="S1704" s="39"/>
      <c r="T1704" s="39"/>
      <c r="U1704" s="39"/>
      <c r="V1704" s="39"/>
      <c r="W1704" s="39"/>
      <c r="X1704" s="39"/>
      <c r="Y1704" s="51"/>
      <c r="Z1704" s="51"/>
      <c r="AA1704"/>
      <c r="AB1704"/>
      <c r="AC1704"/>
      <c r="AD1704"/>
      <c r="AE1704"/>
      <c r="AF1704"/>
      <c r="AG1704"/>
      <c r="AH1704"/>
      <c r="AI1704"/>
      <c r="AJ1704" s="185"/>
      <c r="AK1704" s="185"/>
      <c r="AL1704" s="185"/>
      <c r="AM1704" s="185"/>
      <c r="AN1704"/>
      <c r="AO1704" s="1"/>
      <c r="AP1704" s="1"/>
      <c r="AQ1704" s="1"/>
      <c r="AR1704" s="1"/>
      <c r="AS1704"/>
      <c r="AT1704"/>
      <c r="AU1704"/>
      <c r="AV1704"/>
      <c r="AW1704"/>
      <c r="AX1704"/>
      <c r="AY1704"/>
      <c r="AZ1704" s="1"/>
      <c r="BA1704"/>
      <c r="BB1704"/>
      <c r="BC1704"/>
      <c r="BD1704"/>
      <c r="BE1704"/>
      <c r="BF1704" s="1"/>
      <c r="BG1704"/>
      <c r="BH1704"/>
      <c r="BI1704"/>
      <c r="BJ1704"/>
      <c r="BK1704"/>
      <c r="BL1704"/>
      <c r="BM1704"/>
      <c r="BN1704"/>
      <c r="BO1704"/>
    </row>
    <row r="1705" spans="8:67" s="2" customFormat="1">
      <c r="H1705" s="202"/>
      <c r="I1705" s="10"/>
      <c r="J1705" s="10"/>
      <c r="K1705" s="10"/>
      <c r="L1705" s="20"/>
      <c r="M1705" s="31"/>
      <c r="N1705" s="39"/>
      <c r="O1705" s="39"/>
      <c r="P1705" s="39"/>
      <c r="Q1705" s="39"/>
      <c r="R1705" s="39"/>
      <c r="S1705" s="39"/>
      <c r="T1705" s="39"/>
      <c r="U1705" s="39"/>
      <c r="V1705" s="39"/>
      <c r="W1705" s="39"/>
      <c r="X1705" s="39"/>
      <c r="Y1705" s="51"/>
      <c r="Z1705" s="51"/>
      <c r="AA1705"/>
      <c r="AB1705"/>
      <c r="AC1705"/>
      <c r="AD1705"/>
      <c r="AE1705"/>
      <c r="AF1705"/>
      <c r="AG1705"/>
      <c r="AH1705"/>
      <c r="AI1705"/>
      <c r="AJ1705" s="185"/>
      <c r="AK1705" s="185"/>
      <c r="AL1705" s="185"/>
      <c r="AM1705" s="185"/>
      <c r="AN1705"/>
      <c r="AO1705" s="1"/>
      <c r="AP1705" s="1"/>
      <c r="AQ1705" s="1"/>
      <c r="AR1705" s="1"/>
      <c r="AS1705"/>
      <c r="AT1705"/>
      <c r="AU1705"/>
      <c r="AV1705"/>
      <c r="AW1705"/>
      <c r="AX1705"/>
      <c r="AY1705"/>
      <c r="AZ1705" s="1"/>
      <c r="BA1705"/>
      <c r="BB1705"/>
      <c r="BC1705"/>
      <c r="BD1705"/>
      <c r="BE1705"/>
      <c r="BF1705" s="1"/>
      <c r="BG1705"/>
      <c r="BH1705"/>
      <c r="BI1705"/>
      <c r="BJ1705"/>
      <c r="BK1705"/>
      <c r="BL1705"/>
      <c r="BM1705"/>
      <c r="BN1705"/>
      <c r="BO1705"/>
    </row>
    <row r="1706" spans="8:67" s="2" customFormat="1">
      <c r="H1706" s="202"/>
      <c r="I1706" s="10"/>
      <c r="J1706" s="10"/>
      <c r="K1706" s="10"/>
      <c r="L1706" s="20"/>
      <c r="M1706" s="31"/>
      <c r="N1706" s="39"/>
      <c r="O1706" s="39"/>
      <c r="P1706" s="39"/>
      <c r="Q1706" s="39"/>
      <c r="R1706" s="39"/>
      <c r="S1706" s="39"/>
      <c r="T1706" s="39"/>
      <c r="U1706" s="39"/>
      <c r="V1706" s="39"/>
      <c r="W1706" s="39"/>
      <c r="X1706" s="39"/>
      <c r="Y1706" s="51"/>
      <c r="Z1706" s="51"/>
      <c r="AA1706"/>
      <c r="AB1706"/>
      <c r="AC1706"/>
      <c r="AD1706"/>
      <c r="AE1706"/>
      <c r="AF1706"/>
      <c r="AG1706"/>
      <c r="AH1706"/>
      <c r="AI1706"/>
      <c r="AJ1706" s="185"/>
      <c r="AK1706" s="185"/>
      <c r="AL1706" s="185"/>
      <c r="AM1706" s="185"/>
      <c r="AN1706"/>
      <c r="AO1706" s="1"/>
      <c r="AP1706" s="1"/>
      <c r="AQ1706" s="1"/>
      <c r="AR1706" s="1"/>
      <c r="AS1706"/>
      <c r="AT1706"/>
      <c r="AU1706"/>
      <c r="AV1706"/>
      <c r="AW1706"/>
      <c r="AX1706"/>
      <c r="AY1706"/>
      <c r="AZ1706" s="1"/>
      <c r="BA1706"/>
      <c r="BB1706"/>
      <c r="BC1706"/>
      <c r="BD1706"/>
      <c r="BE1706"/>
      <c r="BF1706" s="1"/>
      <c r="BG1706"/>
      <c r="BH1706"/>
      <c r="BI1706"/>
      <c r="BJ1706"/>
      <c r="BK1706"/>
      <c r="BL1706"/>
      <c r="BM1706"/>
      <c r="BN1706"/>
      <c r="BO1706"/>
    </row>
    <row r="1707" spans="8:67" s="2" customFormat="1">
      <c r="H1707" s="202"/>
      <c r="I1707" s="10"/>
      <c r="J1707" s="10"/>
      <c r="K1707" s="10"/>
      <c r="L1707" s="20"/>
      <c r="M1707" s="31"/>
      <c r="N1707" s="39"/>
      <c r="O1707" s="39"/>
      <c r="P1707" s="39"/>
      <c r="Q1707" s="39"/>
      <c r="R1707" s="39"/>
      <c r="S1707" s="39"/>
      <c r="T1707" s="39"/>
      <c r="U1707" s="39"/>
      <c r="V1707" s="39"/>
      <c r="W1707" s="39"/>
      <c r="X1707" s="39"/>
      <c r="Y1707" s="51"/>
      <c r="Z1707" s="51"/>
      <c r="AA1707"/>
      <c r="AB1707"/>
      <c r="AC1707"/>
      <c r="AD1707"/>
      <c r="AE1707"/>
      <c r="AF1707"/>
      <c r="AG1707"/>
      <c r="AH1707"/>
      <c r="AI1707"/>
      <c r="AJ1707" s="185"/>
      <c r="AK1707" s="185"/>
      <c r="AL1707" s="185"/>
      <c r="AM1707" s="185"/>
      <c r="AN1707"/>
      <c r="AO1707" s="1"/>
      <c r="AP1707" s="1"/>
      <c r="AQ1707" s="1"/>
      <c r="AR1707" s="1"/>
      <c r="AS1707"/>
      <c r="AT1707"/>
      <c r="AU1707"/>
      <c r="AV1707"/>
      <c r="AW1707"/>
      <c r="AX1707"/>
      <c r="AY1707"/>
      <c r="AZ1707" s="1"/>
      <c r="BA1707"/>
      <c r="BB1707"/>
      <c r="BC1707"/>
      <c r="BD1707"/>
      <c r="BE1707"/>
      <c r="BF1707" s="1"/>
      <c r="BG1707"/>
      <c r="BH1707"/>
      <c r="BI1707"/>
      <c r="BJ1707"/>
      <c r="BK1707"/>
      <c r="BL1707"/>
      <c r="BM1707"/>
      <c r="BN1707"/>
      <c r="BO1707"/>
    </row>
    <row r="1708" spans="8:67" s="2" customFormat="1">
      <c r="H1708" s="202"/>
      <c r="I1708" s="10"/>
      <c r="J1708" s="10"/>
      <c r="K1708" s="10"/>
      <c r="L1708" s="20"/>
      <c r="M1708" s="31"/>
      <c r="N1708" s="39"/>
      <c r="O1708" s="39"/>
      <c r="P1708" s="39"/>
      <c r="Q1708" s="39"/>
      <c r="R1708" s="39"/>
      <c r="S1708" s="39"/>
      <c r="T1708" s="39"/>
      <c r="U1708" s="39"/>
      <c r="V1708" s="39"/>
      <c r="W1708" s="39"/>
      <c r="X1708" s="39"/>
      <c r="Y1708" s="51"/>
      <c r="Z1708" s="51"/>
      <c r="AA1708"/>
      <c r="AB1708"/>
      <c r="AC1708"/>
      <c r="AD1708"/>
      <c r="AE1708"/>
      <c r="AF1708"/>
      <c r="AG1708"/>
      <c r="AH1708"/>
      <c r="AI1708"/>
      <c r="AJ1708" s="185"/>
      <c r="AK1708" s="185"/>
      <c r="AL1708" s="185"/>
      <c r="AM1708" s="185"/>
      <c r="AN1708"/>
      <c r="AO1708" s="1"/>
      <c r="AP1708" s="1"/>
      <c r="AQ1708" s="1"/>
      <c r="AR1708" s="1"/>
      <c r="AS1708"/>
      <c r="AT1708"/>
      <c r="AU1708"/>
      <c r="AV1708"/>
      <c r="AW1708"/>
      <c r="AX1708"/>
      <c r="AY1708"/>
      <c r="AZ1708" s="1"/>
      <c r="BA1708"/>
      <c r="BB1708"/>
      <c r="BC1708"/>
      <c r="BD1708"/>
      <c r="BE1708"/>
      <c r="BF1708" s="1"/>
      <c r="BG1708"/>
      <c r="BH1708"/>
      <c r="BI1708"/>
      <c r="BJ1708"/>
      <c r="BK1708"/>
      <c r="BL1708"/>
      <c r="BM1708"/>
      <c r="BN1708"/>
      <c r="BO1708"/>
    </row>
    <row r="1709" spans="8:67" s="2" customFormat="1">
      <c r="H1709" s="202"/>
      <c r="I1709" s="10"/>
      <c r="J1709" s="10"/>
      <c r="K1709" s="10"/>
      <c r="L1709" s="20"/>
      <c r="M1709" s="31"/>
      <c r="N1709" s="39"/>
      <c r="O1709" s="39"/>
      <c r="P1709" s="39"/>
      <c r="Q1709" s="39"/>
      <c r="R1709" s="39"/>
      <c r="S1709" s="39"/>
      <c r="T1709" s="39"/>
      <c r="U1709" s="39"/>
      <c r="V1709" s="39"/>
      <c r="W1709" s="39"/>
      <c r="X1709" s="39"/>
      <c r="Y1709" s="51"/>
      <c r="Z1709" s="51"/>
      <c r="AA1709"/>
      <c r="AB1709"/>
      <c r="AC1709"/>
      <c r="AD1709"/>
      <c r="AE1709"/>
      <c r="AF1709"/>
      <c r="AG1709"/>
      <c r="AH1709"/>
      <c r="AI1709"/>
      <c r="AJ1709" s="185"/>
      <c r="AK1709" s="185"/>
      <c r="AL1709" s="185"/>
      <c r="AM1709" s="185"/>
      <c r="AN1709"/>
      <c r="AO1709" s="1"/>
      <c r="AP1709" s="1"/>
      <c r="AQ1709" s="1"/>
      <c r="AR1709" s="1"/>
      <c r="AS1709"/>
      <c r="AT1709"/>
      <c r="AU1709"/>
      <c r="AV1709"/>
      <c r="AW1709"/>
      <c r="AX1709"/>
      <c r="AY1709"/>
      <c r="AZ1709" s="1"/>
      <c r="BA1709"/>
      <c r="BB1709"/>
      <c r="BC1709"/>
      <c r="BD1709"/>
      <c r="BE1709"/>
      <c r="BF1709" s="1"/>
      <c r="BG1709"/>
      <c r="BH1709"/>
      <c r="BI1709"/>
      <c r="BJ1709"/>
      <c r="BK1709"/>
      <c r="BL1709"/>
      <c r="BM1709"/>
      <c r="BN1709"/>
      <c r="BO1709"/>
    </row>
    <row r="1710" spans="8:67" s="2" customFormat="1">
      <c r="H1710" s="202"/>
      <c r="I1710" s="10"/>
      <c r="J1710" s="10"/>
      <c r="K1710" s="10"/>
      <c r="L1710" s="20"/>
      <c r="M1710" s="31"/>
      <c r="N1710" s="39"/>
      <c r="O1710" s="39"/>
      <c r="P1710" s="39"/>
      <c r="Q1710" s="39"/>
      <c r="R1710" s="39"/>
      <c r="S1710" s="39"/>
      <c r="T1710" s="39"/>
      <c r="U1710" s="39"/>
      <c r="V1710" s="39"/>
      <c r="W1710" s="39"/>
      <c r="X1710" s="39"/>
      <c r="Y1710" s="51"/>
      <c r="Z1710" s="51"/>
      <c r="AA1710"/>
      <c r="AB1710"/>
      <c r="AC1710"/>
      <c r="AD1710"/>
      <c r="AE1710"/>
      <c r="AF1710"/>
      <c r="AG1710"/>
      <c r="AH1710"/>
      <c r="AI1710"/>
      <c r="AJ1710" s="185"/>
      <c r="AK1710" s="185"/>
      <c r="AL1710" s="185"/>
      <c r="AM1710" s="185"/>
      <c r="AN1710"/>
      <c r="AO1710" s="1"/>
      <c r="AP1710" s="1"/>
      <c r="AQ1710" s="1"/>
      <c r="AR1710" s="1"/>
      <c r="AS1710"/>
      <c r="AT1710"/>
      <c r="AU1710"/>
      <c r="AV1710"/>
      <c r="AW1710"/>
      <c r="AX1710"/>
      <c r="AY1710"/>
      <c r="AZ1710" s="1"/>
      <c r="BA1710"/>
      <c r="BB1710"/>
      <c r="BC1710"/>
      <c r="BD1710"/>
      <c r="BE1710"/>
      <c r="BF1710" s="1"/>
      <c r="BG1710"/>
      <c r="BH1710"/>
      <c r="BI1710"/>
      <c r="BJ1710"/>
      <c r="BK1710"/>
      <c r="BL1710"/>
      <c r="BM1710"/>
      <c r="BN1710"/>
      <c r="BO1710"/>
    </row>
    <row r="1711" spans="8:67" s="2" customFormat="1">
      <c r="H1711" s="202"/>
      <c r="I1711" s="10"/>
      <c r="J1711" s="10"/>
      <c r="K1711" s="10"/>
      <c r="L1711" s="20"/>
      <c r="M1711" s="31"/>
      <c r="N1711" s="39"/>
      <c r="O1711" s="39"/>
      <c r="P1711" s="39"/>
      <c r="Q1711" s="39"/>
      <c r="R1711" s="39"/>
      <c r="S1711" s="39"/>
      <c r="T1711" s="39"/>
      <c r="U1711" s="39"/>
      <c r="V1711" s="39"/>
      <c r="W1711" s="39"/>
      <c r="X1711" s="39"/>
      <c r="Y1711" s="51"/>
      <c r="Z1711" s="51"/>
      <c r="AA1711"/>
      <c r="AB1711"/>
      <c r="AC1711"/>
      <c r="AD1711"/>
      <c r="AE1711"/>
      <c r="AF1711"/>
      <c r="AG1711"/>
      <c r="AH1711"/>
      <c r="AI1711"/>
      <c r="AJ1711" s="185"/>
      <c r="AK1711" s="185"/>
      <c r="AL1711" s="185"/>
      <c r="AM1711" s="185"/>
      <c r="AN1711"/>
      <c r="AO1711" s="1"/>
      <c r="AP1711" s="1"/>
      <c r="AQ1711" s="1"/>
      <c r="AR1711" s="1"/>
      <c r="AS1711"/>
      <c r="AT1711"/>
      <c r="AU1711"/>
      <c r="AV1711"/>
      <c r="AW1711"/>
      <c r="AX1711"/>
      <c r="AY1711"/>
      <c r="AZ1711" s="1"/>
      <c r="BA1711"/>
      <c r="BB1711"/>
      <c r="BC1711"/>
      <c r="BD1711"/>
      <c r="BE1711"/>
      <c r="BF1711" s="1"/>
      <c r="BG1711"/>
      <c r="BH1711"/>
      <c r="BI1711"/>
      <c r="BJ1711"/>
      <c r="BK1711"/>
      <c r="BL1711"/>
      <c r="BM1711"/>
      <c r="BN1711"/>
      <c r="BO1711"/>
    </row>
    <row r="1712" spans="8:67" s="2" customFormat="1">
      <c r="H1712" s="202"/>
      <c r="I1712" s="10"/>
      <c r="J1712" s="10"/>
      <c r="K1712" s="10"/>
      <c r="L1712" s="20"/>
      <c r="M1712" s="31"/>
      <c r="N1712" s="39"/>
      <c r="O1712" s="39"/>
      <c r="P1712" s="39"/>
      <c r="Q1712" s="39"/>
      <c r="R1712" s="39"/>
      <c r="S1712" s="39"/>
      <c r="T1712" s="39"/>
      <c r="U1712" s="39"/>
      <c r="V1712" s="39"/>
      <c r="W1712" s="39"/>
      <c r="X1712" s="39"/>
      <c r="Y1712" s="51"/>
      <c r="Z1712" s="51"/>
      <c r="AA1712"/>
      <c r="AB1712"/>
      <c r="AC1712"/>
      <c r="AD1712"/>
      <c r="AE1712"/>
      <c r="AF1712"/>
      <c r="AG1712"/>
      <c r="AH1712"/>
      <c r="AI1712"/>
      <c r="AJ1712" s="185"/>
      <c r="AK1712" s="185"/>
      <c r="AL1712" s="185"/>
      <c r="AM1712" s="185"/>
      <c r="AN1712"/>
      <c r="AO1712" s="1"/>
      <c r="AP1712" s="1"/>
      <c r="AQ1712" s="1"/>
      <c r="AR1712" s="1"/>
      <c r="AS1712"/>
      <c r="AT1712"/>
      <c r="AU1712"/>
      <c r="AV1712"/>
      <c r="AW1712"/>
      <c r="AX1712"/>
      <c r="AY1712"/>
      <c r="AZ1712" s="1"/>
      <c r="BA1712"/>
      <c r="BB1712"/>
      <c r="BC1712"/>
      <c r="BD1712"/>
      <c r="BE1712"/>
      <c r="BF1712" s="1"/>
      <c r="BG1712"/>
      <c r="BH1712"/>
      <c r="BI1712"/>
      <c r="BJ1712"/>
      <c r="BK1712"/>
      <c r="BL1712"/>
      <c r="BM1712"/>
      <c r="BN1712"/>
      <c r="BO1712"/>
    </row>
    <row r="1713" spans="8:67" s="2" customFormat="1">
      <c r="H1713" s="202"/>
      <c r="I1713" s="10"/>
      <c r="J1713" s="10"/>
      <c r="K1713" s="10"/>
      <c r="L1713" s="20"/>
      <c r="M1713" s="31"/>
      <c r="N1713" s="39"/>
      <c r="O1713" s="39"/>
      <c r="P1713" s="39"/>
      <c r="Q1713" s="39"/>
      <c r="R1713" s="39"/>
      <c r="S1713" s="39"/>
      <c r="T1713" s="39"/>
      <c r="U1713" s="39"/>
      <c r="V1713" s="39"/>
      <c r="W1713" s="39"/>
      <c r="X1713" s="39"/>
      <c r="Y1713" s="51"/>
      <c r="Z1713" s="51"/>
      <c r="AA1713"/>
      <c r="AB1713"/>
      <c r="AC1713"/>
      <c r="AD1713"/>
      <c r="AE1713"/>
      <c r="AF1713"/>
      <c r="AG1713"/>
      <c r="AH1713"/>
      <c r="AI1713"/>
      <c r="AJ1713" s="185"/>
      <c r="AK1713" s="185"/>
      <c r="AL1713" s="185"/>
      <c r="AM1713" s="185"/>
      <c r="AN1713"/>
      <c r="AO1713" s="1"/>
      <c r="AP1713" s="1"/>
      <c r="AQ1713" s="1"/>
      <c r="AR1713" s="1"/>
      <c r="AS1713"/>
      <c r="AT1713"/>
      <c r="AU1713"/>
      <c r="AV1713"/>
      <c r="AW1713"/>
      <c r="AX1713"/>
      <c r="AY1713"/>
      <c r="AZ1713" s="1"/>
      <c r="BA1713"/>
      <c r="BB1713"/>
      <c r="BC1713"/>
      <c r="BD1713"/>
      <c r="BE1713"/>
      <c r="BF1713" s="1"/>
      <c r="BG1713"/>
      <c r="BH1713"/>
      <c r="BI1713"/>
      <c r="BJ1713"/>
      <c r="BK1713"/>
      <c r="BL1713"/>
      <c r="BM1713"/>
      <c r="BN1713"/>
      <c r="BO1713"/>
    </row>
    <row r="1714" spans="8:67" s="2" customFormat="1">
      <c r="H1714" s="202"/>
      <c r="I1714" s="10"/>
      <c r="J1714" s="10"/>
      <c r="K1714" s="10"/>
      <c r="L1714" s="20"/>
      <c r="M1714" s="31"/>
      <c r="N1714" s="39"/>
      <c r="O1714" s="39"/>
      <c r="P1714" s="39"/>
      <c r="Q1714" s="39"/>
      <c r="R1714" s="39"/>
      <c r="S1714" s="39"/>
      <c r="T1714" s="39"/>
      <c r="U1714" s="39"/>
      <c r="V1714" s="39"/>
      <c r="W1714" s="39"/>
      <c r="X1714" s="39"/>
      <c r="Y1714" s="51"/>
      <c r="Z1714" s="51"/>
      <c r="AA1714"/>
      <c r="AB1714"/>
      <c r="AC1714"/>
      <c r="AD1714"/>
      <c r="AE1714"/>
      <c r="AF1714"/>
      <c r="AG1714"/>
      <c r="AH1714"/>
      <c r="AI1714"/>
      <c r="AJ1714" s="185"/>
      <c r="AK1714" s="185"/>
      <c r="AL1714" s="185"/>
      <c r="AM1714" s="185"/>
      <c r="AN1714"/>
      <c r="AO1714" s="1"/>
      <c r="AP1714" s="1"/>
      <c r="AQ1714" s="1"/>
      <c r="AR1714" s="1"/>
      <c r="AS1714"/>
      <c r="AT1714"/>
      <c r="AU1714"/>
      <c r="AV1714"/>
      <c r="AW1714"/>
      <c r="AX1714"/>
      <c r="AY1714"/>
      <c r="AZ1714" s="1"/>
      <c r="BA1714"/>
      <c r="BB1714"/>
      <c r="BC1714"/>
      <c r="BD1714"/>
      <c r="BE1714"/>
      <c r="BF1714" s="1"/>
      <c r="BG1714"/>
      <c r="BH1714"/>
      <c r="BI1714"/>
      <c r="BJ1714"/>
      <c r="BK1714"/>
      <c r="BL1714"/>
      <c r="BM1714"/>
      <c r="BN1714"/>
      <c r="BO1714"/>
    </row>
    <row r="1715" spans="8:67" s="2" customFormat="1">
      <c r="H1715" s="202"/>
      <c r="I1715" s="10"/>
      <c r="J1715" s="10"/>
      <c r="K1715" s="10"/>
      <c r="L1715" s="20"/>
      <c r="M1715" s="31"/>
      <c r="N1715" s="39"/>
      <c r="O1715" s="39"/>
      <c r="P1715" s="39"/>
      <c r="Q1715" s="39"/>
      <c r="R1715" s="39"/>
      <c r="S1715" s="39"/>
      <c r="T1715" s="39"/>
      <c r="U1715" s="39"/>
      <c r="V1715" s="39"/>
      <c r="W1715" s="39"/>
      <c r="X1715" s="39"/>
      <c r="Y1715" s="51"/>
      <c r="Z1715" s="51"/>
      <c r="AA1715"/>
      <c r="AB1715"/>
      <c r="AC1715"/>
      <c r="AD1715"/>
      <c r="AE1715"/>
      <c r="AF1715"/>
      <c r="AG1715"/>
      <c r="AH1715"/>
      <c r="AI1715"/>
      <c r="AJ1715" s="185"/>
      <c r="AK1715" s="185"/>
      <c r="AL1715" s="185"/>
      <c r="AM1715" s="185"/>
      <c r="AN1715"/>
      <c r="AO1715" s="1"/>
      <c r="AP1715" s="1"/>
      <c r="AQ1715" s="1"/>
      <c r="AR1715" s="1"/>
      <c r="AS1715"/>
      <c r="AT1715"/>
      <c r="AU1715"/>
      <c r="AV1715"/>
      <c r="AW1715"/>
      <c r="AX1715"/>
      <c r="AY1715"/>
      <c r="AZ1715" s="1"/>
      <c r="BA1715"/>
      <c r="BB1715"/>
      <c r="BC1715"/>
      <c r="BD1715"/>
      <c r="BE1715"/>
      <c r="BF1715" s="1"/>
      <c r="BG1715"/>
      <c r="BH1715"/>
      <c r="BI1715"/>
      <c r="BJ1715"/>
      <c r="BK1715"/>
      <c r="BL1715"/>
      <c r="BM1715"/>
      <c r="BN1715"/>
      <c r="BO1715"/>
    </row>
    <row r="1716" spans="8:67" s="2" customFormat="1">
      <c r="H1716" s="202"/>
      <c r="I1716" s="10"/>
      <c r="J1716" s="10"/>
      <c r="K1716" s="10"/>
      <c r="L1716" s="20"/>
      <c r="M1716" s="31"/>
      <c r="N1716" s="39"/>
      <c r="O1716" s="39"/>
      <c r="P1716" s="39"/>
      <c r="Q1716" s="39"/>
      <c r="R1716" s="39"/>
      <c r="S1716" s="39"/>
      <c r="T1716" s="39"/>
      <c r="U1716" s="39"/>
      <c r="V1716" s="39"/>
      <c r="W1716" s="39"/>
      <c r="X1716" s="39"/>
      <c r="Y1716" s="51"/>
      <c r="Z1716" s="51"/>
      <c r="AA1716"/>
      <c r="AB1716"/>
      <c r="AC1716"/>
      <c r="AD1716"/>
      <c r="AE1716"/>
      <c r="AF1716"/>
      <c r="AG1716"/>
      <c r="AH1716"/>
      <c r="AI1716"/>
      <c r="AJ1716" s="185"/>
      <c r="AK1716" s="185"/>
      <c r="AL1716" s="185"/>
      <c r="AM1716" s="185"/>
      <c r="AN1716"/>
      <c r="AO1716" s="1"/>
      <c r="AP1716" s="1"/>
      <c r="AQ1716" s="1"/>
      <c r="AR1716" s="1"/>
      <c r="AS1716"/>
      <c r="AT1716"/>
      <c r="AU1716"/>
      <c r="AV1716"/>
      <c r="AW1716"/>
      <c r="AX1716"/>
      <c r="AY1716"/>
      <c r="AZ1716" s="1"/>
      <c r="BA1716"/>
      <c r="BB1716"/>
      <c r="BC1716"/>
      <c r="BD1716"/>
      <c r="BE1716"/>
      <c r="BF1716" s="1"/>
      <c r="BG1716"/>
      <c r="BH1716"/>
      <c r="BI1716"/>
      <c r="BJ1716"/>
      <c r="BK1716"/>
      <c r="BL1716"/>
      <c r="BM1716"/>
      <c r="BN1716"/>
      <c r="BO1716"/>
    </row>
    <row r="1717" spans="8:67" s="2" customFormat="1">
      <c r="H1717" s="202"/>
      <c r="I1717" s="10"/>
      <c r="J1717" s="10"/>
      <c r="K1717" s="10"/>
      <c r="L1717" s="20"/>
      <c r="M1717" s="31"/>
      <c r="N1717" s="39"/>
      <c r="O1717" s="39"/>
      <c r="P1717" s="39"/>
      <c r="Q1717" s="39"/>
      <c r="R1717" s="39"/>
      <c r="S1717" s="39"/>
      <c r="T1717" s="39"/>
      <c r="U1717" s="39"/>
      <c r="V1717" s="39"/>
      <c r="W1717" s="39"/>
      <c r="X1717" s="39"/>
      <c r="Y1717" s="51"/>
      <c r="Z1717" s="51"/>
      <c r="AA1717"/>
      <c r="AB1717"/>
      <c r="AC1717"/>
      <c r="AD1717"/>
      <c r="AE1717"/>
      <c r="AF1717"/>
      <c r="AG1717"/>
      <c r="AH1717"/>
      <c r="AI1717"/>
      <c r="AJ1717" s="185"/>
      <c r="AK1717" s="185"/>
      <c r="AL1717" s="185"/>
      <c r="AM1717" s="185"/>
      <c r="AN1717"/>
      <c r="AO1717" s="1"/>
      <c r="AP1717" s="1"/>
      <c r="AQ1717" s="1"/>
      <c r="AR1717" s="1"/>
      <c r="AS1717"/>
      <c r="AT1717"/>
      <c r="AU1717"/>
      <c r="AV1717"/>
      <c r="AW1717"/>
      <c r="AX1717"/>
      <c r="AY1717"/>
      <c r="AZ1717" s="1"/>
      <c r="BA1717"/>
      <c r="BB1717"/>
      <c r="BC1717"/>
      <c r="BD1717"/>
      <c r="BE1717"/>
      <c r="BF1717" s="1"/>
      <c r="BG1717"/>
      <c r="BH1717"/>
      <c r="BI1717"/>
      <c r="BJ1717"/>
      <c r="BK1717"/>
      <c r="BL1717"/>
      <c r="BM1717"/>
      <c r="BN1717"/>
      <c r="BO1717"/>
    </row>
    <row r="1718" spans="8:67" s="2" customFormat="1">
      <c r="H1718" s="202"/>
      <c r="I1718" s="10"/>
      <c r="J1718" s="10"/>
      <c r="K1718" s="10"/>
      <c r="L1718" s="20"/>
      <c r="M1718" s="31"/>
      <c r="N1718" s="39"/>
      <c r="O1718" s="39"/>
      <c r="P1718" s="39"/>
      <c r="Q1718" s="39"/>
      <c r="R1718" s="39"/>
      <c r="S1718" s="39"/>
      <c r="T1718" s="39"/>
      <c r="U1718" s="39"/>
      <c r="V1718" s="39"/>
      <c r="W1718" s="39"/>
      <c r="X1718" s="39"/>
      <c r="Y1718" s="51"/>
      <c r="Z1718" s="51"/>
      <c r="AA1718"/>
      <c r="AB1718"/>
      <c r="AC1718"/>
      <c r="AD1718"/>
      <c r="AE1718"/>
      <c r="AF1718"/>
      <c r="AG1718"/>
      <c r="AH1718"/>
      <c r="AI1718"/>
      <c r="AJ1718" s="185"/>
      <c r="AK1718" s="185"/>
      <c r="AL1718" s="185"/>
      <c r="AM1718" s="185"/>
      <c r="AN1718"/>
      <c r="AO1718" s="1"/>
      <c r="AP1718" s="1"/>
      <c r="AQ1718" s="1"/>
      <c r="AR1718" s="1"/>
      <c r="AS1718"/>
      <c r="AT1718"/>
      <c r="AU1718"/>
      <c r="AV1718"/>
      <c r="AW1718"/>
      <c r="AX1718"/>
      <c r="AY1718"/>
      <c r="AZ1718" s="1"/>
      <c r="BA1718"/>
      <c r="BB1718"/>
      <c r="BC1718"/>
      <c r="BD1718"/>
      <c r="BE1718"/>
      <c r="BF1718" s="1"/>
      <c r="BG1718"/>
      <c r="BH1718"/>
      <c r="BI1718"/>
      <c r="BJ1718"/>
      <c r="BK1718"/>
      <c r="BL1718"/>
      <c r="BM1718"/>
      <c r="BN1718"/>
      <c r="BO1718"/>
    </row>
    <row r="1719" spans="8:67" s="2" customFormat="1">
      <c r="H1719" s="202"/>
      <c r="I1719" s="10"/>
      <c r="J1719" s="10"/>
      <c r="K1719" s="10"/>
      <c r="L1719" s="20"/>
      <c r="M1719" s="31"/>
      <c r="N1719" s="39"/>
      <c r="O1719" s="39"/>
      <c r="P1719" s="39"/>
      <c r="Q1719" s="39"/>
      <c r="R1719" s="39"/>
      <c r="S1719" s="39"/>
      <c r="T1719" s="39"/>
      <c r="U1719" s="39"/>
      <c r="V1719" s="39"/>
      <c r="W1719" s="39"/>
      <c r="X1719" s="39"/>
      <c r="Y1719" s="51"/>
      <c r="Z1719" s="51"/>
      <c r="AA1719"/>
      <c r="AB1719"/>
      <c r="AC1719"/>
      <c r="AD1719"/>
      <c r="AE1719"/>
      <c r="AF1719"/>
      <c r="AG1719"/>
      <c r="AH1719"/>
      <c r="AI1719"/>
      <c r="AJ1719" s="185"/>
      <c r="AK1719" s="185"/>
      <c r="AL1719" s="185"/>
      <c r="AM1719" s="185"/>
      <c r="AN1719"/>
      <c r="AO1719" s="1"/>
      <c r="AP1719" s="1"/>
      <c r="AQ1719" s="1"/>
      <c r="AR1719" s="1"/>
      <c r="AS1719"/>
      <c r="AT1719"/>
      <c r="AU1719"/>
      <c r="AV1719"/>
      <c r="AW1719"/>
      <c r="AX1719"/>
      <c r="AY1719"/>
      <c r="AZ1719" s="1"/>
      <c r="BA1719"/>
      <c r="BB1719"/>
      <c r="BC1719"/>
      <c r="BD1719"/>
      <c r="BE1719"/>
      <c r="BF1719" s="1"/>
      <c r="BG1719"/>
      <c r="BH1719"/>
      <c r="BI1719"/>
      <c r="BJ1719"/>
      <c r="BK1719"/>
      <c r="BL1719"/>
      <c r="BM1719"/>
      <c r="BN1719"/>
      <c r="BO1719"/>
    </row>
    <row r="1720" spans="8:67" s="2" customFormat="1">
      <c r="H1720" s="202"/>
      <c r="I1720" s="10"/>
      <c r="J1720" s="10"/>
      <c r="K1720" s="10"/>
      <c r="L1720" s="20"/>
      <c r="M1720" s="31"/>
      <c r="N1720" s="39"/>
      <c r="O1720" s="39"/>
      <c r="P1720" s="39"/>
      <c r="Q1720" s="39"/>
      <c r="R1720" s="39"/>
      <c r="S1720" s="39"/>
      <c r="T1720" s="39"/>
      <c r="U1720" s="39"/>
      <c r="V1720" s="39"/>
      <c r="W1720" s="39"/>
      <c r="X1720" s="39"/>
      <c r="Y1720" s="51"/>
      <c r="Z1720" s="51"/>
      <c r="AA1720"/>
      <c r="AB1720"/>
      <c r="AC1720"/>
      <c r="AD1720"/>
      <c r="AE1720"/>
      <c r="AF1720"/>
      <c r="AG1720"/>
      <c r="AH1720"/>
      <c r="AI1720"/>
      <c r="AJ1720" s="185"/>
      <c r="AK1720" s="185"/>
      <c r="AL1720" s="185"/>
      <c r="AM1720" s="185"/>
      <c r="AN1720"/>
      <c r="AO1720" s="1"/>
      <c r="AP1720" s="1"/>
      <c r="AQ1720" s="1"/>
      <c r="AR1720" s="1"/>
      <c r="AS1720"/>
      <c r="AT1720"/>
      <c r="AU1720"/>
      <c r="AV1720"/>
      <c r="AW1720"/>
      <c r="AX1720"/>
      <c r="AY1720"/>
      <c r="AZ1720" s="1"/>
      <c r="BA1720"/>
      <c r="BB1720"/>
      <c r="BC1720"/>
      <c r="BD1720"/>
      <c r="BE1720"/>
      <c r="BF1720" s="1"/>
      <c r="BG1720"/>
      <c r="BH1720"/>
      <c r="BI1720"/>
      <c r="BJ1720"/>
      <c r="BK1720"/>
      <c r="BL1720"/>
      <c r="BM1720"/>
      <c r="BN1720"/>
      <c r="BO1720"/>
    </row>
    <row r="1721" spans="8:67" s="2" customFormat="1">
      <c r="H1721" s="202"/>
      <c r="I1721" s="10"/>
      <c r="J1721" s="10"/>
      <c r="K1721" s="10"/>
      <c r="L1721" s="20"/>
      <c r="M1721" s="31"/>
      <c r="N1721" s="39"/>
      <c r="O1721" s="39"/>
      <c r="P1721" s="39"/>
      <c r="Q1721" s="39"/>
      <c r="R1721" s="39"/>
      <c r="S1721" s="39"/>
      <c r="T1721" s="39"/>
      <c r="U1721" s="39"/>
      <c r="V1721" s="39"/>
      <c r="W1721" s="39"/>
      <c r="X1721" s="39"/>
      <c r="Y1721" s="51"/>
      <c r="Z1721" s="51"/>
      <c r="AA1721"/>
      <c r="AB1721"/>
      <c r="AC1721"/>
      <c r="AD1721"/>
      <c r="AE1721"/>
      <c r="AF1721"/>
      <c r="AG1721"/>
      <c r="AH1721"/>
      <c r="AI1721"/>
      <c r="AJ1721" s="185"/>
      <c r="AK1721" s="185"/>
      <c r="AL1721" s="185"/>
      <c r="AM1721" s="185"/>
      <c r="AN1721"/>
      <c r="AO1721" s="1"/>
      <c r="AP1721" s="1"/>
      <c r="AQ1721" s="1"/>
      <c r="AR1721" s="1"/>
      <c r="AS1721"/>
      <c r="AT1721"/>
      <c r="AU1721"/>
      <c r="AV1721"/>
      <c r="AW1721"/>
      <c r="AX1721"/>
      <c r="AY1721"/>
      <c r="AZ1721" s="1"/>
      <c r="BA1721"/>
      <c r="BB1721"/>
      <c r="BC1721"/>
      <c r="BD1721"/>
      <c r="BE1721"/>
      <c r="BF1721" s="1"/>
      <c r="BG1721"/>
      <c r="BH1721"/>
      <c r="BI1721"/>
      <c r="BJ1721"/>
      <c r="BK1721"/>
      <c r="BL1721"/>
      <c r="BM1721"/>
      <c r="BN1721"/>
      <c r="BO1721"/>
    </row>
    <row r="1722" spans="8:67" s="2" customFormat="1">
      <c r="H1722" s="202"/>
      <c r="I1722" s="10"/>
      <c r="J1722" s="10"/>
      <c r="K1722" s="10"/>
      <c r="L1722" s="20"/>
      <c r="M1722" s="31"/>
      <c r="N1722" s="39"/>
      <c r="O1722" s="39"/>
      <c r="P1722" s="39"/>
      <c r="Q1722" s="39"/>
      <c r="R1722" s="39"/>
      <c r="S1722" s="39"/>
      <c r="T1722" s="39"/>
      <c r="U1722" s="39"/>
      <c r="V1722" s="39"/>
      <c r="W1722" s="39"/>
      <c r="X1722" s="39"/>
      <c r="Y1722" s="51"/>
      <c r="Z1722" s="51"/>
      <c r="AA1722"/>
      <c r="AB1722"/>
      <c r="AC1722"/>
      <c r="AD1722"/>
      <c r="AE1722"/>
      <c r="AF1722"/>
      <c r="AG1722"/>
      <c r="AH1722"/>
      <c r="AI1722"/>
      <c r="AJ1722" s="185"/>
      <c r="AK1722" s="185"/>
      <c r="AL1722" s="185"/>
      <c r="AM1722" s="185"/>
      <c r="AN1722"/>
      <c r="AO1722" s="1"/>
      <c r="AP1722" s="1"/>
      <c r="AQ1722" s="1"/>
      <c r="AR1722" s="1"/>
      <c r="AS1722"/>
      <c r="AT1722"/>
      <c r="AU1722"/>
      <c r="AV1722"/>
      <c r="AW1722"/>
      <c r="AX1722"/>
      <c r="AY1722"/>
      <c r="AZ1722" s="1"/>
      <c r="BA1722"/>
      <c r="BB1722"/>
      <c r="BC1722"/>
      <c r="BD1722"/>
      <c r="BE1722"/>
      <c r="BF1722" s="1"/>
      <c r="BG1722"/>
      <c r="BH1722"/>
      <c r="BI1722"/>
      <c r="BJ1722"/>
      <c r="BK1722"/>
      <c r="BL1722"/>
      <c r="BM1722"/>
      <c r="BN1722"/>
      <c r="BO1722"/>
    </row>
    <row r="1723" spans="8:67" s="2" customFormat="1">
      <c r="H1723" s="202"/>
      <c r="I1723" s="10"/>
      <c r="J1723" s="10"/>
      <c r="K1723" s="10"/>
      <c r="L1723" s="20"/>
      <c r="M1723" s="31"/>
      <c r="N1723" s="39"/>
      <c r="O1723" s="39"/>
      <c r="P1723" s="39"/>
      <c r="Q1723" s="39"/>
      <c r="R1723" s="39"/>
      <c r="S1723" s="39"/>
      <c r="T1723" s="39"/>
      <c r="U1723" s="39"/>
      <c r="V1723" s="39"/>
      <c r="W1723" s="39"/>
      <c r="X1723" s="39"/>
      <c r="Y1723" s="51"/>
      <c r="Z1723" s="51"/>
      <c r="AA1723"/>
      <c r="AB1723"/>
      <c r="AC1723"/>
      <c r="AD1723"/>
      <c r="AE1723"/>
      <c r="AF1723"/>
      <c r="AG1723"/>
      <c r="AH1723"/>
      <c r="AI1723"/>
      <c r="AJ1723" s="185"/>
      <c r="AK1723" s="185"/>
      <c r="AL1723" s="185"/>
      <c r="AM1723" s="185"/>
      <c r="AN1723"/>
      <c r="AO1723" s="1"/>
      <c r="AP1723" s="1"/>
      <c r="AQ1723" s="1"/>
      <c r="AR1723" s="1"/>
      <c r="AS1723"/>
      <c r="AT1723"/>
      <c r="AU1723"/>
      <c r="AV1723"/>
      <c r="AW1723"/>
      <c r="AX1723"/>
      <c r="AY1723"/>
      <c r="AZ1723" s="1"/>
      <c r="BA1723"/>
      <c r="BB1723"/>
      <c r="BC1723"/>
      <c r="BD1723"/>
      <c r="BE1723"/>
      <c r="BF1723" s="1"/>
      <c r="BG1723"/>
      <c r="BH1723"/>
      <c r="BI1723"/>
      <c r="BJ1723"/>
      <c r="BK1723"/>
      <c r="BL1723"/>
      <c r="BM1723"/>
      <c r="BN1723"/>
      <c r="BO1723"/>
    </row>
    <row r="1724" spans="8:67" s="2" customFormat="1">
      <c r="H1724" s="202"/>
      <c r="I1724" s="10"/>
      <c r="J1724" s="10"/>
      <c r="K1724" s="10"/>
      <c r="L1724" s="20"/>
      <c r="M1724" s="31"/>
      <c r="N1724" s="39"/>
      <c r="O1724" s="39"/>
      <c r="P1724" s="39"/>
      <c r="Q1724" s="39"/>
      <c r="R1724" s="39"/>
      <c r="S1724" s="39"/>
      <c r="T1724" s="39"/>
      <c r="U1724" s="39"/>
      <c r="V1724" s="39"/>
      <c r="W1724" s="39"/>
      <c r="X1724" s="39"/>
      <c r="Y1724" s="51"/>
      <c r="Z1724" s="51"/>
      <c r="AA1724"/>
      <c r="AB1724"/>
      <c r="AC1724"/>
      <c r="AD1724"/>
      <c r="AE1724"/>
      <c r="AF1724"/>
      <c r="AG1724"/>
      <c r="AH1724"/>
      <c r="AI1724"/>
      <c r="AJ1724" s="185"/>
      <c r="AK1724" s="185"/>
      <c r="AL1724" s="185"/>
      <c r="AM1724" s="185"/>
      <c r="AN1724"/>
      <c r="AO1724" s="1"/>
      <c r="AP1724" s="1"/>
      <c r="AQ1724" s="1"/>
      <c r="AR1724" s="1"/>
      <c r="AS1724"/>
      <c r="AT1724"/>
      <c r="AU1724"/>
      <c r="AV1724"/>
      <c r="AW1724"/>
      <c r="AX1724"/>
      <c r="AY1724"/>
      <c r="AZ1724" s="1"/>
      <c r="BA1724"/>
      <c r="BB1724"/>
      <c r="BC1724"/>
      <c r="BD1724"/>
      <c r="BE1724"/>
      <c r="BF1724" s="1"/>
      <c r="BG1724"/>
      <c r="BH1724"/>
      <c r="BI1724"/>
      <c r="BJ1724"/>
      <c r="BK1724"/>
      <c r="BL1724"/>
      <c r="BM1724"/>
      <c r="BN1724"/>
      <c r="BO1724"/>
    </row>
    <row r="1725" spans="8:67" s="2" customFormat="1">
      <c r="H1725" s="202"/>
      <c r="I1725" s="10"/>
      <c r="J1725" s="10"/>
      <c r="K1725" s="10"/>
      <c r="L1725" s="20"/>
      <c r="M1725" s="31"/>
      <c r="N1725" s="39"/>
      <c r="O1725" s="39"/>
      <c r="P1725" s="39"/>
      <c r="Q1725" s="39"/>
      <c r="R1725" s="39"/>
      <c r="S1725" s="39"/>
      <c r="T1725" s="39"/>
      <c r="U1725" s="39"/>
      <c r="V1725" s="39"/>
      <c r="W1725" s="39"/>
      <c r="X1725" s="39"/>
      <c r="Y1725" s="51"/>
      <c r="Z1725" s="51"/>
      <c r="AA1725"/>
      <c r="AB1725"/>
      <c r="AC1725"/>
      <c r="AD1725"/>
      <c r="AE1725"/>
      <c r="AF1725"/>
      <c r="AG1725"/>
      <c r="AH1725"/>
      <c r="AI1725"/>
      <c r="AJ1725" s="185"/>
      <c r="AK1725" s="185"/>
      <c r="AL1725" s="185"/>
      <c r="AM1725" s="185"/>
      <c r="AN1725"/>
      <c r="AO1725" s="1"/>
      <c r="AP1725" s="1"/>
      <c r="AQ1725" s="1"/>
      <c r="AR1725" s="1"/>
      <c r="AS1725"/>
      <c r="AT1725"/>
      <c r="AU1725"/>
      <c r="AV1725"/>
      <c r="AW1725"/>
      <c r="AX1725"/>
      <c r="AY1725"/>
      <c r="AZ1725" s="1"/>
      <c r="BA1725"/>
      <c r="BB1725"/>
      <c r="BC1725"/>
      <c r="BD1725"/>
      <c r="BE1725"/>
      <c r="BF1725" s="1"/>
      <c r="BG1725"/>
      <c r="BH1725"/>
      <c r="BI1725"/>
      <c r="BJ1725"/>
      <c r="BK1725"/>
      <c r="BL1725"/>
      <c r="BM1725"/>
      <c r="BN1725"/>
      <c r="BO1725"/>
    </row>
    <row r="1726" spans="8:67" s="2" customFormat="1">
      <c r="H1726" s="202"/>
      <c r="I1726" s="10"/>
      <c r="J1726" s="10"/>
      <c r="K1726" s="10"/>
      <c r="L1726" s="20"/>
      <c r="M1726" s="31"/>
      <c r="N1726" s="39"/>
      <c r="O1726" s="39"/>
      <c r="P1726" s="39"/>
      <c r="Q1726" s="39"/>
      <c r="R1726" s="39"/>
      <c r="S1726" s="39"/>
      <c r="T1726" s="39"/>
      <c r="U1726" s="39"/>
      <c r="V1726" s="39"/>
      <c r="W1726" s="39"/>
      <c r="X1726" s="39"/>
      <c r="Y1726" s="51"/>
      <c r="Z1726" s="51"/>
      <c r="AA1726"/>
      <c r="AB1726"/>
      <c r="AC1726"/>
      <c r="AD1726"/>
      <c r="AE1726"/>
      <c r="AF1726"/>
      <c r="AG1726"/>
      <c r="AH1726"/>
      <c r="AI1726"/>
      <c r="AJ1726" s="185"/>
      <c r="AK1726" s="185"/>
      <c r="AL1726" s="185"/>
      <c r="AM1726" s="185"/>
      <c r="AN1726"/>
      <c r="AO1726" s="1"/>
      <c r="AP1726" s="1"/>
      <c r="AQ1726" s="1"/>
      <c r="AR1726" s="1"/>
      <c r="AS1726"/>
      <c r="AT1726"/>
      <c r="AU1726"/>
      <c r="AV1726"/>
      <c r="AW1726"/>
      <c r="AX1726"/>
      <c r="AY1726"/>
      <c r="AZ1726" s="1"/>
      <c r="BA1726"/>
      <c r="BB1726"/>
      <c r="BC1726"/>
      <c r="BD1726"/>
      <c r="BE1726"/>
      <c r="BF1726" s="1"/>
      <c r="BG1726"/>
      <c r="BH1726"/>
      <c r="BI1726"/>
      <c r="BJ1726"/>
      <c r="BK1726"/>
      <c r="BL1726"/>
      <c r="BM1726"/>
      <c r="BN1726"/>
      <c r="BO1726"/>
    </row>
    <row r="1727" spans="8:67" s="2" customFormat="1">
      <c r="H1727" s="202"/>
      <c r="I1727" s="10"/>
      <c r="J1727" s="10"/>
      <c r="K1727" s="10"/>
      <c r="L1727" s="20"/>
      <c r="M1727" s="31"/>
      <c r="N1727" s="39"/>
      <c r="O1727" s="39"/>
      <c r="P1727" s="39"/>
      <c r="Q1727" s="39"/>
      <c r="R1727" s="39"/>
      <c r="S1727" s="39"/>
      <c r="T1727" s="39"/>
      <c r="U1727" s="39"/>
      <c r="V1727" s="39"/>
      <c r="W1727" s="39"/>
      <c r="X1727" s="39"/>
      <c r="Y1727" s="51"/>
      <c r="Z1727" s="51"/>
      <c r="AA1727"/>
      <c r="AB1727"/>
      <c r="AC1727"/>
      <c r="AD1727"/>
      <c r="AE1727"/>
      <c r="AF1727"/>
      <c r="AG1727"/>
      <c r="AH1727"/>
      <c r="AI1727"/>
      <c r="AJ1727" s="185"/>
      <c r="AK1727" s="185"/>
      <c r="AL1727" s="185"/>
      <c r="AM1727" s="185"/>
      <c r="AN1727"/>
      <c r="AO1727" s="1"/>
      <c r="AP1727" s="1"/>
      <c r="AQ1727" s="1"/>
      <c r="AR1727" s="1"/>
      <c r="AS1727"/>
      <c r="AT1727"/>
      <c r="AU1727"/>
      <c r="AV1727"/>
      <c r="AW1727"/>
      <c r="AX1727"/>
      <c r="AY1727"/>
      <c r="AZ1727" s="1"/>
      <c r="BA1727"/>
      <c r="BB1727"/>
      <c r="BC1727"/>
      <c r="BD1727"/>
      <c r="BE1727"/>
      <c r="BF1727" s="1"/>
      <c r="BG1727"/>
      <c r="BH1727"/>
      <c r="BI1727"/>
      <c r="BJ1727"/>
      <c r="BK1727"/>
      <c r="BL1727"/>
      <c r="BM1727"/>
      <c r="BN1727"/>
      <c r="BO1727"/>
    </row>
    <row r="1728" spans="8:67" s="2" customFormat="1">
      <c r="H1728" s="202"/>
      <c r="I1728" s="10"/>
      <c r="J1728" s="10"/>
      <c r="K1728" s="10"/>
      <c r="L1728" s="20"/>
      <c r="M1728" s="31"/>
      <c r="N1728" s="39"/>
      <c r="O1728" s="39"/>
      <c r="P1728" s="39"/>
      <c r="Q1728" s="39"/>
      <c r="R1728" s="39"/>
      <c r="S1728" s="39"/>
      <c r="T1728" s="39"/>
      <c r="U1728" s="39"/>
      <c r="V1728" s="39"/>
      <c r="W1728" s="39"/>
      <c r="X1728" s="39"/>
      <c r="Y1728" s="51"/>
      <c r="Z1728" s="51"/>
      <c r="AA1728"/>
      <c r="AB1728"/>
      <c r="AC1728"/>
      <c r="AD1728"/>
      <c r="AE1728"/>
      <c r="AF1728"/>
      <c r="AG1728"/>
      <c r="AH1728"/>
      <c r="AI1728"/>
      <c r="AJ1728" s="185"/>
      <c r="AK1728" s="185"/>
      <c r="AL1728" s="185"/>
      <c r="AM1728" s="185"/>
      <c r="AN1728"/>
      <c r="AO1728" s="1"/>
      <c r="AP1728" s="1"/>
      <c r="AQ1728" s="1"/>
      <c r="AR1728" s="1"/>
      <c r="AS1728"/>
      <c r="AT1728"/>
      <c r="AU1728"/>
      <c r="AV1728"/>
      <c r="AW1728"/>
      <c r="AX1728"/>
      <c r="AY1728"/>
      <c r="AZ1728" s="1"/>
      <c r="BA1728"/>
      <c r="BB1728"/>
      <c r="BC1728"/>
      <c r="BD1728"/>
      <c r="BE1728"/>
      <c r="BF1728" s="1"/>
      <c r="BG1728"/>
      <c r="BH1728"/>
      <c r="BI1728"/>
      <c r="BJ1728"/>
      <c r="BK1728"/>
      <c r="BL1728"/>
      <c r="BM1728"/>
      <c r="BN1728"/>
      <c r="BO1728"/>
    </row>
    <row r="1729" spans="8:67" s="2" customFormat="1">
      <c r="H1729" s="202"/>
      <c r="I1729" s="10"/>
      <c r="J1729" s="10"/>
      <c r="K1729" s="10"/>
      <c r="L1729" s="20"/>
      <c r="M1729" s="31"/>
      <c r="N1729" s="39"/>
      <c r="O1729" s="39"/>
      <c r="P1729" s="39"/>
      <c r="Q1729" s="39"/>
      <c r="R1729" s="39"/>
      <c r="S1729" s="39"/>
      <c r="T1729" s="39"/>
      <c r="U1729" s="39"/>
      <c r="V1729" s="39"/>
      <c r="W1729" s="39"/>
      <c r="X1729" s="39"/>
      <c r="Y1729" s="51"/>
      <c r="Z1729" s="51"/>
      <c r="AA1729"/>
      <c r="AB1729"/>
      <c r="AC1729"/>
      <c r="AD1729"/>
      <c r="AE1729"/>
      <c r="AF1729"/>
      <c r="AG1729"/>
      <c r="AH1729"/>
      <c r="AI1729"/>
      <c r="AJ1729" s="185"/>
      <c r="AK1729" s="185"/>
      <c r="AL1729" s="185"/>
      <c r="AM1729" s="185"/>
      <c r="AN1729"/>
      <c r="AO1729" s="1"/>
      <c r="AP1729" s="1"/>
      <c r="AQ1729" s="1"/>
      <c r="AR1729" s="1"/>
      <c r="AS1729"/>
      <c r="AT1729"/>
      <c r="AU1729"/>
      <c r="AV1729"/>
      <c r="AW1729"/>
      <c r="AX1729"/>
      <c r="AY1729"/>
      <c r="AZ1729" s="1"/>
      <c r="BA1729"/>
      <c r="BB1729"/>
      <c r="BC1729"/>
      <c r="BD1729"/>
      <c r="BE1729"/>
      <c r="BF1729" s="1"/>
      <c r="BG1729"/>
      <c r="BH1729"/>
      <c r="BI1729"/>
      <c r="BJ1729"/>
      <c r="BK1729"/>
      <c r="BL1729"/>
      <c r="BM1729"/>
      <c r="BN1729"/>
      <c r="BO1729"/>
    </row>
    <row r="1730" spans="8:67" s="2" customFormat="1">
      <c r="H1730" s="202"/>
      <c r="I1730" s="10"/>
      <c r="J1730" s="10"/>
      <c r="K1730" s="10"/>
      <c r="L1730" s="20"/>
      <c r="M1730" s="31"/>
      <c r="N1730" s="39"/>
      <c r="O1730" s="39"/>
      <c r="P1730" s="39"/>
      <c r="Q1730" s="39"/>
      <c r="R1730" s="39"/>
      <c r="S1730" s="39"/>
      <c r="T1730" s="39"/>
      <c r="U1730" s="39"/>
      <c r="V1730" s="39"/>
      <c r="W1730" s="39"/>
      <c r="X1730" s="39"/>
      <c r="Y1730" s="51"/>
      <c r="Z1730" s="51"/>
      <c r="AA1730"/>
      <c r="AB1730"/>
      <c r="AC1730"/>
      <c r="AD1730"/>
      <c r="AE1730"/>
      <c r="AF1730"/>
      <c r="AG1730"/>
      <c r="AH1730"/>
      <c r="AI1730"/>
      <c r="AJ1730" s="185"/>
      <c r="AK1730" s="185"/>
      <c r="AL1730" s="185"/>
      <c r="AM1730" s="185"/>
      <c r="AN1730"/>
      <c r="AO1730" s="1"/>
      <c r="AP1730" s="1"/>
      <c r="AQ1730" s="1"/>
      <c r="AR1730" s="1"/>
      <c r="AS1730"/>
      <c r="AT1730"/>
      <c r="AU1730"/>
      <c r="AV1730"/>
      <c r="AW1730"/>
      <c r="AX1730"/>
      <c r="AY1730"/>
      <c r="AZ1730" s="1"/>
      <c r="BA1730"/>
      <c r="BB1730"/>
      <c r="BC1730"/>
      <c r="BD1730"/>
      <c r="BE1730"/>
      <c r="BF1730" s="1"/>
      <c r="BG1730"/>
      <c r="BH1730"/>
      <c r="BI1730"/>
      <c r="BJ1730"/>
      <c r="BK1730"/>
      <c r="BL1730"/>
      <c r="BM1730"/>
      <c r="BN1730"/>
      <c r="BO1730"/>
    </row>
    <row r="1731" spans="8:67" s="2" customFormat="1">
      <c r="H1731" s="202"/>
      <c r="I1731" s="10"/>
      <c r="J1731" s="10"/>
      <c r="K1731" s="10"/>
      <c r="L1731" s="20"/>
      <c r="M1731" s="31"/>
      <c r="N1731" s="39"/>
      <c r="O1731" s="39"/>
      <c r="P1731" s="39"/>
      <c r="Q1731" s="39"/>
      <c r="R1731" s="39"/>
      <c r="S1731" s="39"/>
      <c r="T1731" s="39"/>
      <c r="U1731" s="39"/>
      <c r="V1731" s="39"/>
      <c r="W1731" s="39"/>
      <c r="X1731" s="39"/>
      <c r="Y1731" s="51"/>
      <c r="Z1731" s="51"/>
      <c r="AA1731"/>
      <c r="AB1731"/>
      <c r="AC1731"/>
      <c r="AD1731"/>
      <c r="AE1731"/>
      <c r="AF1731"/>
      <c r="AG1731"/>
      <c r="AH1731"/>
      <c r="AI1731"/>
      <c r="AJ1731" s="185"/>
      <c r="AK1731" s="185"/>
      <c r="AL1731" s="185"/>
      <c r="AM1731" s="185"/>
      <c r="AN1731"/>
      <c r="AO1731" s="1"/>
      <c r="AP1731" s="1"/>
      <c r="AQ1731" s="1"/>
      <c r="AR1731" s="1"/>
      <c r="AS1731"/>
      <c r="AT1731"/>
      <c r="AU1731"/>
      <c r="AV1731"/>
      <c r="AW1731"/>
      <c r="AX1731"/>
      <c r="AY1731"/>
      <c r="AZ1731" s="1"/>
      <c r="BA1731"/>
      <c r="BB1731"/>
      <c r="BC1731"/>
      <c r="BD1731"/>
      <c r="BE1731"/>
      <c r="BF1731" s="1"/>
      <c r="BG1731"/>
      <c r="BH1731"/>
      <c r="BI1731"/>
      <c r="BJ1731"/>
      <c r="BK1731"/>
      <c r="BL1731"/>
      <c r="BM1731"/>
      <c r="BN1731"/>
      <c r="BO1731"/>
    </row>
    <row r="1732" spans="8:67" s="2" customFormat="1">
      <c r="H1732" s="202"/>
      <c r="I1732" s="10"/>
      <c r="J1732" s="10"/>
      <c r="K1732" s="10"/>
      <c r="L1732" s="20"/>
      <c r="M1732" s="31"/>
      <c r="N1732" s="39"/>
      <c r="O1732" s="39"/>
      <c r="P1732" s="39"/>
      <c r="Q1732" s="39"/>
      <c r="R1732" s="39"/>
      <c r="S1732" s="39"/>
      <c r="T1732" s="39"/>
      <c r="U1732" s="39"/>
      <c r="V1732" s="39"/>
      <c r="W1732" s="39"/>
      <c r="X1732" s="39"/>
      <c r="Y1732" s="51"/>
      <c r="Z1732" s="51"/>
      <c r="AA1732"/>
      <c r="AB1732"/>
      <c r="AC1732"/>
      <c r="AD1732"/>
      <c r="AE1732"/>
      <c r="AF1732"/>
      <c r="AG1732"/>
      <c r="AH1732"/>
      <c r="AI1732"/>
      <c r="AJ1732" s="185"/>
      <c r="AK1732" s="185"/>
      <c r="AL1732" s="185"/>
      <c r="AM1732" s="185"/>
      <c r="AN1732"/>
      <c r="AO1732" s="1"/>
      <c r="AP1732" s="1"/>
      <c r="AQ1732" s="1"/>
      <c r="AR1732" s="1"/>
      <c r="AS1732"/>
      <c r="AT1732"/>
      <c r="AU1732"/>
      <c r="AV1732"/>
      <c r="AW1732"/>
      <c r="AX1732"/>
      <c r="AY1732"/>
      <c r="AZ1732" s="1"/>
      <c r="BA1732"/>
      <c r="BB1732"/>
      <c r="BC1732"/>
      <c r="BD1732"/>
      <c r="BE1732"/>
      <c r="BF1732" s="1"/>
      <c r="BG1732"/>
      <c r="BH1732"/>
      <c r="BI1732"/>
      <c r="BJ1732"/>
      <c r="BK1732"/>
      <c r="BL1732"/>
      <c r="BM1732"/>
      <c r="BN1732"/>
      <c r="BO1732"/>
    </row>
    <row r="1733" spans="8:67" s="2" customFormat="1">
      <c r="H1733" s="202"/>
      <c r="I1733" s="10"/>
      <c r="J1733" s="10"/>
      <c r="K1733" s="10"/>
      <c r="L1733" s="20"/>
      <c r="M1733" s="31"/>
      <c r="N1733" s="39"/>
      <c r="O1733" s="39"/>
      <c r="P1733" s="39"/>
      <c r="Q1733" s="39"/>
      <c r="R1733" s="39"/>
      <c r="S1733" s="39"/>
      <c r="T1733" s="39"/>
      <c r="U1733" s="39"/>
      <c r="V1733" s="39"/>
      <c r="W1733" s="39"/>
      <c r="X1733" s="39"/>
      <c r="Y1733" s="51"/>
      <c r="Z1733" s="51"/>
      <c r="AA1733"/>
      <c r="AB1733"/>
      <c r="AC1733"/>
      <c r="AD1733"/>
      <c r="AE1733"/>
      <c r="AF1733"/>
      <c r="AG1733"/>
      <c r="AH1733"/>
      <c r="AI1733"/>
      <c r="AJ1733" s="185"/>
      <c r="AK1733" s="185"/>
      <c r="AL1733" s="185"/>
      <c r="AM1733" s="185"/>
      <c r="AN1733"/>
      <c r="AO1733" s="1"/>
      <c r="AP1733" s="1"/>
      <c r="AQ1733" s="1"/>
      <c r="AR1733" s="1"/>
      <c r="AS1733"/>
      <c r="AT1733"/>
      <c r="AU1733"/>
      <c r="AV1733"/>
      <c r="AW1733"/>
      <c r="AX1733"/>
      <c r="AY1733"/>
      <c r="AZ1733" s="1"/>
      <c r="BA1733"/>
      <c r="BB1733"/>
      <c r="BC1733"/>
      <c r="BD1733"/>
      <c r="BE1733"/>
      <c r="BF1733" s="1"/>
      <c r="BG1733"/>
      <c r="BH1733"/>
      <c r="BI1733"/>
      <c r="BJ1733"/>
      <c r="BK1733"/>
      <c r="BL1733"/>
      <c r="BM1733"/>
      <c r="BN1733"/>
      <c r="BO1733"/>
    </row>
    <row r="1734" spans="8:67" s="2" customFormat="1">
      <c r="H1734" s="202"/>
      <c r="I1734" s="10"/>
      <c r="J1734" s="10"/>
      <c r="K1734" s="10"/>
      <c r="L1734" s="20"/>
      <c r="M1734" s="31"/>
      <c r="N1734" s="39"/>
      <c r="O1734" s="39"/>
      <c r="P1734" s="39"/>
      <c r="Q1734" s="39"/>
      <c r="R1734" s="39"/>
      <c r="S1734" s="39"/>
      <c r="T1734" s="39"/>
      <c r="U1734" s="39"/>
      <c r="V1734" s="39"/>
      <c r="W1734" s="39"/>
      <c r="X1734" s="39"/>
      <c r="Y1734" s="51"/>
      <c r="Z1734" s="51"/>
      <c r="AA1734"/>
      <c r="AB1734"/>
      <c r="AC1734"/>
      <c r="AD1734"/>
      <c r="AE1734"/>
      <c r="AF1734"/>
      <c r="AG1734"/>
      <c r="AH1734"/>
      <c r="AI1734"/>
      <c r="AJ1734" s="185"/>
      <c r="AK1734" s="185"/>
      <c r="AL1734" s="185"/>
      <c r="AM1734" s="185"/>
      <c r="AN1734"/>
      <c r="AO1734" s="1"/>
      <c r="AP1734" s="1"/>
      <c r="AQ1734" s="1"/>
      <c r="AR1734" s="1"/>
      <c r="AS1734"/>
      <c r="AT1734"/>
      <c r="AU1734"/>
      <c r="AV1734"/>
      <c r="AW1734"/>
      <c r="AX1734"/>
      <c r="AY1734"/>
      <c r="AZ1734" s="1"/>
      <c r="BA1734"/>
      <c r="BB1734"/>
      <c r="BC1734"/>
      <c r="BD1734"/>
      <c r="BE1734"/>
      <c r="BF1734" s="1"/>
      <c r="BG1734"/>
      <c r="BH1734"/>
      <c r="BI1734"/>
      <c r="BJ1734"/>
      <c r="BK1734"/>
      <c r="BL1734"/>
      <c r="BM1734"/>
      <c r="BN1734"/>
      <c r="BO1734"/>
    </row>
    <row r="1735" spans="8:67" s="2" customFormat="1">
      <c r="H1735" s="202"/>
      <c r="I1735" s="10"/>
      <c r="J1735" s="10"/>
      <c r="K1735" s="10"/>
      <c r="L1735" s="20"/>
      <c r="M1735" s="31"/>
      <c r="N1735" s="39"/>
      <c r="O1735" s="39"/>
      <c r="P1735" s="39"/>
      <c r="Q1735" s="39"/>
      <c r="R1735" s="39"/>
      <c r="S1735" s="39"/>
      <c r="T1735" s="39"/>
      <c r="U1735" s="39"/>
      <c r="V1735" s="39"/>
      <c r="W1735" s="39"/>
      <c r="X1735" s="39"/>
      <c r="Y1735" s="51"/>
      <c r="Z1735" s="51"/>
      <c r="AA1735"/>
      <c r="AB1735"/>
      <c r="AC1735"/>
      <c r="AD1735"/>
      <c r="AE1735"/>
      <c r="AF1735"/>
      <c r="AG1735"/>
      <c r="AH1735"/>
      <c r="AI1735"/>
      <c r="AJ1735" s="185"/>
      <c r="AK1735" s="185"/>
      <c r="AL1735" s="185"/>
      <c r="AM1735" s="185"/>
      <c r="AN1735"/>
      <c r="AO1735" s="1"/>
      <c r="AP1735" s="1"/>
      <c r="AQ1735" s="1"/>
      <c r="AR1735" s="1"/>
      <c r="AS1735"/>
      <c r="AT1735"/>
      <c r="AU1735"/>
      <c r="AV1735"/>
      <c r="AW1735"/>
      <c r="AX1735"/>
      <c r="AY1735"/>
      <c r="AZ1735" s="1"/>
      <c r="BA1735"/>
      <c r="BB1735"/>
      <c r="BC1735"/>
      <c r="BD1735"/>
      <c r="BE1735"/>
      <c r="BF1735" s="1"/>
      <c r="BG1735"/>
      <c r="BH1735"/>
      <c r="BI1735"/>
      <c r="BJ1735"/>
      <c r="BK1735"/>
      <c r="BL1735"/>
      <c r="BM1735"/>
      <c r="BN1735"/>
      <c r="BO1735"/>
    </row>
    <row r="1736" spans="8:67" s="2" customFormat="1">
      <c r="H1736" s="202"/>
      <c r="I1736" s="10"/>
      <c r="J1736" s="10"/>
      <c r="K1736" s="10"/>
      <c r="L1736" s="20"/>
      <c r="M1736" s="31"/>
      <c r="N1736" s="39"/>
      <c r="O1736" s="39"/>
      <c r="P1736" s="39"/>
      <c r="Q1736" s="39"/>
      <c r="R1736" s="39"/>
      <c r="S1736" s="39"/>
      <c r="T1736" s="39"/>
      <c r="U1736" s="39"/>
      <c r="V1736" s="39"/>
      <c r="W1736" s="39"/>
      <c r="X1736" s="39"/>
      <c r="Y1736" s="51"/>
      <c r="Z1736" s="51"/>
      <c r="AA1736"/>
      <c r="AB1736"/>
      <c r="AC1736"/>
      <c r="AD1736"/>
      <c r="AE1736"/>
      <c r="AF1736"/>
      <c r="AG1736"/>
      <c r="AH1736"/>
      <c r="AI1736"/>
      <c r="AJ1736" s="185"/>
      <c r="AK1736" s="185"/>
      <c r="AL1736" s="185"/>
      <c r="AM1736" s="185"/>
      <c r="AN1736"/>
      <c r="AO1736" s="1"/>
      <c r="AP1736" s="1"/>
      <c r="AQ1736" s="1"/>
      <c r="AR1736" s="1"/>
      <c r="AS1736"/>
      <c r="AT1736"/>
      <c r="AU1736"/>
      <c r="AV1736"/>
      <c r="AW1736"/>
      <c r="AX1736"/>
      <c r="AY1736"/>
      <c r="AZ1736" s="1"/>
      <c r="BA1736"/>
      <c r="BB1736"/>
      <c r="BC1736"/>
      <c r="BD1736"/>
      <c r="BE1736"/>
      <c r="BF1736" s="1"/>
      <c r="BG1736"/>
      <c r="BH1736"/>
      <c r="BI1736"/>
      <c r="BJ1736"/>
      <c r="BK1736"/>
      <c r="BL1736"/>
      <c r="BM1736"/>
      <c r="BN1736"/>
      <c r="BO1736"/>
    </row>
    <row r="1737" spans="8:67" s="2" customFormat="1">
      <c r="H1737" s="202"/>
      <c r="I1737" s="10"/>
      <c r="J1737" s="10"/>
      <c r="K1737" s="10"/>
      <c r="L1737" s="20"/>
      <c r="M1737" s="31"/>
      <c r="N1737" s="39"/>
      <c r="O1737" s="39"/>
      <c r="P1737" s="39"/>
      <c r="Q1737" s="39"/>
      <c r="R1737" s="39"/>
      <c r="S1737" s="39"/>
      <c r="T1737" s="39"/>
      <c r="U1737" s="39"/>
      <c r="V1737" s="39"/>
      <c r="W1737" s="39"/>
      <c r="X1737" s="39"/>
      <c r="Y1737" s="51"/>
      <c r="Z1737" s="51"/>
      <c r="AA1737"/>
      <c r="AB1737"/>
      <c r="AC1737"/>
      <c r="AD1737"/>
      <c r="AE1737"/>
      <c r="AF1737"/>
      <c r="AG1737"/>
      <c r="AH1737"/>
      <c r="AI1737"/>
      <c r="AJ1737" s="185"/>
      <c r="AK1737" s="185"/>
      <c r="AL1737" s="185"/>
      <c r="AM1737" s="185"/>
      <c r="AN1737"/>
      <c r="AO1737" s="1"/>
      <c r="AP1737" s="1"/>
      <c r="AQ1737" s="1"/>
      <c r="AR1737" s="1"/>
      <c r="AS1737"/>
      <c r="AT1737"/>
      <c r="AU1737"/>
      <c r="AV1737"/>
      <c r="AW1737"/>
      <c r="AX1737"/>
      <c r="AY1737"/>
      <c r="AZ1737" s="1"/>
      <c r="BA1737"/>
      <c r="BB1737"/>
      <c r="BC1737"/>
      <c r="BD1737"/>
      <c r="BE1737"/>
      <c r="BF1737" s="1"/>
      <c r="BG1737"/>
      <c r="BH1737"/>
      <c r="BI1737"/>
      <c r="BJ1737"/>
      <c r="BK1737"/>
      <c r="BL1737"/>
      <c r="BM1737"/>
      <c r="BN1737"/>
      <c r="BO1737"/>
    </row>
    <row r="1738" spans="8:67" s="2" customFormat="1">
      <c r="H1738" s="202"/>
      <c r="I1738" s="10"/>
      <c r="J1738" s="10"/>
      <c r="K1738" s="10"/>
      <c r="L1738" s="20"/>
      <c r="M1738" s="31"/>
      <c r="N1738" s="39"/>
      <c r="O1738" s="39"/>
      <c r="P1738" s="39"/>
      <c r="Q1738" s="39"/>
      <c r="R1738" s="39"/>
      <c r="S1738" s="39"/>
      <c r="T1738" s="39"/>
      <c r="U1738" s="39"/>
      <c r="V1738" s="39"/>
      <c r="W1738" s="39"/>
      <c r="X1738" s="39"/>
      <c r="Y1738" s="51"/>
      <c r="Z1738" s="51"/>
      <c r="AA1738"/>
      <c r="AB1738"/>
      <c r="AC1738"/>
      <c r="AD1738"/>
      <c r="AE1738"/>
      <c r="AF1738"/>
      <c r="AG1738"/>
      <c r="AH1738"/>
      <c r="AI1738"/>
      <c r="AJ1738" s="185"/>
      <c r="AK1738" s="185"/>
      <c r="AL1738" s="185"/>
      <c r="AM1738" s="185"/>
      <c r="AN1738"/>
      <c r="AO1738" s="1"/>
      <c r="AP1738" s="1"/>
      <c r="AQ1738" s="1"/>
      <c r="AR1738" s="1"/>
      <c r="AS1738"/>
      <c r="AT1738"/>
      <c r="AU1738"/>
      <c r="AV1738"/>
      <c r="AW1738"/>
      <c r="AX1738"/>
      <c r="AY1738"/>
      <c r="AZ1738" s="1"/>
      <c r="BA1738"/>
      <c r="BB1738"/>
      <c r="BC1738"/>
      <c r="BD1738"/>
      <c r="BE1738"/>
      <c r="BF1738" s="1"/>
      <c r="BG1738"/>
      <c r="BH1738"/>
      <c r="BI1738"/>
      <c r="BJ1738"/>
      <c r="BK1738"/>
      <c r="BL1738"/>
      <c r="BM1738"/>
      <c r="BN1738"/>
      <c r="BO1738"/>
    </row>
    <row r="1739" spans="8:67" s="2" customFormat="1">
      <c r="H1739" s="202"/>
      <c r="I1739" s="10"/>
      <c r="J1739" s="10"/>
      <c r="K1739" s="10"/>
      <c r="L1739" s="20"/>
      <c r="M1739" s="31"/>
      <c r="N1739" s="39"/>
      <c r="O1739" s="39"/>
      <c r="P1739" s="39"/>
      <c r="Q1739" s="39"/>
      <c r="R1739" s="39"/>
      <c r="S1739" s="39"/>
      <c r="T1739" s="39"/>
      <c r="U1739" s="39"/>
      <c r="V1739" s="39"/>
      <c r="W1739" s="39"/>
      <c r="X1739" s="39"/>
      <c r="Y1739" s="51"/>
      <c r="Z1739" s="51"/>
      <c r="AA1739"/>
      <c r="AB1739"/>
      <c r="AC1739"/>
      <c r="AD1739"/>
      <c r="AE1739"/>
      <c r="AF1739"/>
      <c r="AG1739"/>
      <c r="AH1739"/>
      <c r="AI1739"/>
      <c r="AJ1739" s="185"/>
      <c r="AK1739" s="185"/>
      <c r="AL1739" s="185"/>
      <c r="AM1739" s="185"/>
      <c r="AN1739"/>
      <c r="AO1739" s="1"/>
      <c r="AP1739" s="1"/>
      <c r="AQ1739" s="1"/>
      <c r="AR1739" s="1"/>
      <c r="AS1739"/>
      <c r="AT1739"/>
      <c r="AU1739"/>
      <c r="AV1739"/>
      <c r="AW1739"/>
      <c r="AX1739"/>
      <c r="AY1739"/>
      <c r="AZ1739" s="1"/>
      <c r="BA1739"/>
      <c r="BB1739"/>
      <c r="BC1739"/>
      <c r="BD1739"/>
      <c r="BE1739"/>
      <c r="BF1739" s="1"/>
      <c r="BG1739"/>
      <c r="BH1739"/>
      <c r="BI1739"/>
      <c r="BJ1739"/>
      <c r="BK1739"/>
      <c r="BL1739"/>
      <c r="BM1739"/>
      <c r="BN1739"/>
      <c r="BO1739"/>
    </row>
    <row r="1740" spans="8:67" s="2" customFormat="1">
      <c r="H1740" s="202"/>
      <c r="I1740" s="10"/>
      <c r="J1740" s="10"/>
      <c r="K1740" s="10"/>
      <c r="L1740" s="20"/>
      <c r="M1740" s="31"/>
      <c r="N1740" s="39"/>
      <c r="O1740" s="39"/>
      <c r="P1740" s="39"/>
      <c r="Q1740" s="39"/>
      <c r="R1740" s="39"/>
      <c r="S1740" s="39"/>
      <c r="T1740" s="39"/>
      <c r="U1740" s="39"/>
      <c r="V1740" s="39"/>
      <c r="W1740" s="39"/>
      <c r="X1740" s="39"/>
      <c r="Y1740" s="51"/>
      <c r="Z1740" s="51"/>
      <c r="AA1740"/>
      <c r="AB1740"/>
      <c r="AC1740"/>
      <c r="AD1740"/>
      <c r="AE1740"/>
      <c r="AF1740"/>
      <c r="AG1740"/>
      <c r="AH1740"/>
      <c r="AI1740"/>
      <c r="AJ1740" s="185"/>
      <c r="AK1740" s="185"/>
      <c r="AL1740" s="185"/>
      <c r="AM1740" s="185"/>
      <c r="AN1740"/>
      <c r="AO1740" s="1"/>
      <c r="AP1740" s="1"/>
      <c r="AQ1740" s="1"/>
      <c r="AR1740" s="1"/>
      <c r="AS1740"/>
      <c r="AT1740"/>
      <c r="AU1740"/>
      <c r="AV1740"/>
      <c r="AW1740"/>
      <c r="AX1740"/>
      <c r="AY1740"/>
      <c r="AZ1740" s="1"/>
      <c r="BA1740"/>
      <c r="BB1740"/>
      <c r="BC1740"/>
      <c r="BD1740"/>
      <c r="BE1740"/>
      <c r="BF1740" s="1"/>
      <c r="BG1740"/>
      <c r="BH1740"/>
      <c r="BI1740"/>
      <c r="BJ1740"/>
      <c r="BK1740"/>
      <c r="BL1740"/>
      <c r="BM1740"/>
      <c r="BN1740"/>
      <c r="BO1740"/>
    </row>
    <row r="1741" spans="8:67" s="2" customFormat="1">
      <c r="H1741" s="202"/>
      <c r="I1741" s="10"/>
      <c r="J1741" s="10"/>
      <c r="K1741" s="10"/>
      <c r="L1741" s="20"/>
      <c r="M1741" s="31"/>
      <c r="N1741" s="39"/>
      <c r="O1741" s="39"/>
      <c r="P1741" s="39"/>
      <c r="Q1741" s="39"/>
      <c r="R1741" s="39"/>
      <c r="S1741" s="39"/>
      <c r="T1741" s="39"/>
      <c r="U1741" s="39"/>
      <c r="V1741" s="39"/>
      <c r="W1741" s="39"/>
      <c r="X1741" s="39"/>
      <c r="Y1741" s="51"/>
      <c r="Z1741" s="51"/>
      <c r="AA1741"/>
      <c r="AB1741"/>
      <c r="AC1741"/>
      <c r="AD1741"/>
      <c r="AE1741"/>
      <c r="AF1741"/>
      <c r="AG1741"/>
      <c r="AH1741"/>
      <c r="AI1741"/>
      <c r="AJ1741" s="185"/>
      <c r="AK1741" s="185"/>
      <c r="AL1741" s="185"/>
      <c r="AM1741" s="185"/>
      <c r="AN1741"/>
      <c r="AO1741" s="1"/>
      <c r="AP1741" s="1"/>
      <c r="AQ1741" s="1"/>
      <c r="AR1741" s="1"/>
      <c r="AS1741"/>
      <c r="AT1741"/>
      <c r="AU1741"/>
      <c r="AV1741"/>
      <c r="AW1741"/>
      <c r="AX1741"/>
      <c r="AY1741"/>
      <c r="AZ1741" s="1"/>
      <c r="BA1741"/>
      <c r="BB1741"/>
      <c r="BC1741"/>
      <c r="BD1741"/>
      <c r="BE1741"/>
      <c r="BF1741" s="1"/>
      <c r="BG1741"/>
      <c r="BH1741"/>
      <c r="BI1741"/>
      <c r="BJ1741"/>
      <c r="BK1741"/>
      <c r="BL1741"/>
      <c r="BM1741"/>
      <c r="BN1741"/>
      <c r="BO1741"/>
    </row>
    <row r="1742" spans="8:67" s="2" customFormat="1">
      <c r="H1742" s="202"/>
      <c r="I1742" s="10"/>
      <c r="J1742" s="10"/>
      <c r="K1742" s="10"/>
      <c r="L1742" s="20"/>
      <c r="M1742" s="31"/>
      <c r="N1742" s="39"/>
      <c r="O1742" s="39"/>
      <c r="P1742" s="39"/>
      <c r="Q1742" s="39"/>
      <c r="R1742" s="39"/>
      <c r="S1742" s="39"/>
      <c r="T1742" s="39"/>
      <c r="U1742" s="39"/>
      <c r="V1742" s="39"/>
      <c r="W1742" s="39"/>
      <c r="X1742" s="39"/>
      <c r="Y1742" s="51"/>
      <c r="Z1742" s="51"/>
      <c r="AA1742"/>
      <c r="AB1742"/>
      <c r="AC1742"/>
      <c r="AD1742"/>
      <c r="AE1742"/>
      <c r="AF1742"/>
      <c r="AG1742"/>
      <c r="AH1742"/>
      <c r="AI1742"/>
      <c r="AJ1742" s="185"/>
      <c r="AK1742" s="185"/>
      <c r="AL1742" s="185"/>
      <c r="AM1742" s="185"/>
      <c r="AN1742"/>
      <c r="AO1742" s="1"/>
      <c r="AP1742" s="1"/>
      <c r="AQ1742" s="1"/>
      <c r="AR1742" s="1"/>
      <c r="AS1742"/>
      <c r="AT1742"/>
      <c r="AU1742"/>
      <c r="AV1742"/>
      <c r="AW1742"/>
      <c r="AX1742"/>
      <c r="AY1742"/>
      <c r="AZ1742" s="1"/>
      <c r="BA1742"/>
      <c r="BB1742"/>
      <c r="BC1742"/>
      <c r="BD1742"/>
      <c r="BE1742"/>
      <c r="BF1742" s="1"/>
      <c r="BG1742"/>
      <c r="BH1742"/>
      <c r="BI1742"/>
      <c r="BJ1742"/>
      <c r="BK1742"/>
      <c r="BL1742"/>
      <c r="BM1742"/>
      <c r="BN1742"/>
      <c r="BO1742"/>
    </row>
    <row r="1743" spans="8:67" s="2" customFormat="1">
      <c r="H1743" s="202"/>
      <c r="I1743" s="10"/>
      <c r="J1743" s="10"/>
      <c r="K1743" s="10"/>
      <c r="L1743" s="20"/>
      <c r="M1743" s="31"/>
      <c r="N1743" s="39"/>
      <c r="O1743" s="39"/>
      <c r="P1743" s="39"/>
      <c r="Q1743" s="39"/>
      <c r="R1743" s="39"/>
      <c r="S1743" s="39"/>
      <c r="T1743" s="39"/>
      <c r="U1743" s="39"/>
      <c r="V1743" s="39"/>
      <c r="W1743" s="39"/>
      <c r="X1743" s="39"/>
      <c r="Y1743" s="51"/>
      <c r="Z1743" s="51"/>
      <c r="AA1743"/>
      <c r="AB1743"/>
      <c r="AC1743"/>
      <c r="AD1743"/>
      <c r="AE1743"/>
      <c r="AF1743"/>
      <c r="AG1743"/>
      <c r="AH1743"/>
      <c r="AI1743"/>
      <c r="AJ1743" s="185"/>
      <c r="AK1743" s="185"/>
      <c r="AL1743" s="185"/>
      <c r="AM1743" s="185"/>
      <c r="AN1743"/>
      <c r="AO1743" s="1"/>
      <c r="AP1743" s="1"/>
      <c r="AQ1743" s="1"/>
      <c r="AR1743" s="1"/>
      <c r="AS1743"/>
      <c r="AT1743"/>
      <c r="AU1743"/>
      <c r="AV1743"/>
      <c r="AW1743"/>
      <c r="AX1743"/>
      <c r="AY1743"/>
      <c r="AZ1743" s="1"/>
      <c r="BA1743"/>
      <c r="BB1743"/>
      <c r="BC1743"/>
      <c r="BD1743"/>
      <c r="BE1743"/>
      <c r="BF1743" s="1"/>
      <c r="BG1743"/>
      <c r="BH1743"/>
      <c r="BI1743"/>
      <c r="BJ1743"/>
      <c r="BK1743"/>
      <c r="BL1743"/>
      <c r="BM1743"/>
      <c r="BN1743"/>
      <c r="BO1743"/>
    </row>
    <row r="1744" spans="8:67" s="2" customFormat="1">
      <c r="H1744" s="202"/>
      <c r="I1744" s="10"/>
      <c r="J1744" s="10"/>
      <c r="K1744" s="10"/>
      <c r="L1744" s="20"/>
      <c r="M1744" s="31"/>
      <c r="N1744" s="39"/>
      <c r="O1744" s="39"/>
      <c r="P1744" s="39"/>
      <c r="Q1744" s="39"/>
      <c r="R1744" s="39"/>
      <c r="S1744" s="39"/>
      <c r="T1744" s="39"/>
      <c r="U1744" s="39"/>
      <c r="V1744" s="39"/>
      <c r="W1744" s="39"/>
      <c r="X1744" s="39"/>
      <c r="Y1744" s="51"/>
      <c r="Z1744" s="51"/>
      <c r="AA1744"/>
      <c r="AB1744"/>
      <c r="AC1744"/>
      <c r="AD1744"/>
      <c r="AE1744"/>
      <c r="AF1744"/>
      <c r="AG1744"/>
      <c r="AH1744"/>
      <c r="AI1744"/>
      <c r="AJ1744" s="185"/>
      <c r="AK1744" s="185"/>
      <c r="AL1744" s="185"/>
      <c r="AM1744" s="185"/>
      <c r="AN1744"/>
      <c r="AO1744" s="1"/>
      <c r="AP1744" s="1"/>
      <c r="AQ1744" s="1"/>
      <c r="AR1744" s="1"/>
      <c r="AS1744"/>
      <c r="AT1744"/>
      <c r="AU1744"/>
      <c r="AV1744"/>
      <c r="AW1744"/>
      <c r="AX1744"/>
      <c r="AY1744"/>
      <c r="AZ1744" s="1"/>
      <c r="BA1744"/>
      <c r="BB1744"/>
      <c r="BC1744"/>
      <c r="BD1744"/>
      <c r="BE1744"/>
      <c r="BF1744" s="1"/>
      <c r="BG1744"/>
      <c r="BH1744"/>
      <c r="BI1744"/>
      <c r="BJ1744"/>
      <c r="BK1744"/>
      <c r="BL1744"/>
      <c r="BM1744"/>
      <c r="BN1744"/>
      <c r="BO1744"/>
    </row>
    <row r="1745" spans="8:67" s="2" customFormat="1">
      <c r="H1745" s="202"/>
      <c r="I1745" s="10"/>
      <c r="J1745" s="10"/>
      <c r="K1745" s="10"/>
      <c r="L1745" s="20"/>
      <c r="M1745" s="31"/>
      <c r="N1745" s="39"/>
      <c r="O1745" s="39"/>
      <c r="P1745" s="39"/>
      <c r="Q1745" s="39"/>
      <c r="R1745" s="39"/>
      <c r="S1745" s="39"/>
      <c r="T1745" s="39"/>
      <c r="U1745" s="39"/>
      <c r="V1745" s="39"/>
      <c r="W1745" s="39"/>
      <c r="X1745" s="39"/>
      <c r="Y1745" s="51"/>
      <c r="Z1745" s="51"/>
      <c r="AA1745"/>
      <c r="AB1745"/>
      <c r="AC1745"/>
      <c r="AD1745"/>
      <c r="AE1745"/>
      <c r="AF1745"/>
      <c r="AG1745"/>
      <c r="AH1745"/>
      <c r="AI1745"/>
      <c r="AJ1745" s="185"/>
      <c r="AK1745" s="185"/>
      <c r="AL1745" s="185"/>
      <c r="AM1745" s="185"/>
      <c r="AN1745"/>
      <c r="AO1745" s="1"/>
      <c r="AP1745" s="1"/>
      <c r="AQ1745" s="1"/>
      <c r="AR1745" s="1"/>
      <c r="AS1745"/>
      <c r="AT1745"/>
      <c r="AU1745"/>
      <c r="AV1745"/>
      <c r="AW1745"/>
      <c r="AX1745"/>
      <c r="AY1745"/>
      <c r="AZ1745" s="1"/>
      <c r="BA1745"/>
      <c r="BB1745"/>
      <c r="BC1745"/>
      <c r="BD1745"/>
      <c r="BE1745"/>
      <c r="BF1745" s="1"/>
      <c r="BG1745"/>
      <c r="BH1745"/>
      <c r="BI1745"/>
      <c r="BJ1745"/>
      <c r="BK1745"/>
      <c r="BL1745"/>
      <c r="BM1745"/>
      <c r="BN1745"/>
      <c r="BO1745"/>
    </row>
    <row r="1746" spans="8:67" s="2" customFormat="1">
      <c r="H1746" s="202"/>
      <c r="I1746" s="10"/>
      <c r="J1746" s="10"/>
      <c r="K1746" s="10"/>
      <c r="L1746" s="20"/>
      <c r="M1746" s="31"/>
      <c r="N1746" s="39"/>
      <c r="O1746" s="39"/>
      <c r="P1746" s="39"/>
      <c r="Q1746" s="39"/>
      <c r="R1746" s="39"/>
      <c r="S1746" s="39"/>
      <c r="T1746" s="39"/>
      <c r="U1746" s="39"/>
      <c r="V1746" s="39"/>
      <c r="W1746" s="39"/>
      <c r="X1746" s="39"/>
      <c r="Y1746" s="51"/>
      <c r="Z1746" s="51"/>
      <c r="AA1746"/>
      <c r="AB1746"/>
      <c r="AC1746"/>
      <c r="AD1746"/>
      <c r="AE1746"/>
      <c r="AF1746"/>
      <c r="AG1746"/>
      <c r="AH1746"/>
      <c r="AI1746"/>
      <c r="AJ1746" s="185"/>
      <c r="AK1746" s="185"/>
      <c r="AL1746" s="185"/>
      <c r="AM1746" s="185"/>
      <c r="AN1746"/>
      <c r="AO1746" s="1"/>
      <c r="AP1746" s="1"/>
      <c r="AQ1746" s="1"/>
      <c r="AR1746" s="1"/>
      <c r="AS1746"/>
      <c r="AT1746"/>
      <c r="AU1746"/>
      <c r="AV1746"/>
      <c r="AW1746"/>
      <c r="AX1746"/>
      <c r="AY1746"/>
      <c r="AZ1746" s="1"/>
      <c r="BA1746"/>
      <c r="BB1746"/>
      <c r="BC1746"/>
      <c r="BD1746"/>
      <c r="BE1746"/>
      <c r="BF1746" s="1"/>
      <c r="BG1746"/>
      <c r="BH1746"/>
      <c r="BI1746"/>
      <c r="BJ1746"/>
      <c r="BK1746"/>
      <c r="BL1746"/>
      <c r="BM1746"/>
      <c r="BN1746"/>
      <c r="BO1746"/>
    </row>
    <row r="1747" spans="8:67" s="2" customFormat="1">
      <c r="H1747" s="202"/>
      <c r="I1747" s="10"/>
      <c r="J1747" s="10"/>
      <c r="K1747" s="10"/>
      <c r="L1747" s="20"/>
      <c r="M1747" s="31"/>
      <c r="N1747" s="39"/>
      <c r="O1747" s="39"/>
      <c r="P1747" s="39"/>
      <c r="Q1747" s="39"/>
      <c r="R1747" s="39"/>
      <c r="S1747" s="39"/>
      <c r="T1747" s="39"/>
      <c r="U1747" s="39"/>
      <c r="V1747" s="39"/>
      <c r="W1747" s="39"/>
      <c r="X1747" s="39"/>
      <c r="Y1747" s="51"/>
      <c r="Z1747" s="51"/>
      <c r="AA1747"/>
      <c r="AB1747"/>
      <c r="AC1747"/>
      <c r="AD1747"/>
      <c r="AE1747"/>
      <c r="AF1747"/>
      <c r="AG1747"/>
      <c r="AH1747"/>
      <c r="AI1747"/>
      <c r="AJ1747" s="185"/>
      <c r="AK1747" s="185"/>
      <c r="AL1747" s="185"/>
      <c r="AM1747" s="185"/>
      <c r="AN1747"/>
      <c r="AO1747" s="1"/>
      <c r="AP1747" s="1"/>
      <c r="AQ1747" s="1"/>
      <c r="AR1747" s="1"/>
      <c r="AS1747"/>
      <c r="AT1747"/>
      <c r="AU1747"/>
      <c r="AV1747"/>
      <c r="AW1747"/>
      <c r="AX1747"/>
      <c r="AY1747"/>
      <c r="AZ1747" s="1"/>
      <c r="BA1747"/>
      <c r="BB1747"/>
      <c r="BC1747"/>
      <c r="BD1747"/>
      <c r="BE1747"/>
      <c r="BF1747" s="1"/>
      <c r="BG1747"/>
      <c r="BH1747"/>
      <c r="BI1747"/>
      <c r="BJ1747"/>
      <c r="BK1747"/>
      <c r="BL1747"/>
      <c r="BM1747"/>
      <c r="BN1747"/>
      <c r="BO1747"/>
    </row>
    <row r="1748" spans="8:67" s="2" customFormat="1">
      <c r="H1748" s="202"/>
      <c r="I1748" s="10"/>
      <c r="J1748" s="10"/>
      <c r="K1748" s="10"/>
      <c r="L1748" s="20"/>
      <c r="M1748" s="31"/>
      <c r="N1748" s="39"/>
      <c r="O1748" s="39"/>
      <c r="P1748" s="39"/>
      <c r="Q1748" s="39"/>
      <c r="R1748" s="39"/>
      <c r="S1748" s="39"/>
      <c r="T1748" s="39"/>
      <c r="U1748" s="39"/>
      <c r="V1748" s="39"/>
      <c r="W1748" s="39"/>
      <c r="X1748" s="39"/>
      <c r="Y1748" s="51"/>
      <c r="Z1748" s="51"/>
      <c r="AA1748"/>
      <c r="AB1748"/>
      <c r="AC1748"/>
      <c r="AD1748"/>
      <c r="AE1748"/>
      <c r="AF1748"/>
      <c r="AG1748"/>
      <c r="AH1748"/>
      <c r="AI1748"/>
      <c r="AJ1748" s="185"/>
      <c r="AK1748" s="185"/>
      <c r="AL1748" s="185"/>
      <c r="AM1748" s="185"/>
      <c r="AN1748"/>
      <c r="AO1748" s="1"/>
      <c r="AP1748" s="1"/>
      <c r="AQ1748" s="1"/>
      <c r="AR1748" s="1"/>
      <c r="AS1748"/>
      <c r="AT1748"/>
      <c r="AU1748"/>
      <c r="AV1748"/>
      <c r="AW1748"/>
      <c r="AX1748"/>
      <c r="AY1748"/>
      <c r="AZ1748" s="1"/>
      <c r="BA1748"/>
      <c r="BB1748"/>
      <c r="BC1748"/>
      <c r="BD1748"/>
      <c r="BE1748"/>
      <c r="BF1748" s="1"/>
      <c r="BG1748"/>
      <c r="BH1748"/>
      <c r="BI1748"/>
      <c r="BJ1748"/>
      <c r="BK1748"/>
      <c r="BL1748"/>
      <c r="BM1748"/>
      <c r="BN1748"/>
      <c r="BO1748"/>
    </row>
    <row r="1749" spans="8:67" s="2" customFormat="1">
      <c r="H1749" s="202"/>
      <c r="I1749" s="10"/>
      <c r="J1749" s="10"/>
      <c r="K1749" s="10"/>
      <c r="L1749" s="20"/>
      <c r="M1749" s="31"/>
      <c r="N1749" s="39"/>
      <c r="O1749" s="39"/>
      <c r="P1749" s="39"/>
      <c r="Q1749" s="39"/>
      <c r="R1749" s="39"/>
      <c r="S1749" s="39"/>
      <c r="T1749" s="39"/>
      <c r="U1749" s="39"/>
      <c r="V1749" s="39"/>
      <c r="W1749" s="39"/>
      <c r="X1749" s="39"/>
      <c r="Y1749" s="51"/>
      <c r="Z1749" s="51"/>
      <c r="AA1749"/>
      <c r="AB1749"/>
      <c r="AC1749"/>
      <c r="AD1749"/>
      <c r="AE1749"/>
      <c r="AF1749"/>
      <c r="AG1749"/>
      <c r="AH1749"/>
      <c r="AI1749"/>
      <c r="AJ1749" s="185"/>
      <c r="AK1749" s="185"/>
      <c r="AL1749" s="185"/>
      <c r="AM1749" s="185"/>
      <c r="AN1749"/>
      <c r="AO1749" s="1"/>
      <c r="AP1749" s="1"/>
      <c r="AQ1749" s="1"/>
      <c r="AR1749" s="1"/>
      <c r="AS1749"/>
      <c r="AT1749"/>
      <c r="AU1749"/>
      <c r="AV1749"/>
      <c r="AW1749"/>
      <c r="AX1749"/>
      <c r="AY1749"/>
      <c r="AZ1749" s="1"/>
      <c r="BA1749"/>
      <c r="BB1749"/>
      <c r="BC1749"/>
      <c r="BD1749"/>
      <c r="BE1749"/>
      <c r="BF1749" s="1"/>
      <c r="BG1749"/>
      <c r="BH1749"/>
      <c r="BI1749"/>
      <c r="BJ1749"/>
      <c r="BK1749"/>
      <c r="BL1749"/>
      <c r="BM1749"/>
      <c r="BN1749"/>
      <c r="BO1749"/>
    </row>
    <row r="1750" spans="8:67" s="2" customFormat="1">
      <c r="H1750" s="202"/>
      <c r="I1750" s="10"/>
      <c r="J1750" s="10"/>
      <c r="K1750" s="10"/>
      <c r="L1750" s="20"/>
      <c r="M1750" s="31"/>
      <c r="N1750" s="39"/>
      <c r="O1750" s="39"/>
      <c r="P1750" s="39"/>
      <c r="Q1750" s="39"/>
      <c r="R1750" s="39"/>
      <c r="S1750" s="39"/>
      <c r="T1750" s="39"/>
      <c r="U1750" s="39"/>
      <c r="V1750" s="39"/>
      <c r="W1750" s="39"/>
      <c r="X1750" s="39"/>
      <c r="Y1750" s="51"/>
      <c r="Z1750" s="51"/>
      <c r="AA1750"/>
      <c r="AB1750"/>
      <c r="AC1750"/>
      <c r="AD1750"/>
      <c r="AE1750"/>
      <c r="AF1750"/>
      <c r="AG1750"/>
      <c r="AH1750"/>
      <c r="AI1750"/>
      <c r="AJ1750" s="185"/>
      <c r="AK1750" s="185"/>
      <c r="AL1750" s="185"/>
      <c r="AM1750" s="185"/>
      <c r="AN1750"/>
      <c r="AO1750" s="1"/>
      <c r="AP1750" s="1"/>
      <c r="AQ1750" s="1"/>
      <c r="AR1750" s="1"/>
      <c r="AS1750"/>
      <c r="AT1750"/>
      <c r="AU1750"/>
      <c r="AV1750"/>
      <c r="AW1750"/>
      <c r="AX1750"/>
      <c r="AY1750"/>
      <c r="AZ1750" s="1"/>
      <c r="BA1750"/>
      <c r="BB1750"/>
      <c r="BC1750"/>
      <c r="BD1750"/>
      <c r="BE1750"/>
      <c r="BF1750" s="1"/>
      <c r="BG1750"/>
      <c r="BH1750"/>
      <c r="BI1750"/>
      <c r="BJ1750"/>
      <c r="BK1750"/>
      <c r="BL1750"/>
      <c r="BM1750"/>
      <c r="BN1750"/>
      <c r="BO1750"/>
    </row>
    <row r="1751" spans="8:67" s="2" customFormat="1">
      <c r="H1751" s="202"/>
      <c r="I1751" s="10"/>
      <c r="J1751" s="10"/>
      <c r="K1751" s="10"/>
      <c r="L1751" s="20"/>
      <c r="M1751" s="31"/>
      <c r="N1751" s="39"/>
      <c r="O1751" s="39"/>
      <c r="P1751" s="39"/>
      <c r="Q1751" s="39"/>
      <c r="R1751" s="39"/>
      <c r="S1751" s="39"/>
      <c r="T1751" s="39"/>
      <c r="U1751" s="39"/>
      <c r="V1751" s="39"/>
      <c r="W1751" s="39"/>
      <c r="X1751" s="39"/>
      <c r="Y1751" s="51"/>
      <c r="Z1751" s="51"/>
      <c r="AA1751"/>
      <c r="AB1751"/>
      <c r="AC1751"/>
      <c r="AD1751"/>
      <c r="AE1751"/>
      <c r="AF1751"/>
      <c r="AG1751"/>
      <c r="AH1751"/>
      <c r="AI1751"/>
      <c r="AJ1751" s="185"/>
      <c r="AK1751" s="185"/>
      <c r="AL1751" s="185"/>
      <c r="AM1751" s="185"/>
      <c r="AN1751"/>
      <c r="AO1751" s="1"/>
      <c r="AP1751" s="1"/>
      <c r="AQ1751" s="1"/>
      <c r="AR1751" s="1"/>
      <c r="AS1751"/>
      <c r="AT1751"/>
      <c r="AU1751"/>
      <c r="AV1751"/>
      <c r="AW1751"/>
      <c r="AX1751"/>
      <c r="AY1751"/>
      <c r="AZ1751" s="1"/>
      <c r="BA1751"/>
      <c r="BB1751"/>
      <c r="BC1751"/>
      <c r="BD1751"/>
      <c r="BE1751"/>
      <c r="BF1751" s="1"/>
      <c r="BG1751"/>
      <c r="BH1751"/>
      <c r="BI1751"/>
      <c r="BJ1751"/>
      <c r="BK1751"/>
      <c r="BL1751"/>
      <c r="BM1751"/>
      <c r="BN1751"/>
      <c r="BO1751"/>
    </row>
    <row r="1752" spans="8:67" s="2" customFormat="1">
      <c r="H1752" s="202"/>
      <c r="I1752" s="10"/>
      <c r="J1752" s="10"/>
      <c r="K1752" s="10"/>
      <c r="L1752" s="20"/>
      <c r="M1752" s="31"/>
      <c r="N1752" s="39"/>
      <c r="O1752" s="39"/>
      <c r="P1752" s="39"/>
      <c r="Q1752" s="39"/>
      <c r="R1752" s="39"/>
      <c r="S1752" s="39"/>
      <c r="T1752" s="39"/>
      <c r="U1752" s="39"/>
      <c r="V1752" s="39"/>
      <c r="W1752" s="39"/>
      <c r="X1752" s="39"/>
      <c r="Y1752" s="51"/>
      <c r="Z1752" s="51"/>
      <c r="AA1752"/>
      <c r="AB1752"/>
      <c r="AC1752"/>
      <c r="AD1752"/>
      <c r="AE1752"/>
      <c r="AF1752"/>
      <c r="AG1752"/>
      <c r="AH1752"/>
      <c r="AI1752"/>
      <c r="AJ1752" s="185"/>
      <c r="AK1752" s="185"/>
      <c r="AL1752" s="185"/>
      <c r="AM1752" s="185"/>
      <c r="AN1752"/>
      <c r="AO1752" s="1"/>
      <c r="AP1752" s="1"/>
      <c r="AQ1752" s="1"/>
      <c r="AR1752" s="1"/>
      <c r="AS1752"/>
      <c r="AT1752"/>
      <c r="AU1752"/>
      <c r="AV1752"/>
      <c r="AW1752"/>
      <c r="AX1752"/>
      <c r="AY1752"/>
      <c r="AZ1752" s="1"/>
      <c r="BA1752"/>
      <c r="BB1752"/>
      <c r="BC1752"/>
      <c r="BD1752"/>
      <c r="BE1752"/>
      <c r="BF1752" s="1"/>
      <c r="BG1752"/>
      <c r="BH1752"/>
      <c r="BI1752"/>
      <c r="BJ1752"/>
      <c r="BK1752"/>
      <c r="BL1752"/>
      <c r="BM1752"/>
      <c r="BN1752"/>
      <c r="BO1752"/>
    </row>
    <row r="1753" spans="8:67" s="2" customFormat="1">
      <c r="H1753" s="202"/>
      <c r="I1753" s="10"/>
      <c r="J1753" s="10"/>
      <c r="K1753" s="10"/>
      <c r="L1753" s="20"/>
      <c r="M1753" s="31"/>
      <c r="N1753" s="39"/>
      <c r="O1753" s="39"/>
      <c r="P1753" s="39"/>
      <c r="Q1753" s="39"/>
      <c r="R1753" s="39"/>
      <c r="S1753" s="39"/>
      <c r="T1753" s="39"/>
      <c r="U1753" s="39"/>
      <c r="V1753" s="39"/>
      <c r="W1753" s="39"/>
      <c r="X1753" s="39"/>
      <c r="Y1753" s="51"/>
      <c r="Z1753" s="51"/>
      <c r="AA1753"/>
      <c r="AB1753"/>
      <c r="AC1753"/>
      <c r="AD1753"/>
      <c r="AE1753"/>
      <c r="AF1753"/>
      <c r="AG1753"/>
      <c r="AH1753"/>
      <c r="AI1753"/>
      <c r="AJ1753" s="185"/>
      <c r="AK1753" s="185"/>
      <c r="AL1753" s="185"/>
      <c r="AM1753" s="185"/>
      <c r="AN1753"/>
      <c r="AO1753" s="1"/>
      <c r="AP1753" s="1"/>
      <c r="AQ1753" s="1"/>
      <c r="AR1753" s="1"/>
      <c r="AS1753"/>
      <c r="AT1753"/>
      <c r="AU1753"/>
      <c r="AV1753"/>
      <c r="AW1753"/>
      <c r="AX1753"/>
      <c r="AY1753"/>
      <c r="AZ1753" s="1"/>
      <c r="BA1753"/>
      <c r="BB1753"/>
      <c r="BC1753"/>
      <c r="BD1753"/>
      <c r="BE1753"/>
      <c r="BF1753" s="1"/>
      <c r="BG1753"/>
      <c r="BH1753"/>
      <c r="BI1753"/>
      <c r="BJ1753"/>
      <c r="BK1753"/>
      <c r="BL1753"/>
      <c r="BM1753"/>
      <c r="BN1753"/>
      <c r="BO1753"/>
    </row>
    <row r="1754" spans="8:67" s="2" customFormat="1">
      <c r="H1754" s="202"/>
      <c r="I1754" s="10"/>
      <c r="J1754" s="10"/>
      <c r="K1754" s="10"/>
      <c r="L1754" s="20"/>
      <c r="M1754" s="31"/>
      <c r="N1754" s="39"/>
      <c r="O1754" s="39"/>
      <c r="P1754" s="39"/>
      <c r="Q1754" s="39"/>
      <c r="R1754" s="39"/>
      <c r="S1754" s="39"/>
      <c r="T1754" s="39"/>
      <c r="U1754" s="39"/>
      <c r="V1754" s="39"/>
      <c r="W1754" s="39"/>
      <c r="X1754" s="39"/>
      <c r="Y1754" s="51"/>
      <c r="Z1754" s="51"/>
      <c r="AA1754"/>
      <c r="AB1754"/>
      <c r="AC1754"/>
      <c r="AD1754"/>
      <c r="AE1754"/>
      <c r="AF1754"/>
      <c r="AG1754"/>
      <c r="AH1754"/>
      <c r="AI1754"/>
      <c r="AJ1754" s="185"/>
      <c r="AK1754" s="185"/>
      <c r="AL1754" s="185"/>
      <c r="AM1754" s="185"/>
      <c r="AN1754"/>
      <c r="AO1754" s="1"/>
      <c r="AP1754" s="1"/>
      <c r="AQ1754" s="1"/>
      <c r="AR1754" s="1"/>
      <c r="AS1754"/>
      <c r="AT1754"/>
      <c r="AU1754"/>
      <c r="AV1754"/>
      <c r="AW1754"/>
      <c r="AX1754"/>
      <c r="AY1754"/>
      <c r="AZ1754" s="1"/>
      <c r="BA1754"/>
      <c r="BB1754"/>
      <c r="BC1754"/>
      <c r="BD1754"/>
      <c r="BE1754"/>
      <c r="BF1754" s="1"/>
      <c r="BG1754"/>
      <c r="BH1754"/>
      <c r="BI1754"/>
      <c r="BJ1754"/>
      <c r="BK1754"/>
      <c r="BL1754"/>
      <c r="BM1754"/>
      <c r="BN1754"/>
      <c r="BO1754"/>
    </row>
    <row r="1755" spans="8:67" s="2" customFormat="1">
      <c r="H1755" s="202"/>
      <c r="I1755" s="10"/>
      <c r="J1755" s="10"/>
      <c r="K1755" s="10"/>
      <c r="L1755" s="20"/>
      <c r="M1755" s="31"/>
      <c r="N1755" s="39"/>
      <c r="O1755" s="39"/>
      <c r="P1755" s="39"/>
      <c r="Q1755" s="39"/>
      <c r="R1755" s="39"/>
      <c r="S1755" s="39"/>
      <c r="T1755" s="39"/>
      <c r="U1755" s="39"/>
      <c r="V1755" s="39"/>
      <c r="W1755" s="39"/>
      <c r="X1755" s="39"/>
      <c r="Y1755" s="51"/>
      <c r="Z1755" s="51"/>
      <c r="AA1755"/>
      <c r="AB1755"/>
      <c r="AC1755"/>
      <c r="AD1755"/>
      <c r="AE1755"/>
      <c r="AF1755"/>
      <c r="AG1755"/>
      <c r="AH1755"/>
      <c r="AI1755"/>
      <c r="AJ1755" s="185"/>
      <c r="AK1755" s="185"/>
      <c r="AL1755" s="185"/>
      <c r="AM1755" s="185"/>
      <c r="AN1755"/>
      <c r="AO1755" s="1"/>
      <c r="AP1755" s="1"/>
      <c r="AQ1755" s="1"/>
      <c r="AR1755" s="1"/>
      <c r="AS1755"/>
      <c r="AT1755"/>
      <c r="AU1755"/>
      <c r="AV1755"/>
      <c r="AW1755"/>
      <c r="AX1755"/>
      <c r="AY1755"/>
      <c r="AZ1755" s="1"/>
      <c r="BA1755"/>
      <c r="BB1755"/>
      <c r="BC1755"/>
      <c r="BD1755"/>
      <c r="BE1755"/>
      <c r="BF1755" s="1"/>
      <c r="BG1755"/>
      <c r="BH1755"/>
      <c r="BI1755"/>
      <c r="BJ1755"/>
      <c r="BK1755"/>
      <c r="BL1755"/>
      <c r="BM1755"/>
      <c r="BN1755"/>
      <c r="BO1755"/>
    </row>
    <row r="1756" spans="8:67" s="2" customFormat="1">
      <c r="H1756" s="202"/>
      <c r="I1756" s="10"/>
      <c r="J1756" s="10"/>
      <c r="K1756" s="10"/>
      <c r="L1756" s="20"/>
      <c r="M1756" s="31"/>
      <c r="N1756" s="39"/>
      <c r="O1756" s="39"/>
      <c r="P1756" s="39"/>
      <c r="Q1756" s="39"/>
      <c r="R1756" s="39"/>
      <c r="S1756" s="39"/>
      <c r="T1756" s="39"/>
      <c r="U1756" s="39"/>
      <c r="V1756" s="39"/>
      <c r="W1756" s="39"/>
      <c r="X1756" s="39"/>
      <c r="Y1756" s="51"/>
      <c r="Z1756" s="51"/>
      <c r="AA1756"/>
      <c r="AB1756"/>
      <c r="AC1756"/>
      <c r="AD1756"/>
      <c r="AE1756"/>
      <c r="AF1756"/>
      <c r="AG1756"/>
      <c r="AH1756"/>
      <c r="AI1756"/>
      <c r="AJ1756" s="185"/>
      <c r="AK1756" s="185"/>
      <c r="AL1756" s="185"/>
      <c r="AM1756" s="185"/>
      <c r="AN1756"/>
      <c r="AO1756" s="1"/>
      <c r="AP1756" s="1"/>
      <c r="AQ1756" s="1"/>
      <c r="AR1756" s="1"/>
      <c r="AS1756"/>
      <c r="AT1756"/>
      <c r="AU1756"/>
      <c r="AV1756"/>
      <c r="AW1756"/>
      <c r="AX1756"/>
      <c r="AY1756"/>
      <c r="AZ1756" s="1"/>
      <c r="BA1756"/>
      <c r="BB1756"/>
      <c r="BC1756"/>
      <c r="BD1756"/>
      <c r="BE1756"/>
      <c r="BF1756" s="1"/>
      <c r="BG1756"/>
      <c r="BH1756"/>
      <c r="BI1756"/>
      <c r="BJ1756"/>
      <c r="BK1756"/>
      <c r="BL1756"/>
      <c r="BM1756"/>
      <c r="BN1756"/>
      <c r="BO1756"/>
    </row>
    <row r="1757" spans="8:67" s="2" customFormat="1">
      <c r="H1757" s="202"/>
      <c r="I1757" s="10"/>
      <c r="J1757" s="10"/>
      <c r="K1757" s="10"/>
      <c r="L1757" s="20"/>
      <c r="M1757" s="31"/>
      <c r="N1757" s="39"/>
      <c r="O1757" s="39"/>
      <c r="P1757" s="39"/>
      <c r="Q1757" s="39"/>
      <c r="R1757" s="39"/>
      <c r="S1757" s="39"/>
      <c r="T1757" s="39"/>
      <c r="U1757" s="39"/>
      <c r="V1757" s="39"/>
      <c r="W1757" s="39"/>
      <c r="X1757" s="39"/>
      <c r="Y1757" s="51"/>
      <c r="Z1757" s="51"/>
      <c r="AA1757"/>
      <c r="AB1757"/>
      <c r="AC1757"/>
      <c r="AD1757"/>
      <c r="AE1757"/>
      <c r="AF1757"/>
      <c r="AG1757"/>
      <c r="AH1757"/>
      <c r="AI1757"/>
      <c r="AJ1757" s="185"/>
      <c r="AK1757" s="185"/>
      <c r="AL1757" s="185"/>
      <c r="AM1757" s="185"/>
      <c r="AN1757"/>
      <c r="AO1757" s="1"/>
      <c r="AP1757" s="1"/>
      <c r="AQ1757" s="1"/>
      <c r="AR1757" s="1"/>
      <c r="AS1757"/>
      <c r="AT1757"/>
      <c r="AU1757"/>
      <c r="AV1757"/>
      <c r="AW1757"/>
      <c r="AX1757"/>
      <c r="AY1757"/>
      <c r="AZ1757" s="1"/>
      <c r="BA1757"/>
      <c r="BB1757"/>
      <c r="BC1757"/>
      <c r="BD1757"/>
      <c r="BE1757"/>
      <c r="BF1757" s="1"/>
      <c r="BG1757"/>
      <c r="BH1757"/>
      <c r="BI1757"/>
      <c r="BJ1757"/>
      <c r="BK1757"/>
      <c r="BL1757"/>
      <c r="BM1757"/>
      <c r="BN1757"/>
      <c r="BO1757"/>
    </row>
    <row r="1758" spans="8:67" s="2" customFormat="1">
      <c r="H1758" s="202"/>
      <c r="I1758" s="10"/>
      <c r="J1758" s="10"/>
      <c r="K1758" s="10"/>
      <c r="L1758" s="20"/>
      <c r="M1758" s="31"/>
      <c r="N1758" s="39"/>
      <c r="O1758" s="39"/>
      <c r="P1758" s="39"/>
      <c r="Q1758" s="39"/>
      <c r="R1758" s="39"/>
      <c r="S1758" s="39"/>
      <c r="T1758" s="39"/>
      <c r="U1758" s="39"/>
      <c r="V1758" s="39"/>
      <c r="W1758" s="39"/>
      <c r="X1758" s="39"/>
      <c r="Y1758" s="51"/>
      <c r="Z1758" s="51"/>
      <c r="AA1758"/>
      <c r="AB1758"/>
      <c r="AC1758"/>
      <c r="AD1758"/>
      <c r="AE1758"/>
      <c r="AF1758"/>
      <c r="AG1758"/>
      <c r="AH1758"/>
      <c r="AI1758"/>
      <c r="AJ1758" s="185"/>
      <c r="AK1758" s="185"/>
      <c r="AL1758" s="185"/>
      <c r="AM1758" s="185"/>
      <c r="AN1758"/>
      <c r="AO1758" s="1"/>
      <c r="AP1758" s="1"/>
      <c r="AQ1758" s="1"/>
      <c r="AR1758" s="1"/>
      <c r="AS1758"/>
      <c r="AT1758"/>
      <c r="AU1758"/>
      <c r="AV1758"/>
      <c r="AW1758"/>
      <c r="AX1758"/>
      <c r="AY1758"/>
      <c r="AZ1758" s="1"/>
      <c r="BA1758"/>
      <c r="BB1758"/>
      <c r="BC1758"/>
      <c r="BD1758"/>
      <c r="BE1758"/>
      <c r="BF1758" s="1"/>
      <c r="BG1758"/>
      <c r="BH1758"/>
      <c r="BI1758"/>
      <c r="BJ1758"/>
      <c r="BK1758"/>
      <c r="BL1758"/>
      <c r="BM1758"/>
      <c r="BN1758"/>
      <c r="BO1758"/>
    </row>
    <row r="1759" spans="8:67" s="2" customFormat="1">
      <c r="H1759" s="202"/>
      <c r="I1759" s="10"/>
      <c r="J1759" s="10"/>
      <c r="K1759" s="10"/>
      <c r="L1759" s="20"/>
      <c r="M1759" s="31"/>
      <c r="N1759" s="39"/>
      <c r="O1759" s="39"/>
      <c r="P1759" s="39"/>
      <c r="Q1759" s="39"/>
      <c r="R1759" s="39"/>
      <c r="S1759" s="39"/>
      <c r="T1759" s="39"/>
      <c r="U1759" s="39"/>
      <c r="V1759" s="39"/>
      <c r="W1759" s="39"/>
      <c r="X1759" s="39"/>
      <c r="Y1759" s="51"/>
      <c r="Z1759" s="51"/>
      <c r="AA1759"/>
      <c r="AB1759"/>
      <c r="AC1759"/>
      <c r="AD1759"/>
      <c r="AE1759"/>
      <c r="AF1759"/>
      <c r="AG1759"/>
      <c r="AH1759"/>
      <c r="AI1759"/>
      <c r="AJ1759" s="185"/>
      <c r="AK1759" s="185"/>
      <c r="AL1759" s="185"/>
      <c r="AM1759" s="185"/>
      <c r="AN1759"/>
      <c r="AO1759" s="1"/>
      <c r="AP1759" s="1"/>
      <c r="AQ1759" s="1"/>
      <c r="AR1759" s="1"/>
      <c r="AS1759"/>
      <c r="AT1759"/>
      <c r="AU1759"/>
      <c r="AV1759"/>
      <c r="AW1759"/>
      <c r="AX1759"/>
      <c r="AY1759"/>
      <c r="AZ1759" s="1"/>
      <c r="BA1759"/>
      <c r="BB1759"/>
      <c r="BC1759"/>
      <c r="BD1759"/>
      <c r="BE1759"/>
      <c r="BF1759" s="1"/>
      <c r="BG1759"/>
      <c r="BH1759"/>
      <c r="BI1759"/>
      <c r="BJ1759"/>
      <c r="BK1759"/>
      <c r="BL1759"/>
      <c r="BM1759"/>
      <c r="BN1759"/>
      <c r="BO1759"/>
    </row>
    <row r="1760" spans="8:67" s="2" customFormat="1">
      <c r="H1760" s="202"/>
      <c r="I1760" s="10"/>
      <c r="J1760" s="10"/>
      <c r="K1760" s="10"/>
      <c r="L1760" s="20"/>
      <c r="M1760" s="31"/>
      <c r="N1760" s="39"/>
      <c r="O1760" s="39"/>
      <c r="P1760" s="39"/>
      <c r="Q1760" s="39"/>
      <c r="R1760" s="39"/>
      <c r="S1760" s="39"/>
      <c r="T1760" s="39"/>
      <c r="U1760" s="39"/>
      <c r="V1760" s="39"/>
      <c r="W1760" s="39"/>
      <c r="X1760" s="39"/>
      <c r="Y1760" s="51"/>
      <c r="Z1760" s="51"/>
      <c r="AA1760"/>
      <c r="AB1760"/>
      <c r="AC1760"/>
      <c r="AD1760"/>
      <c r="AE1760"/>
      <c r="AF1760"/>
      <c r="AG1760"/>
      <c r="AH1760"/>
      <c r="AI1760"/>
      <c r="AJ1760" s="185"/>
      <c r="AK1760" s="185"/>
      <c r="AL1760" s="185"/>
      <c r="AM1760" s="185"/>
      <c r="AN1760"/>
      <c r="AO1760" s="1"/>
      <c r="AP1760" s="1"/>
      <c r="AQ1760" s="1"/>
      <c r="AR1760" s="1"/>
      <c r="AS1760"/>
      <c r="AT1760"/>
      <c r="AU1760"/>
      <c r="AV1760"/>
      <c r="AW1760"/>
      <c r="AX1760"/>
      <c r="AY1760"/>
      <c r="AZ1760" s="1"/>
      <c r="BA1760"/>
      <c r="BB1760"/>
      <c r="BC1760"/>
      <c r="BD1760"/>
      <c r="BE1760"/>
      <c r="BF1760" s="1"/>
      <c r="BG1760"/>
      <c r="BH1760"/>
      <c r="BI1760"/>
      <c r="BJ1760"/>
      <c r="BK1760"/>
      <c r="BL1760"/>
      <c r="BM1760"/>
      <c r="BN1760"/>
      <c r="BO1760"/>
    </row>
    <row r="1761" spans="8:67" s="2" customFormat="1">
      <c r="H1761" s="202"/>
      <c r="I1761" s="10"/>
      <c r="J1761" s="10"/>
      <c r="K1761" s="10"/>
      <c r="L1761" s="20"/>
      <c r="M1761" s="31"/>
      <c r="N1761" s="39"/>
      <c r="O1761" s="39"/>
      <c r="P1761" s="39"/>
      <c r="Q1761" s="39"/>
      <c r="R1761" s="39"/>
      <c r="S1761" s="39"/>
      <c r="T1761" s="39"/>
      <c r="U1761" s="39"/>
      <c r="V1761" s="39"/>
      <c r="W1761" s="39"/>
      <c r="X1761" s="39"/>
      <c r="Y1761" s="51"/>
      <c r="Z1761" s="51"/>
      <c r="AA1761"/>
      <c r="AB1761"/>
      <c r="AC1761"/>
      <c r="AD1761"/>
      <c r="AE1761"/>
      <c r="AF1761"/>
      <c r="AG1761"/>
      <c r="AH1761"/>
      <c r="AI1761"/>
      <c r="AJ1761" s="185"/>
      <c r="AK1761" s="185"/>
      <c r="AL1761" s="185"/>
      <c r="AM1761" s="185"/>
      <c r="AN1761"/>
      <c r="AO1761" s="1"/>
      <c r="AP1761" s="1"/>
      <c r="AQ1761" s="1"/>
      <c r="AR1761" s="1"/>
      <c r="AS1761"/>
      <c r="AT1761"/>
      <c r="AU1761"/>
      <c r="AV1761"/>
      <c r="AW1761"/>
      <c r="AX1761"/>
      <c r="AY1761"/>
      <c r="AZ1761" s="1"/>
      <c r="BA1761"/>
      <c r="BB1761"/>
      <c r="BC1761"/>
      <c r="BD1761"/>
      <c r="BE1761"/>
      <c r="BF1761" s="1"/>
      <c r="BG1761"/>
      <c r="BH1761"/>
      <c r="BI1761"/>
      <c r="BJ1761"/>
      <c r="BK1761"/>
      <c r="BL1761"/>
      <c r="BM1761"/>
      <c r="BN1761"/>
      <c r="BO1761"/>
    </row>
    <row r="1762" spans="8:67" s="2" customFormat="1">
      <c r="H1762" s="202"/>
      <c r="I1762" s="10"/>
      <c r="J1762" s="10"/>
      <c r="K1762" s="10"/>
      <c r="L1762" s="20"/>
      <c r="M1762" s="31"/>
      <c r="N1762" s="39"/>
      <c r="O1762" s="39"/>
      <c r="P1762" s="39"/>
      <c r="Q1762" s="39"/>
      <c r="R1762" s="39"/>
      <c r="S1762" s="39"/>
      <c r="T1762" s="39"/>
      <c r="U1762" s="39"/>
      <c r="V1762" s="39"/>
      <c r="W1762" s="39"/>
      <c r="X1762" s="39"/>
      <c r="Y1762" s="51"/>
      <c r="Z1762" s="51"/>
      <c r="AA1762"/>
      <c r="AB1762"/>
      <c r="AC1762"/>
      <c r="AD1762"/>
      <c r="AE1762"/>
      <c r="AF1762"/>
      <c r="AG1762"/>
      <c r="AH1762"/>
      <c r="AI1762"/>
      <c r="AJ1762" s="185"/>
      <c r="AK1762" s="185"/>
      <c r="AL1762" s="185"/>
      <c r="AM1762" s="185"/>
      <c r="AN1762"/>
      <c r="AO1762" s="1"/>
      <c r="AP1762" s="1"/>
      <c r="AQ1762" s="1"/>
      <c r="AR1762" s="1"/>
      <c r="AS1762"/>
      <c r="AT1762"/>
      <c r="AU1762"/>
      <c r="AV1762"/>
      <c r="AW1762"/>
      <c r="AX1762"/>
      <c r="AY1762"/>
      <c r="AZ1762" s="1"/>
      <c r="BA1762"/>
      <c r="BB1762"/>
      <c r="BC1762"/>
      <c r="BD1762"/>
      <c r="BE1762"/>
      <c r="BF1762" s="1"/>
      <c r="BG1762"/>
      <c r="BH1762"/>
      <c r="BI1762"/>
      <c r="BJ1762"/>
      <c r="BK1762"/>
      <c r="BL1762"/>
      <c r="BM1762"/>
      <c r="BN1762"/>
      <c r="BO1762"/>
    </row>
    <row r="1763" spans="8:67" s="2" customFormat="1">
      <c r="H1763" s="202"/>
      <c r="I1763" s="10"/>
      <c r="J1763" s="10"/>
      <c r="K1763" s="10"/>
      <c r="L1763" s="20"/>
      <c r="M1763" s="31"/>
      <c r="N1763" s="39"/>
      <c r="O1763" s="39"/>
      <c r="P1763" s="39"/>
      <c r="Q1763" s="39"/>
      <c r="R1763" s="39"/>
      <c r="S1763" s="39"/>
      <c r="T1763" s="39"/>
      <c r="U1763" s="39"/>
      <c r="V1763" s="39"/>
      <c r="W1763" s="39"/>
      <c r="X1763" s="39"/>
      <c r="Y1763" s="51"/>
      <c r="Z1763" s="51"/>
      <c r="AA1763"/>
      <c r="AB1763"/>
      <c r="AC1763"/>
      <c r="AD1763"/>
      <c r="AE1763"/>
      <c r="AF1763"/>
      <c r="AG1763"/>
      <c r="AH1763"/>
      <c r="AI1763"/>
      <c r="AJ1763" s="185"/>
      <c r="AK1763" s="185"/>
      <c r="AL1763" s="185"/>
      <c r="AM1763" s="185"/>
      <c r="AN1763"/>
      <c r="AO1763" s="1"/>
      <c r="AP1763" s="1"/>
      <c r="AQ1763" s="1"/>
      <c r="AR1763" s="1"/>
      <c r="AS1763"/>
      <c r="AT1763"/>
      <c r="AU1763"/>
      <c r="AV1763"/>
      <c r="AW1763"/>
      <c r="AX1763"/>
      <c r="AY1763"/>
      <c r="AZ1763" s="1"/>
      <c r="BA1763"/>
      <c r="BB1763"/>
      <c r="BC1763"/>
      <c r="BD1763"/>
      <c r="BE1763"/>
      <c r="BF1763" s="1"/>
      <c r="BG1763"/>
      <c r="BH1763"/>
      <c r="BI1763"/>
      <c r="BJ1763"/>
      <c r="BK1763"/>
      <c r="BL1763"/>
      <c r="BM1763"/>
      <c r="BN1763"/>
      <c r="BO1763"/>
    </row>
    <row r="1764" spans="8:67" s="2" customFormat="1">
      <c r="H1764" s="202"/>
      <c r="I1764" s="10"/>
      <c r="J1764" s="10"/>
      <c r="K1764" s="10"/>
      <c r="L1764" s="20"/>
      <c r="M1764" s="31"/>
      <c r="N1764" s="39"/>
      <c r="O1764" s="39"/>
      <c r="P1764" s="39"/>
      <c r="Q1764" s="39"/>
      <c r="R1764" s="39"/>
      <c r="S1764" s="39"/>
      <c r="T1764" s="39"/>
      <c r="U1764" s="39"/>
      <c r="V1764" s="39"/>
      <c r="W1764" s="39"/>
      <c r="X1764" s="39"/>
      <c r="Y1764" s="51"/>
      <c r="Z1764" s="51"/>
      <c r="AA1764"/>
      <c r="AB1764"/>
      <c r="AC1764"/>
      <c r="AD1764"/>
      <c r="AE1764"/>
      <c r="AF1764"/>
      <c r="AG1764"/>
      <c r="AH1764"/>
      <c r="AI1764"/>
      <c r="AJ1764" s="185"/>
      <c r="AK1764" s="185"/>
      <c r="AL1764" s="185"/>
      <c r="AM1764" s="185"/>
      <c r="AN1764"/>
      <c r="AO1764" s="1"/>
      <c r="AP1764" s="1"/>
      <c r="AQ1764" s="1"/>
      <c r="AR1764" s="1"/>
      <c r="AS1764"/>
      <c r="AT1764"/>
      <c r="AU1764"/>
      <c r="AV1764"/>
      <c r="AW1764"/>
      <c r="AX1764"/>
      <c r="AY1764"/>
      <c r="AZ1764" s="1"/>
      <c r="BA1764"/>
      <c r="BB1764"/>
      <c r="BC1764"/>
      <c r="BD1764"/>
      <c r="BE1764"/>
      <c r="BF1764" s="1"/>
      <c r="BG1764"/>
      <c r="BH1764"/>
      <c r="BI1764"/>
      <c r="BJ1764"/>
      <c r="BK1764"/>
      <c r="BL1764"/>
      <c r="BM1764"/>
      <c r="BN1764"/>
      <c r="BO1764"/>
    </row>
    <row r="1765" spans="8:67" s="2" customFormat="1">
      <c r="H1765" s="202"/>
      <c r="I1765" s="10"/>
      <c r="J1765" s="10"/>
      <c r="K1765" s="10"/>
      <c r="L1765" s="20"/>
      <c r="M1765" s="31"/>
      <c r="N1765" s="39"/>
      <c r="O1765" s="39"/>
      <c r="P1765" s="39"/>
      <c r="Q1765" s="39"/>
      <c r="R1765" s="39"/>
      <c r="S1765" s="39"/>
      <c r="T1765" s="39"/>
      <c r="U1765" s="39"/>
      <c r="V1765" s="39"/>
      <c r="W1765" s="39"/>
      <c r="X1765" s="39"/>
      <c r="Y1765" s="51"/>
      <c r="Z1765" s="51"/>
      <c r="AA1765"/>
      <c r="AB1765"/>
      <c r="AC1765"/>
      <c r="AD1765"/>
      <c r="AE1765"/>
      <c r="AF1765"/>
      <c r="AG1765"/>
      <c r="AH1765"/>
      <c r="AI1765"/>
      <c r="AJ1765" s="185"/>
      <c r="AK1765" s="185"/>
      <c r="AL1765" s="185"/>
      <c r="AM1765" s="185"/>
      <c r="AN1765"/>
      <c r="AO1765" s="1"/>
      <c r="AP1765" s="1"/>
      <c r="AQ1765" s="1"/>
      <c r="AR1765" s="1"/>
      <c r="AS1765"/>
      <c r="AT1765"/>
      <c r="AU1765"/>
      <c r="AV1765"/>
      <c r="AW1765"/>
      <c r="AX1765"/>
      <c r="AY1765"/>
      <c r="AZ1765" s="1"/>
      <c r="BA1765"/>
      <c r="BB1765"/>
      <c r="BC1765"/>
      <c r="BD1765"/>
      <c r="BE1765"/>
      <c r="BF1765" s="1"/>
      <c r="BG1765"/>
      <c r="BH1765"/>
      <c r="BI1765"/>
      <c r="BJ1765"/>
      <c r="BK1765"/>
      <c r="BL1765"/>
      <c r="BM1765"/>
      <c r="BN1765"/>
      <c r="BO1765"/>
    </row>
    <row r="1766" spans="8:67" s="2" customFormat="1">
      <c r="H1766" s="202"/>
      <c r="I1766" s="10"/>
      <c r="J1766" s="10"/>
      <c r="K1766" s="10"/>
      <c r="L1766" s="20"/>
      <c r="M1766" s="31"/>
      <c r="N1766" s="39"/>
      <c r="O1766" s="39"/>
      <c r="P1766" s="39"/>
      <c r="Q1766" s="39"/>
      <c r="R1766" s="39"/>
      <c r="S1766" s="39"/>
      <c r="T1766" s="39"/>
      <c r="U1766" s="39"/>
      <c r="V1766" s="39"/>
      <c r="W1766" s="39"/>
      <c r="X1766" s="39"/>
      <c r="Y1766" s="51"/>
      <c r="Z1766" s="51"/>
      <c r="AA1766"/>
      <c r="AB1766"/>
      <c r="AC1766"/>
      <c r="AD1766"/>
      <c r="AE1766"/>
      <c r="AF1766"/>
      <c r="AG1766"/>
      <c r="AH1766"/>
      <c r="AI1766"/>
      <c r="AJ1766" s="185"/>
      <c r="AK1766" s="185"/>
      <c r="AL1766" s="185"/>
      <c r="AM1766" s="185"/>
      <c r="AN1766"/>
      <c r="AO1766" s="1"/>
      <c r="AP1766" s="1"/>
      <c r="AQ1766" s="1"/>
      <c r="AR1766" s="1"/>
      <c r="AS1766"/>
      <c r="AT1766"/>
      <c r="AU1766"/>
      <c r="AV1766"/>
      <c r="AW1766"/>
      <c r="AX1766"/>
      <c r="AY1766"/>
      <c r="AZ1766" s="1"/>
      <c r="BA1766"/>
      <c r="BB1766"/>
      <c r="BC1766"/>
      <c r="BD1766"/>
      <c r="BE1766"/>
      <c r="BF1766" s="1"/>
      <c r="BG1766"/>
      <c r="BH1766"/>
      <c r="BI1766"/>
      <c r="BJ1766"/>
      <c r="BK1766"/>
      <c r="BL1766"/>
      <c r="BM1766"/>
      <c r="BN1766"/>
      <c r="BO1766"/>
    </row>
    <row r="1767" spans="8:67" s="2" customFormat="1">
      <c r="H1767" s="202"/>
      <c r="I1767" s="10"/>
      <c r="J1767" s="10"/>
      <c r="K1767" s="10"/>
      <c r="L1767" s="20"/>
      <c r="M1767" s="31"/>
      <c r="N1767" s="39"/>
      <c r="O1767" s="39"/>
      <c r="P1767" s="39"/>
      <c r="Q1767" s="39"/>
      <c r="R1767" s="39"/>
      <c r="S1767" s="39"/>
      <c r="T1767" s="39"/>
      <c r="U1767" s="39"/>
      <c r="V1767" s="39"/>
      <c r="W1767" s="39"/>
      <c r="X1767" s="39"/>
      <c r="Y1767" s="51"/>
      <c r="Z1767" s="51"/>
      <c r="AA1767"/>
      <c r="AB1767"/>
      <c r="AC1767"/>
      <c r="AD1767"/>
      <c r="AE1767"/>
      <c r="AF1767"/>
      <c r="AG1767"/>
      <c r="AH1767"/>
      <c r="AI1767"/>
      <c r="AJ1767" s="185"/>
      <c r="AK1767" s="185"/>
      <c r="AL1767" s="185"/>
      <c r="AM1767" s="185"/>
      <c r="AN1767"/>
      <c r="AO1767" s="1"/>
      <c r="AP1767" s="1"/>
      <c r="AQ1767" s="1"/>
      <c r="AR1767" s="1"/>
      <c r="AS1767"/>
      <c r="AT1767"/>
      <c r="AU1767"/>
      <c r="AV1767"/>
      <c r="AW1767"/>
      <c r="AX1767"/>
      <c r="AY1767"/>
      <c r="AZ1767" s="1"/>
      <c r="BA1767"/>
      <c r="BB1767"/>
      <c r="BC1767"/>
      <c r="BD1767"/>
      <c r="BE1767"/>
      <c r="BF1767" s="1"/>
      <c r="BG1767"/>
      <c r="BH1767"/>
      <c r="BI1767"/>
      <c r="BJ1767"/>
      <c r="BK1767"/>
      <c r="BL1767"/>
      <c r="BM1767"/>
      <c r="BN1767"/>
      <c r="BO1767"/>
    </row>
    <row r="1768" spans="8:67" s="2" customFormat="1">
      <c r="H1768" s="202"/>
      <c r="I1768" s="10"/>
      <c r="J1768" s="10"/>
      <c r="K1768" s="10"/>
      <c r="L1768" s="20"/>
      <c r="M1768" s="31"/>
      <c r="N1768" s="39"/>
      <c r="O1768" s="39"/>
      <c r="P1768" s="39"/>
      <c r="Q1768" s="39"/>
      <c r="R1768" s="39"/>
      <c r="S1768" s="39"/>
      <c r="T1768" s="39"/>
      <c r="U1768" s="39"/>
      <c r="V1768" s="39"/>
      <c r="W1768" s="39"/>
      <c r="X1768" s="39"/>
      <c r="Y1768" s="51"/>
      <c r="Z1768" s="51"/>
      <c r="AA1768"/>
      <c r="AB1768"/>
      <c r="AC1768"/>
      <c r="AD1768"/>
      <c r="AE1768"/>
      <c r="AF1768"/>
      <c r="AG1768"/>
      <c r="AH1768"/>
      <c r="AI1768"/>
      <c r="AJ1768" s="185"/>
      <c r="AK1768" s="185"/>
      <c r="AL1768" s="185"/>
      <c r="AM1768" s="185"/>
      <c r="AN1768"/>
      <c r="AO1768" s="1"/>
      <c r="AP1768" s="1"/>
      <c r="AQ1768" s="1"/>
      <c r="AR1768" s="1"/>
      <c r="AS1768"/>
      <c r="AT1768"/>
      <c r="AU1768"/>
      <c r="AV1768"/>
      <c r="AW1768"/>
      <c r="AX1768"/>
      <c r="AY1768"/>
      <c r="AZ1768" s="1"/>
      <c r="BA1768"/>
      <c r="BB1768"/>
      <c r="BC1768"/>
      <c r="BD1768"/>
      <c r="BE1768"/>
      <c r="BF1768" s="1"/>
      <c r="BG1768"/>
      <c r="BH1768"/>
      <c r="BI1768"/>
      <c r="BJ1768"/>
      <c r="BK1768"/>
      <c r="BL1768"/>
      <c r="BM1768"/>
      <c r="BN1768"/>
      <c r="BO1768"/>
    </row>
    <row r="1769" spans="8:67" s="2" customFormat="1">
      <c r="H1769" s="202"/>
      <c r="I1769" s="10"/>
      <c r="J1769" s="10"/>
      <c r="K1769" s="10"/>
      <c r="L1769" s="20"/>
      <c r="M1769" s="31"/>
      <c r="N1769" s="39"/>
      <c r="O1769" s="39"/>
      <c r="P1769" s="39"/>
      <c r="Q1769" s="39"/>
      <c r="R1769" s="39"/>
      <c r="S1769" s="39"/>
      <c r="T1769" s="39"/>
      <c r="U1769" s="39"/>
      <c r="V1769" s="39"/>
      <c r="W1769" s="39"/>
      <c r="X1769" s="39"/>
      <c r="Y1769" s="51"/>
      <c r="Z1769" s="51"/>
      <c r="AA1769"/>
      <c r="AB1769"/>
      <c r="AC1769"/>
      <c r="AD1769"/>
      <c r="AE1769"/>
      <c r="AF1769"/>
      <c r="AG1769"/>
      <c r="AH1769"/>
      <c r="AI1769"/>
      <c r="AJ1769" s="185"/>
      <c r="AK1769" s="185"/>
      <c r="AL1769" s="185"/>
      <c r="AM1769" s="185"/>
      <c r="AN1769"/>
      <c r="AO1769" s="1"/>
      <c r="AP1769" s="1"/>
      <c r="AQ1769" s="1"/>
      <c r="AR1769" s="1"/>
      <c r="AS1769"/>
      <c r="AT1769"/>
      <c r="AU1769"/>
      <c r="AV1769"/>
      <c r="AW1769"/>
      <c r="AX1769"/>
      <c r="AY1769"/>
      <c r="AZ1769" s="1"/>
      <c r="BA1769"/>
      <c r="BB1769"/>
      <c r="BC1769"/>
      <c r="BD1769"/>
      <c r="BE1769"/>
      <c r="BF1769" s="1"/>
      <c r="BG1769"/>
      <c r="BH1769"/>
      <c r="BI1769"/>
      <c r="BJ1769"/>
      <c r="BK1769"/>
      <c r="BL1769"/>
      <c r="BM1769"/>
      <c r="BN1769"/>
      <c r="BO1769"/>
    </row>
    <row r="1770" spans="8:67" s="2" customFormat="1">
      <c r="H1770" s="202"/>
      <c r="I1770" s="10"/>
      <c r="J1770" s="10"/>
      <c r="K1770" s="10"/>
      <c r="L1770" s="20"/>
      <c r="M1770" s="31"/>
      <c r="N1770" s="39"/>
      <c r="O1770" s="39"/>
      <c r="P1770" s="39"/>
      <c r="Q1770" s="39"/>
      <c r="R1770" s="39"/>
      <c r="S1770" s="39"/>
      <c r="T1770" s="39"/>
      <c r="U1770" s="39"/>
      <c r="V1770" s="39"/>
      <c r="W1770" s="39"/>
      <c r="X1770" s="39"/>
      <c r="Y1770" s="51"/>
      <c r="Z1770" s="51"/>
      <c r="AA1770"/>
      <c r="AB1770"/>
      <c r="AC1770"/>
      <c r="AD1770"/>
      <c r="AE1770"/>
      <c r="AF1770"/>
      <c r="AG1770"/>
      <c r="AH1770"/>
      <c r="AI1770"/>
      <c r="AJ1770" s="185"/>
      <c r="AK1770" s="185"/>
      <c r="AL1770" s="185"/>
      <c r="AM1770" s="185"/>
      <c r="AN1770"/>
      <c r="AO1770" s="1"/>
      <c r="AP1770" s="1"/>
      <c r="AQ1770" s="1"/>
      <c r="AR1770" s="1"/>
      <c r="AS1770"/>
      <c r="AT1770"/>
      <c r="AU1770"/>
      <c r="AV1770"/>
      <c r="AW1770"/>
      <c r="AX1770"/>
      <c r="AY1770"/>
      <c r="AZ1770" s="1"/>
      <c r="BA1770"/>
      <c r="BB1770"/>
      <c r="BC1770"/>
      <c r="BD1770"/>
      <c r="BE1770"/>
      <c r="BF1770" s="1"/>
      <c r="BG1770"/>
      <c r="BH1770"/>
      <c r="BI1770"/>
      <c r="BJ1770"/>
      <c r="BK1770"/>
      <c r="BL1770"/>
      <c r="BM1770"/>
      <c r="BN1770"/>
      <c r="BO1770"/>
    </row>
    <row r="1771" spans="8:67" s="2" customFormat="1">
      <c r="H1771" s="202"/>
      <c r="I1771" s="10"/>
      <c r="J1771" s="10"/>
      <c r="K1771" s="10"/>
      <c r="L1771" s="20"/>
      <c r="M1771" s="31"/>
      <c r="N1771" s="39"/>
      <c r="O1771" s="39"/>
      <c r="P1771" s="39"/>
      <c r="Q1771" s="39"/>
      <c r="R1771" s="39"/>
      <c r="S1771" s="39"/>
      <c r="T1771" s="39"/>
      <c r="U1771" s="39"/>
      <c r="V1771" s="39"/>
      <c r="W1771" s="39"/>
      <c r="X1771" s="39"/>
      <c r="Y1771" s="51"/>
      <c r="Z1771" s="51"/>
      <c r="AA1771"/>
      <c r="AB1771"/>
      <c r="AC1771"/>
      <c r="AD1771"/>
      <c r="AE1771"/>
      <c r="AF1771"/>
      <c r="AG1771"/>
      <c r="AH1771"/>
      <c r="AI1771"/>
      <c r="AJ1771" s="185"/>
      <c r="AK1771" s="185"/>
      <c r="AL1771" s="185"/>
      <c r="AM1771" s="185"/>
      <c r="AN1771"/>
      <c r="AO1771" s="1"/>
      <c r="AP1771" s="1"/>
      <c r="AQ1771" s="1"/>
      <c r="AR1771" s="1"/>
      <c r="AS1771"/>
      <c r="AT1771"/>
      <c r="AU1771"/>
      <c r="AV1771"/>
      <c r="AW1771"/>
      <c r="AX1771"/>
      <c r="AY1771"/>
      <c r="AZ1771" s="1"/>
      <c r="BA1771"/>
      <c r="BB1771"/>
      <c r="BC1771"/>
      <c r="BD1771"/>
      <c r="BE1771"/>
      <c r="BF1771" s="1"/>
      <c r="BG1771"/>
      <c r="BH1771"/>
      <c r="BI1771"/>
      <c r="BJ1771"/>
      <c r="BK1771"/>
      <c r="BL1771"/>
      <c r="BM1771"/>
      <c r="BN1771"/>
      <c r="BO1771"/>
    </row>
    <row r="1772" spans="8:67" s="2" customFormat="1">
      <c r="H1772" s="202"/>
      <c r="I1772" s="10"/>
      <c r="J1772" s="10"/>
      <c r="K1772" s="10"/>
      <c r="L1772" s="20"/>
      <c r="M1772" s="31"/>
      <c r="N1772" s="39"/>
      <c r="O1772" s="39"/>
      <c r="P1772" s="39"/>
      <c r="Q1772" s="39"/>
      <c r="R1772" s="39"/>
      <c r="S1772" s="39"/>
      <c r="T1772" s="39"/>
      <c r="U1772" s="39"/>
      <c r="V1772" s="39"/>
      <c r="W1772" s="39"/>
      <c r="X1772" s="39"/>
      <c r="Y1772" s="51"/>
      <c r="Z1772" s="51"/>
      <c r="AA1772"/>
      <c r="AB1772"/>
      <c r="AC1772"/>
      <c r="AD1772"/>
      <c r="AE1772"/>
      <c r="AF1772"/>
      <c r="AG1772"/>
      <c r="AH1772"/>
      <c r="AI1772"/>
      <c r="AJ1772" s="185"/>
      <c r="AK1772" s="185"/>
      <c r="AL1772" s="185"/>
      <c r="AM1772" s="185"/>
      <c r="AN1772"/>
      <c r="AO1772" s="1"/>
      <c r="AP1772" s="1"/>
      <c r="AQ1772" s="1"/>
      <c r="AR1772" s="1"/>
      <c r="AS1772"/>
      <c r="AT1772"/>
      <c r="AU1772"/>
      <c r="AV1772"/>
      <c r="AW1772"/>
      <c r="AX1772"/>
      <c r="AY1772"/>
      <c r="AZ1772" s="1"/>
      <c r="BA1772"/>
      <c r="BB1772"/>
      <c r="BC1772"/>
      <c r="BD1772"/>
      <c r="BE1772"/>
      <c r="BF1772" s="1"/>
      <c r="BG1772"/>
      <c r="BH1772"/>
      <c r="BI1772"/>
      <c r="BJ1772"/>
      <c r="BK1772"/>
      <c r="BL1772"/>
      <c r="BM1772"/>
      <c r="BN1772"/>
      <c r="BO1772"/>
    </row>
    <row r="1773" spans="8:67" s="2" customFormat="1">
      <c r="H1773" s="202"/>
      <c r="I1773" s="10"/>
      <c r="J1773" s="10"/>
      <c r="K1773" s="10"/>
      <c r="L1773" s="20"/>
      <c r="M1773" s="31"/>
      <c r="N1773" s="39"/>
      <c r="O1773" s="39"/>
      <c r="P1773" s="39"/>
      <c r="Q1773" s="39"/>
      <c r="R1773" s="39"/>
      <c r="S1773" s="39"/>
      <c r="T1773" s="39"/>
      <c r="U1773" s="39"/>
      <c r="V1773" s="39"/>
      <c r="W1773" s="39"/>
      <c r="X1773" s="39"/>
      <c r="Y1773" s="51"/>
      <c r="Z1773" s="51"/>
      <c r="AA1773"/>
      <c r="AB1773"/>
      <c r="AC1773"/>
      <c r="AD1773"/>
      <c r="AE1773"/>
      <c r="AF1773"/>
      <c r="AG1773"/>
      <c r="AH1773"/>
      <c r="AI1773"/>
      <c r="AJ1773" s="185"/>
      <c r="AK1773" s="185"/>
      <c r="AL1773" s="185"/>
      <c r="AM1773" s="185"/>
      <c r="AN1773"/>
      <c r="AO1773" s="1"/>
      <c r="AP1773" s="1"/>
      <c r="AQ1773" s="1"/>
      <c r="AR1773" s="1"/>
      <c r="AS1773"/>
      <c r="AT1773"/>
      <c r="AU1773"/>
      <c r="AV1773"/>
      <c r="AW1773"/>
      <c r="AX1773"/>
      <c r="AY1773"/>
      <c r="AZ1773" s="1"/>
      <c r="BA1773"/>
      <c r="BB1773"/>
      <c r="BC1773"/>
      <c r="BD1773"/>
      <c r="BE1773"/>
      <c r="BF1773" s="1"/>
      <c r="BG1773"/>
      <c r="BH1773"/>
      <c r="BI1773"/>
      <c r="BJ1773"/>
      <c r="BK1773"/>
      <c r="BL1773"/>
      <c r="BM1773"/>
      <c r="BN1773"/>
      <c r="BO1773"/>
    </row>
    <row r="1774" spans="8:67" s="2" customFormat="1">
      <c r="H1774" s="202"/>
      <c r="I1774" s="10"/>
      <c r="J1774" s="10"/>
      <c r="K1774" s="10"/>
      <c r="L1774" s="20"/>
      <c r="M1774" s="31"/>
      <c r="N1774" s="39"/>
      <c r="O1774" s="39"/>
      <c r="P1774" s="39"/>
      <c r="Q1774" s="39"/>
      <c r="R1774" s="39"/>
      <c r="S1774" s="39"/>
      <c r="T1774" s="39"/>
      <c r="U1774" s="39"/>
      <c r="V1774" s="39"/>
      <c r="W1774" s="39"/>
      <c r="X1774" s="39"/>
      <c r="Y1774" s="51"/>
      <c r="Z1774" s="51"/>
      <c r="AA1774"/>
      <c r="AB1774"/>
      <c r="AC1774"/>
      <c r="AD1774"/>
      <c r="AE1774"/>
      <c r="AF1774"/>
      <c r="AG1774"/>
      <c r="AH1774"/>
      <c r="AI1774"/>
      <c r="AJ1774" s="185"/>
      <c r="AK1774" s="185"/>
      <c r="AL1774" s="185"/>
      <c r="AM1774" s="185"/>
      <c r="AN1774"/>
      <c r="AO1774" s="1"/>
      <c r="AP1774" s="1"/>
      <c r="AQ1774" s="1"/>
      <c r="AR1774" s="1"/>
      <c r="AS1774"/>
      <c r="AT1774"/>
      <c r="AU1774"/>
      <c r="AV1774"/>
      <c r="AW1774"/>
      <c r="AX1774"/>
      <c r="AY1774"/>
      <c r="AZ1774" s="1"/>
      <c r="BA1774"/>
      <c r="BB1774"/>
      <c r="BC1774"/>
      <c r="BD1774"/>
      <c r="BE1774"/>
      <c r="BF1774" s="1"/>
      <c r="BG1774"/>
      <c r="BH1774"/>
      <c r="BI1774"/>
      <c r="BJ1774"/>
      <c r="BK1774"/>
      <c r="BL1774"/>
      <c r="BM1774"/>
      <c r="BN1774"/>
      <c r="BO1774"/>
    </row>
    <row r="1775" spans="8:67" s="2" customFormat="1">
      <c r="H1775" s="202"/>
      <c r="I1775" s="10"/>
      <c r="J1775" s="10"/>
      <c r="K1775" s="10"/>
      <c r="L1775" s="20"/>
      <c r="M1775" s="31"/>
      <c r="N1775" s="39"/>
      <c r="O1775" s="39"/>
      <c r="P1775" s="39"/>
      <c r="Q1775" s="39"/>
      <c r="R1775" s="39"/>
      <c r="S1775" s="39"/>
      <c r="T1775" s="39"/>
      <c r="U1775" s="39"/>
      <c r="V1775" s="39"/>
      <c r="W1775" s="39"/>
      <c r="X1775" s="39"/>
      <c r="Y1775" s="51"/>
      <c r="Z1775" s="51"/>
      <c r="AA1775"/>
      <c r="AB1775"/>
      <c r="AC1775"/>
      <c r="AD1775"/>
      <c r="AE1775"/>
      <c r="AF1775"/>
      <c r="AG1775"/>
      <c r="AH1775"/>
      <c r="AI1775"/>
      <c r="AJ1775" s="185"/>
      <c r="AK1775" s="185"/>
      <c r="AL1775" s="185"/>
      <c r="AM1775" s="185"/>
      <c r="AN1775"/>
      <c r="AO1775" s="1"/>
      <c r="AP1775" s="1"/>
      <c r="AQ1775" s="1"/>
      <c r="AR1775" s="1"/>
      <c r="AS1775"/>
      <c r="AT1775"/>
      <c r="AU1775"/>
      <c r="AV1775"/>
      <c r="AW1775"/>
      <c r="AX1775"/>
      <c r="AY1775"/>
      <c r="AZ1775" s="1"/>
      <c r="BA1775"/>
      <c r="BB1775"/>
      <c r="BC1775"/>
      <c r="BD1775"/>
      <c r="BE1775"/>
      <c r="BF1775" s="1"/>
      <c r="BG1775"/>
      <c r="BH1775"/>
      <c r="BI1775"/>
      <c r="BJ1775"/>
      <c r="BK1775"/>
      <c r="BL1775"/>
      <c r="BM1775"/>
      <c r="BN1775"/>
      <c r="BO1775"/>
    </row>
    <row r="1776" spans="8:67" s="2" customFormat="1">
      <c r="H1776" s="202"/>
      <c r="I1776" s="10"/>
      <c r="J1776" s="10"/>
      <c r="K1776" s="10"/>
      <c r="L1776" s="20"/>
      <c r="M1776" s="31"/>
      <c r="N1776" s="39"/>
      <c r="O1776" s="39"/>
      <c r="P1776" s="39"/>
      <c r="Q1776" s="39"/>
      <c r="R1776" s="39"/>
      <c r="S1776" s="39"/>
      <c r="T1776" s="39"/>
      <c r="U1776" s="39"/>
      <c r="V1776" s="39"/>
      <c r="W1776" s="39"/>
      <c r="X1776" s="39"/>
      <c r="Y1776" s="51"/>
      <c r="Z1776" s="51"/>
      <c r="AA1776"/>
      <c r="AB1776"/>
      <c r="AC1776"/>
      <c r="AD1776"/>
      <c r="AE1776"/>
      <c r="AF1776"/>
      <c r="AG1776"/>
      <c r="AH1776"/>
      <c r="AI1776"/>
      <c r="AJ1776" s="185"/>
      <c r="AK1776" s="185"/>
      <c r="AL1776" s="185"/>
      <c r="AM1776" s="185"/>
      <c r="AN1776"/>
      <c r="AO1776" s="1"/>
      <c r="AP1776" s="1"/>
      <c r="AQ1776" s="1"/>
      <c r="AR1776" s="1"/>
      <c r="AS1776"/>
      <c r="AT1776"/>
      <c r="AU1776"/>
      <c r="AV1776"/>
      <c r="AW1776"/>
      <c r="AX1776"/>
      <c r="AY1776"/>
      <c r="AZ1776" s="1"/>
      <c r="BA1776"/>
      <c r="BB1776"/>
      <c r="BC1776"/>
      <c r="BD1776"/>
      <c r="BE1776"/>
      <c r="BF1776" s="1"/>
      <c r="BG1776"/>
      <c r="BH1776"/>
      <c r="BI1776"/>
      <c r="BJ1776"/>
      <c r="BK1776"/>
      <c r="BL1776"/>
      <c r="BM1776"/>
      <c r="BN1776"/>
      <c r="BO1776"/>
    </row>
    <row r="1777" spans="8:68" s="2" customFormat="1">
      <c r="H1777" s="202"/>
      <c r="I1777" s="10"/>
      <c r="J1777" s="10"/>
      <c r="K1777" s="10"/>
      <c r="L1777" s="20"/>
      <c r="M1777" s="31"/>
      <c r="N1777" s="39"/>
      <c r="O1777" s="39"/>
      <c r="P1777" s="39"/>
      <c r="Q1777" s="39"/>
      <c r="R1777" s="39"/>
      <c r="S1777" s="39"/>
      <c r="T1777" s="39"/>
      <c r="U1777" s="39"/>
      <c r="V1777" s="39"/>
      <c r="W1777" s="39"/>
      <c r="X1777" s="39"/>
      <c r="Y1777" s="51"/>
      <c r="Z1777" s="51"/>
      <c r="AA1777"/>
      <c r="AB1777"/>
      <c r="AC1777"/>
      <c r="AD1777"/>
      <c r="AE1777"/>
      <c r="AF1777"/>
      <c r="AG1777"/>
      <c r="AH1777"/>
      <c r="AI1777"/>
      <c r="AJ1777" s="185"/>
      <c r="AK1777" s="185"/>
      <c r="AL1777" s="185"/>
      <c r="AM1777" s="185"/>
      <c r="AN1777"/>
      <c r="AO1777" s="1"/>
      <c r="AP1777" s="1"/>
      <c r="AQ1777" s="1"/>
      <c r="AR1777" s="1"/>
      <c r="AS1777"/>
      <c r="AT1777"/>
      <c r="AU1777"/>
      <c r="AV1777"/>
      <c r="AW1777"/>
      <c r="AX1777"/>
      <c r="AY1777"/>
      <c r="AZ1777" s="1"/>
      <c r="BA1777"/>
      <c r="BB1777"/>
      <c r="BC1777"/>
      <c r="BD1777"/>
      <c r="BE1777"/>
      <c r="BF1777" s="1"/>
      <c r="BG1777"/>
      <c r="BH1777"/>
      <c r="BI1777"/>
      <c r="BJ1777"/>
      <c r="BK1777"/>
      <c r="BL1777"/>
      <c r="BM1777"/>
      <c r="BN1777"/>
      <c r="BO1777"/>
    </row>
    <row r="1778" spans="8:68" s="2" customFormat="1">
      <c r="H1778" s="202"/>
      <c r="I1778" s="10"/>
      <c r="J1778" s="10"/>
      <c r="K1778" s="10"/>
      <c r="L1778" s="20"/>
      <c r="M1778" s="31"/>
      <c r="N1778" s="39"/>
      <c r="O1778" s="39"/>
      <c r="P1778" s="39"/>
      <c r="Q1778" s="39"/>
      <c r="R1778" s="39"/>
      <c r="S1778" s="39"/>
      <c r="T1778" s="39"/>
      <c r="U1778" s="39"/>
      <c r="V1778" s="39"/>
      <c r="W1778" s="39"/>
      <c r="X1778" s="39"/>
      <c r="Y1778" s="51"/>
      <c r="Z1778" s="51"/>
      <c r="AA1778"/>
      <c r="AB1778"/>
      <c r="AC1778"/>
      <c r="AD1778"/>
      <c r="AE1778"/>
      <c r="AF1778"/>
      <c r="AG1778"/>
      <c r="AH1778"/>
      <c r="AI1778"/>
      <c r="AJ1778" s="185"/>
      <c r="AK1778" s="185"/>
      <c r="AL1778" s="185"/>
      <c r="AM1778" s="185"/>
      <c r="AN1778"/>
      <c r="AO1778" s="1"/>
      <c r="AP1778" s="1"/>
      <c r="AQ1778" s="1"/>
      <c r="AR1778" s="1"/>
      <c r="AS1778"/>
      <c r="AT1778"/>
      <c r="AU1778"/>
      <c r="AV1778"/>
      <c r="AW1778"/>
      <c r="AX1778"/>
      <c r="AY1778"/>
      <c r="AZ1778" s="1"/>
      <c r="BA1778"/>
      <c r="BB1778"/>
      <c r="BC1778"/>
      <c r="BD1778"/>
      <c r="BE1778"/>
      <c r="BF1778" s="1"/>
      <c r="BG1778"/>
      <c r="BH1778"/>
      <c r="BI1778"/>
      <c r="BJ1778"/>
      <c r="BK1778"/>
      <c r="BL1778"/>
      <c r="BM1778"/>
      <c r="BN1778"/>
      <c r="BO1778"/>
    </row>
    <row r="1779" spans="8:68" s="2" customFormat="1">
      <c r="H1779" s="202"/>
      <c r="I1779" s="10"/>
      <c r="J1779" s="10"/>
      <c r="K1779" s="10"/>
      <c r="L1779" s="20"/>
      <c r="M1779" s="31"/>
      <c r="N1779" s="39"/>
      <c r="O1779" s="39"/>
      <c r="P1779" s="39"/>
      <c r="Q1779" s="39"/>
      <c r="R1779" s="39"/>
      <c r="S1779" s="39"/>
      <c r="T1779" s="39"/>
      <c r="U1779" s="39"/>
      <c r="V1779" s="39"/>
      <c r="W1779" s="39"/>
      <c r="X1779" s="39"/>
      <c r="Y1779" s="51"/>
      <c r="Z1779" s="51"/>
      <c r="AA1779"/>
      <c r="AB1779"/>
      <c r="AC1779"/>
      <c r="AD1779"/>
      <c r="AE1779"/>
      <c r="AF1779"/>
      <c r="AG1779"/>
      <c r="AH1779"/>
      <c r="AI1779"/>
      <c r="AJ1779" s="185"/>
      <c r="AK1779" s="185"/>
      <c r="AL1779" s="185"/>
      <c r="AM1779" s="185"/>
      <c r="AN1779"/>
      <c r="AO1779" s="1"/>
      <c r="AP1779" s="1"/>
      <c r="AQ1779" s="1"/>
      <c r="AR1779" s="1"/>
      <c r="AS1779"/>
      <c r="AT1779"/>
      <c r="AU1779"/>
      <c r="AV1779"/>
      <c r="AW1779"/>
      <c r="AX1779"/>
      <c r="AY1779"/>
      <c r="AZ1779" s="1"/>
      <c r="BA1779"/>
      <c r="BB1779"/>
      <c r="BC1779"/>
      <c r="BD1779"/>
      <c r="BE1779"/>
      <c r="BF1779" s="1"/>
      <c r="BG1779"/>
      <c r="BH1779"/>
      <c r="BI1779"/>
      <c r="BJ1779"/>
      <c r="BK1779"/>
      <c r="BL1779"/>
      <c r="BM1779"/>
      <c r="BN1779"/>
      <c r="BO1779"/>
    </row>
    <row r="1780" spans="8:68" s="2" customFormat="1">
      <c r="H1780" s="202"/>
      <c r="I1780" s="10"/>
      <c r="J1780" s="10"/>
      <c r="K1780" s="10"/>
      <c r="L1780" s="20"/>
      <c r="M1780" s="31"/>
      <c r="N1780" s="39"/>
      <c r="O1780" s="39"/>
      <c r="P1780" s="39"/>
      <c r="Q1780" s="39"/>
      <c r="R1780" s="39"/>
      <c r="S1780" s="39"/>
      <c r="T1780" s="39"/>
      <c r="U1780" s="39"/>
      <c r="V1780" s="39"/>
      <c r="W1780" s="39"/>
      <c r="X1780" s="39"/>
      <c r="Y1780" s="51"/>
      <c r="Z1780" s="51"/>
      <c r="AA1780"/>
      <c r="AB1780"/>
      <c r="AC1780"/>
      <c r="AD1780"/>
      <c r="AE1780"/>
      <c r="AF1780"/>
      <c r="AG1780"/>
      <c r="AH1780"/>
      <c r="AI1780"/>
      <c r="AJ1780" s="185"/>
      <c r="AK1780" s="185"/>
      <c r="AL1780" s="185"/>
      <c r="AM1780" s="185"/>
      <c r="AN1780"/>
      <c r="AO1780" s="1"/>
      <c r="AP1780" s="1"/>
      <c r="AQ1780" s="1"/>
      <c r="AR1780" s="1"/>
      <c r="AS1780"/>
      <c r="AT1780"/>
      <c r="AU1780"/>
      <c r="AV1780"/>
      <c r="AW1780"/>
      <c r="AX1780"/>
      <c r="AY1780"/>
      <c r="AZ1780" s="1"/>
      <c r="BA1780"/>
      <c r="BB1780"/>
      <c r="BC1780"/>
      <c r="BD1780"/>
      <c r="BE1780"/>
      <c r="BF1780" s="1"/>
      <c r="BG1780"/>
      <c r="BH1780"/>
      <c r="BI1780"/>
      <c r="BJ1780"/>
      <c r="BK1780"/>
      <c r="BL1780"/>
      <c r="BM1780"/>
      <c r="BN1780"/>
      <c r="BO1780"/>
    </row>
    <row r="1781" spans="8:68" s="2" customFormat="1">
      <c r="H1781" s="202"/>
      <c r="I1781" s="10"/>
      <c r="J1781" s="10"/>
      <c r="K1781" s="10"/>
      <c r="L1781" s="20"/>
      <c r="M1781" s="31"/>
      <c r="N1781" s="39"/>
      <c r="O1781" s="39"/>
      <c r="P1781" s="39"/>
      <c r="Q1781" s="39"/>
      <c r="R1781" s="39"/>
      <c r="S1781" s="39"/>
      <c r="T1781" s="39"/>
      <c r="U1781" s="39"/>
      <c r="V1781" s="39"/>
      <c r="W1781" s="39"/>
      <c r="X1781" s="39"/>
      <c r="Y1781" s="51"/>
      <c r="Z1781" s="51"/>
      <c r="AA1781"/>
      <c r="AB1781"/>
      <c r="AC1781"/>
      <c r="AD1781"/>
      <c r="AE1781"/>
      <c r="AF1781"/>
      <c r="AG1781"/>
      <c r="AH1781"/>
      <c r="AI1781"/>
      <c r="AJ1781" s="185"/>
      <c r="AK1781" s="185"/>
      <c r="AL1781" s="185"/>
      <c r="AM1781" s="185"/>
      <c r="AN1781"/>
      <c r="AO1781" s="1"/>
      <c r="AP1781" s="1"/>
      <c r="AQ1781" s="1"/>
      <c r="AR1781" s="1"/>
      <c r="AS1781"/>
      <c r="AT1781"/>
      <c r="AU1781"/>
      <c r="AV1781"/>
      <c r="AW1781"/>
      <c r="AX1781"/>
      <c r="AY1781"/>
      <c r="AZ1781" s="1"/>
      <c r="BA1781"/>
      <c r="BB1781"/>
      <c r="BC1781"/>
      <c r="BD1781"/>
      <c r="BE1781"/>
      <c r="BF1781" s="1"/>
      <c r="BG1781"/>
      <c r="BH1781"/>
      <c r="BI1781"/>
      <c r="BJ1781"/>
      <c r="BK1781"/>
      <c r="BL1781"/>
      <c r="BM1781"/>
      <c r="BN1781"/>
      <c r="BO1781"/>
    </row>
    <row r="1782" spans="8:68" s="2" customFormat="1">
      <c r="H1782" s="202"/>
      <c r="I1782" s="10"/>
      <c r="J1782" s="10"/>
      <c r="K1782" s="10"/>
      <c r="L1782" s="20"/>
      <c r="M1782" s="31"/>
      <c r="N1782" s="39"/>
      <c r="O1782" s="39"/>
      <c r="P1782" s="39"/>
      <c r="Q1782" s="39"/>
      <c r="R1782" s="39"/>
      <c r="S1782" s="39"/>
      <c r="T1782" s="39"/>
      <c r="U1782" s="39"/>
      <c r="V1782" s="39"/>
      <c r="W1782" s="39"/>
      <c r="X1782" s="39"/>
      <c r="Y1782" s="51"/>
      <c r="Z1782" s="51"/>
      <c r="AA1782"/>
      <c r="AB1782"/>
      <c r="AC1782"/>
      <c r="AD1782"/>
      <c r="AE1782"/>
      <c r="AF1782"/>
      <c r="AG1782"/>
      <c r="AH1782"/>
      <c r="AI1782"/>
      <c r="AJ1782" s="185"/>
      <c r="AK1782" s="185"/>
      <c r="AL1782" s="185"/>
      <c r="AM1782" s="185"/>
      <c r="AN1782"/>
      <c r="AO1782" s="1"/>
      <c r="AP1782" s="1"/>
      <c r="AQ1782" s="1"/>
      <c r="AR1782" s="1"/>
      <c r="AS1782"/>
      <c r="AT1782"/>
      <c r="AU1782"/>
      <c r="AV1782"/>
      <c r="AW1782"/>
      <c r="AX1782"/>
      <c r="AY1782"/>
      <c r="AZ1782" s="1"/>
      <c r="BA1782"/>
      <c r="BB1782"/>
      <c r="BC1782"/>
      <c r="BD1782"/>
      <c r="BE1782"/>
      <c r="BF1782" s="1"/>
      <c r="BG1782"/>
      <c r="BH1782"/>
      <c r="BI1782"/>
      <c r="BJ1782"/>
      <c r="BK1782"/>
      <c r="BL1782"/>
      <c r="BM1782"/>
      <c r="BN1782"/>
      <c r="BO1782"/>
    </row>
    <row r="1783" spans="8:68">
      <c r="L1783" s="296"/>
      <c r="M1783" s="30"/>
      <c r="N1783" s="38"/>
      <c r="O1783" s="38"/>
      <c r="P1783" s="38"/>
      <c r="Q1783" s="38"/>
      <c r="R1783" s="38"/>
      <c r="S1783" s="38"/>
      <c r="T1783" s="38"/>
      <c r="U1783" s="38"/>
      <c r="V1783" s="38"/>
      <c r="W1783" s="38"/>
      <c r="X1783" s="38"/>
      <c r="Y1783" s="49"/>
      <c r="Z1783" s="49"/>
      <c r="BP1783" s="293"/>
    </row>
    <row r="1784" spans="8:68">
      <c r="L1784" s="296"/>
      <c r="M1784" s="30"/>
      <c r="N1784" s="38"/>
      <c r="O1784" s="38"/>
      <c r="P1784" s="38"/>
      <c r="Q1784" s="38"/>
      <c r="R1784" s="38"/>
      <c r="S1784" s="38"/>
      <c r="T1784" s="38"/>
      <c r="U1784" s="38"/>
      <c r="V1784" s="38"/>
      <c r="W1784" s="38"/>
      <c r="X1784" s="38"/>
      <c r="Y1784" s="49"/>
      <c r="Z1784" s="49"/>
      <c r="BP1784" s="293"/>
    </row>
    <row r="1785" spans="8:68">
      <c r="L1785" s="296"/>
      <c r="M1785" s="30"/>
      <c r="N1785" s="38"/>
      <c r="O1785" s="38"/>
      <c r="P1785" s="38"/>
      <c r="Q1785" s="38"/>
      <c r="R1785" s="38"/>
      <c r="S1785" s="38"/>
      <c r="T1785" s="38"/>
      <c r="U1785" s="38"/>
      <c r="V1785" s="38"/>
      <c r="W1785" s="38"/>
      <c r="X1785" s="38"/>
      <c r="Y1785" s="49"/>
      <c r="Z1785" s="49"/>
      <c r="BP1785" s="293"/>
    </row>
    <row r="1786" spans="8:68">
      <c r="L1786" s="296"/>
      <c r="M1786" s="30"/>
      <c r="N1786" s="38"/>
      <c r="O1786" s="38"/>
      <c r="P1786" s="38"/>
      <c r="Q1786" s="38"/>
      <c r="R1786" s="38"/>
      <c r="S1786" s="38"/>
      <c r="T1786" s="38"/>
      <c r="U1786" s="38"/>
      <c r="V1786" s="38"/>
      <c r="W1786" s="38"/>
      <c r="X1786" s="38"/>
      <c r="Y1786" s="49"/>
      <c r="Z1786" s="49"/>
      <c r="BP1786" s="293"/>
    </row>
    <row r="1787" spans="8:68">
      <c r="L1787" s="296"/>
      <c r="M1787" s="30"/>
      <c r="N1787" s="38"/>
      <c r="O1787" s="38"/>
      <c r="P1787" s="38"/>
      <c r="Q1787" s="38"/>
      <c r="R1787" s="38"/>
      <c r="S1787" s="38"/>
      <c r="T1787" s="38"/>
      <c r="U1787" s="38"/>
      <c r="V1787" s="38"/>
      <c r="W1787" s="38"/>
      <c r="X1787" s="38"/>
      <c r="Y1787" s="49"/>
      <c r="Z1787" s="49"/>
      <c r="BP1787" s="293"/>
    </row>
    <row r="1788" spans="8:68">
      <c r="L1788" s="296"/>
      <c r="M1788" s="30"/>
      <c r="N1788" s="38"/>
      <c r="O1788" s="38"/>
      <c r="P1788" s="38"/>
      <c r="Q1788" s="38"/>
      <c r="R1788" s="38"/>
      <c r="S1788" s="38"/>
      <c r="T1788" s="38"/>
      <c r="U1788" s="38"/>
      <c r="V1788" s="38"/>
      <c r="W1788" s="38"/>
      <c r="X1788" s="38"/>
      <c r="Y1788" s="49"/>
      <c r="Z1788" s="49"/>
      <c r="BP1788" s="293"/>
    </row>
    <row r="1789" spans="8:68">
      <c r="L1789" s="296"/>
      <c r="M1789" s="30"/>
      <c r="N1789" s="38"/>
      <c r="O1789" s="38"/>
      <c r="P1789" s="38"/>
      <c r="Q1789" s="38"/>
      <c r="R1789" s="38"/>
      <c r="S1789" s="38"/>
      <c r="T1789" s="38"/>
      <c r="U1789" s="38"/>
      <c r="V1789" s="38"/>
      <c r="W1789" s="38"/>
      <c r="X1789" s="38"/>
      <c r="Y1789" s="49"/>
      <c r="Z1789" s="49"/>
      <c r="BP1789" s="293"/>
    </row>
    <row r="1790" spans="8:68">
      <c r="L1790" s="296"/>
      <c r="M1790" s="30"/>
      <c r="N1790" s="38"/>
      <c r="O1790" s="38"/>
      <c r="P1790" s="38"/>
      <c r="Q1790" s="38"/>
      <c r="R1790" s="38"/>
      <c r="S1790" s="38"/>
      <c r="T1790" s="38"/>
      <c r="U1790" s="38"/>
      <c r="V1790" s="38"/>
      <c r="W1790" s="38"/>
      <c r="X1790" s="38"/>
      <c r="Y1790" s="49"/>
      <c r="Z1790" s="49"/>
      <c r="BP1790" s="293"/>
    </row>
    <row r="1791" spans="8:68">
      <c r="L1791" s="296"/>
      <c r="M1791" s="30"/>
      <c r="N1791" s="38"/>
      <c r="O1791" s="38"/>
      <c r="P1791" s="38"/>
      <c r="Q1791" s="38"/>
      <c r="R1791" s="38"/>
      <c r="S1791" s="38"/>
      <c r="T1791" s="38"/>
      <c r="U1791" s="38"/>
      <c r="V1791" s="38"/>
      <c r="W1791" s="38"/>
      <c r="X1791" s="38"/>
      <c r="Y1791" s="49"/>
      <c r="Z1791" s="49"/>
      <c r="BP1791" s="293"/>
    </row>
    <row r="1792" spans="8:68">
      <c r="L1792" s="296"/>
      <c r="M1792" s="30"/>
      <c r="N1792" s="38"/>
      <c r="O1792" s="38"/>
      <c r="P1792" s="38"/>
      <c r="Q1792" s="38"/>
      <c r="R1792" s="38"/>
      <c r="S1792" s="38"/>
      <c r="T1792" s="38"/>
      <c r="U1792" s="38"/>
      <c r="V1792" s="38"/>
      <c r="W1792" s="38"/>
      <c r="X1792" s="38"/>
      <c r="Y1792" s="49"/>
      <c r="Z1792" s="49"/>
      <c r="BP1792" s="293"/>
    </row>
    <row r="1793" spans="12:68">
      <c r="L1793" s="296"/>
      <c r="M1793" s="30"/>
      <c r="N1793" s="38"/>
      <c r="O1793" s="38"/>
      <c r="P1793" s="38"/>
      <c r="Q1793" s="38"/>
      <c r="R1793" s="38"/>
      <c r="S1793" s="38"/>
      <c r="T1793" s="38"/>
      <c r="U1793" s="38"/>
      <c r="V1793" s="38"/>
      <c r="W1793" s="38"/>
      <c r="X1793" s="38"/>
      <c r="Y1793" s="49"/>
      <c r="Z1793" s="49"/>
      <c r="BP1793" s="293"/>
    </row>
    <row r="1794" spans="12:68">
      <c r="L1794" s="296"/>
      <c r="M1794" s="30"/>
      <c r="N1794" s="38"/>
      <c r="O1794" s="38"/>
      <c r="P1794" s="38"/>
      <c r="Q1794" s="38"/>
      <c r="R1794" s="38"/>
      <c r="S1794" s="38"/>
      <c r="T1794" s="38"/>
      <c r="U1794" s="38"/>
      <c r="V1794" s="38"/>
      <c r="W1794" s="38"/>
      <c r="X1794" s="38"/>
      <c r="Y1794" s="49"/>
      <c r="Z1794" s="49"/>
      <c r="BP1794" s="293"/>
    </row>
    <row r="1795" spans="12:68">
      <c r="L1795" s="296"/>
      <c r="M1795" s="30"/>
      <c r="N1795" s="38"/>
      <c r="O1795" s="38"/>
      <c r="P1795" s="38"/>
      <c r="Q1795" s="38"/>
      <c r="R1795" s="38"/>
      <c r="S1795" s="38"/>
      <c r="T1795" s="38"/>
      <c r="U1795" s="38"/>
      <c r="V1795" s="38"/>
      <c r="W1795" s="38"/>
      <c r="X1795" s="38"/>
      <c r="Y1795" s="49"/>
      <c r="Z1795" s="49"/>
      <c r="BP1795" s="293"/>
    </row>
    <row r="1796" spans="12:68">
      <c r="L1796" s="296"/>
      <c r="M1796" s="30"/>
      <c r="N1796" s="38"/>
      <c r="O1796" s="38"/>
      <c r="P1796" s="38"/>
      <c r="Q1796" s="38"/>
      <c r="R1796" s="38"/>
      <c r="S1796" s="38"/>
      <c r="T1796" s="38"/>
      <c r="U1796" s="38"/>
      <c r="V1796" s="38"/>
      <c r="W1796" s="38"/>
      <c r="X1796" s="38"/>
      <c r="Y1796" s="49"/>
      <c r="Z1796" s="49"/>
      <c r="BP1796" s="293"/>
    </row>
    <row r="1797" spans="12:68">
      <c r="L1797" s="296"/>
      <c r="M1797" s="30"/>
      <c r="N1797" s="38"/>
      <c r="O1797" s="38"/>
      <c r="P1797" s="38"/>
      <c r="Q1797" s="38"/>
      <c r="R1797" s="38"/>
      <c r="S1797" s="38"/>
      <c r="T1797" s="38"/>
      <c r="U1797" s="38"/>
      <c r="V1797" s="38"/>
      <c r="W1797" s="38"/>
      <c r="X1797" s="38"/>
      <c r="Y1797" s="49"/>
      <c r="Z1797" s="49"/>
      <c r="BP1797" s="293"/>
    </row>
    <row r="1798" spans="12:68">
      <c r="L1798" s="296"/>
      <c r="M1798" s="30"/>
      <c r="N1798" s="38"/>
      <c r="O1798" s="38"/>
      <c r="P1798" s="38"/>
      <c r="Q1798" s="38"/>
      <c r="R1798" s="38"/>
      <c r="S1798" s="38"/>
      <c r="T1798" s="38"/>
      <c r="U1798" s="38"/>
      <c r="V1798" s="38"/>
      <c r="W1798" s="38"/>
      <c r="X1798" s="38"/>
      <c r="Y1798" s="49"/>
      <c r="Z1798" s="49"/>
      <c r="BP1798" s="293"/>
    </row>
    <row r="1799" spans="12:68">
      <c r="L1799" s="296"/>
      <c r="M1799" s="30"/>
      <c r="N1799" s="38"/>
      <c r="O1799" s="38"/>
      <c r="P1799" s="38"/>
      <c r="Q1799" s="38"/>
      <c r="R1799" s="38"/>
      <c r="S1799" s="38"/>
      <c r="T1799" s="38"/>
      <c r="U1799" s="38"/>
      <c r="V1799" s="38"/>
      <c r="W1799" s="38"/>
      <c r="X1799" s="38"/>
      <c r="Y1799" s="49"/>
      <c r="Z1799" s="49"/>
      <c r="BP1799" s="293"/>
    </row>
    <row r="1800" spans="12:68">
      <c r="L1800" s="296"/>
      <c r="M1800" s="30"/>
      <c r="N1800" s="38"/>
      <c r="O1800" s="38"/>
      <c r="P1800" s="38"/>
      <c r="Q1800" s="38"/>
      <c r="R1800" s="38"/>
      <c r="S1800" s="38"/>
      <c r="T1800" s="38"/>
      <c r="U1800" s="38"/>
      <c r="V1800" s="38"/>
      <c r="W1800" s="38"/>
      <c r="X1800" s="38"/>
      <c r="Y1800" s="49"/>
      <c r="Z1800" s="49"/>
      <c r="BP1800" s="293"/>
    </row>
    <row r="1801" spans="12:68">
      <c r="L1801" s="296"/>
      <c r="M1801" s="30"/>
      <c r="N1801" s="38"/>
      <c r="O1801" s="38"/>
      <c r="P1801" s="38"/>
      <c r="Q1801" s="38"/>
      <c r="R1801" s="38"/>
      <c r="S1801" s="38"/>
      <c r="T1801" s="38"/>
      <c r="U1801" s="38"/>
      <c r="V1801" s="38"/>
      <c r="W1801" s="38"/>
      <c r="X1801" s="38"/>
      <c r="Y1801" s="49"/>
      <c r="Z1801" s="49"/>
      <c r="BP1801" s="293"/>
    </row>
    <row r="1802" spans="12:68">
      <c r="L1802" s="296"/>
      <c r="M1802" s="30"/>
      <c r="N1802" s="38"/>
      <c r="O1802" s="38"/>
      <c r="P1802" s="38"/>
      <c r="Q1802" s="38"/>
      <c r="R1802" s="38"/>
      <c r="S1802" s="38"/>
      <c r="T1802" s="38"/>
      <c r="U1802" s="38"/>
      <c r="V1802" s="38"/>
      <c r="W1802" s="38"/>
      <c r="X1802" s="38"/>
      <c r="Y1802" s="49"/>
      <c r="Z1802" s="49"/>
      <c r="BP1802" s="293"/>
    </row>
    <row r="1803" spans="12:68">
      <c r="L1803" s="296"/>
      <c r="M1803" s="30"/>
      <c r="N1803" s="38"/>
      <c r="O1803" s="38"/>
      <c r="P1803" s="38"/>
      <c r="Q1803" s="38"/>
      <c r="R1803" s="38"/>
      <c r="S1803" s="38"/>
      <c r="T1803" s="38"/>
      <c r="U1803" s="38"/>
      <c r="V1803" s="38"/>
      <c r="W1803" s="38"/>
      <c r="X1803" s="38"/>
      <c r="Y1803" s="49"/>
      <c r="Z1803" s="49"/>
      <c r="BP1803" s="293"/>
    </row>
    <row r="1804" spans="12:68">
      <c r="L1804" s="296"/>
      <c r="M1804" s="30"/>
      <c r="N1804" s="38"/>
      <c r="O1804" s="38"/>
      <c r="P1804" s="38"/>
      <c r="Q1804" s="38"/>
      <c r="R1804" s="38"/>
      <c r="S1804" s="38"/>
      <c r="T1804" s="38"/>
      <c r="U1804" s="38"/>
      <c r="V1804" s="38"/>
      <c r="W1804" s="38"/>
      <c r="X1804" s="38"/>
      <c r="Y1804" s="49"/>
      <c r="Z1804" s="49"/>
      <c r="BP1804" s="293"/>
    </row>
    <row r="1805" spans="12:68">
      <c r="L1805" s="296"/>
      <c r="M1805" s="30"/>
      <c r="N1805" s="38"/>
      <c r="O1805" s="38"/>
      <c r="P1805" s="38"/>
      <c r="Q1805" s="38"/>
      <c r="R1805" s="38"/>
      <c r="S1805" s="38"/>
      <c r="T1805" s="38"/>
      <c r="U1805" s="38"/>
      <c r="V1805" s="38"/>
      <c r="W1805" s="38"/>
      <c r="X1805" s="38"/>
      <c r="Y1805" s="49"/>
      <c r="Z1805" s="49"/>
      <c r="BP1805" s="293"/>
    </row>
    <row r="1806" spans="12:68">
      <c r="L1806" s="296"/>
      <c r="M1806" s="30"/>
      <c r="N1806" s="38"/>
      <c r="O1806" s="38"/>
      <c r="P1806" s="38"/>
      <c r="Q1806" s="38"/>
      <c r="R1806" s="38"/>
      <c r="S1806" s="38"/>
      <c r="T1806" s="38"/>
      <c r="U1806" s="38"/>
      <c r="V1806" s="38"/>
      <c r="W1806" s="38"/>
      <c r="X1806" s="38"/>
      <c r="Y1806" s="49"/>
      <c r="Z1806" s="49"/>
      <c r="BP1806" s="293"/>
    </row>
    <row r="1807" spans="12:68">
      <c r="L1807" s="296"/>
      <c r="M1807" s="30"/>
      <c r="N1807" s="38"/>
      <c r="O1807" s="38"/>
      <c r="P1807" s="38"/>
      <c r="Q1807" s="38"/>
      <c r="R1807" s="38"/>
      <c r="S1807" s="38"/>
      <c r="T1807" s="38"/>
      <c r="U1807" s="38"/>
      <c r="V1807" s="38"/>
      <c r="W1807" s="38"/>
      <c r="X1807" s="38"/>
      <c r="Y1807" s="49"/>
      <c r="Z1807" s="49"/>
      <c r="BP1807" s="293"/>
    </row>
    <row r="1808" spans="12:68">
      <c r="L1808" s="296"/>
      <c r="M1808" s="30"/>
      <c r="N1808" s="38"/>
      <c r="O1808" s="38"/>
      <c r="P1808" s="38"/>
      <c r="Q1808" s="38"/>
      <c r="R1808" s="38"/>
      <c r="S1808" s="38"/>
      <c r="T1808" s="38"/>
      <c r="U1808" s="38"/>
      <c r="V1808" s="38"/>
      <c r="W1808" s="38"/>
      <c r="X1808" s="38"/>
      <c r="Y1808" s="49"/>
      <c r="Z1808" s="49"/>
      <c r="BP1808" s="293"/>
    </row>
    <row r="1809" spans="12:68">
      <c r="L1809" s="296"/>
      <c r="M1809" s="30"/>
      <c r="N1809" s="38"/>
      <c r="O1809" s="38"/>
      <c r="P1809" s="38"/>
      <c r="Q1809" s="38"/>
      <c r="R1809" s="38"/>
      <c r="S1809" s="38"/>
      <c r="T1809" s="38"/>
      <c r="U1809" s="38"/>
      <c r="V1809" s="38"/>
      <c r="W1809" s="38"/>
      <c r="X1809" s="38"/>
      <c r="Y1809" s="49"/>
      <c r="Z1809" s="49"/>
      <c r="BP1809" s="293"/>
    </row>
    <row r="1810" spans="12:68">
      <c r="L1810" s="296"/>
      <c r="M1810" s="30"/>
      <c r="N1810" s="38"/>
      <c r="O1810" s="38"/>
      <c r="P1810" s="38"/>
      <c r="Q1810" s="38"/>
      <c r="R1810" s="38"/>
      <c r="S1810" s="38"/>
      <c r="T1810" s="38"/>
      <c r="U1810" s="38"/>
      <c r="V1810" s="38"/>
      <c r="W1810" s="38"/>
      <c r="X1810" s="38"/>
      <c r="Y1810" s="49"/>
      <c r="Z1810" s="49"/>
      <c r="BP1810" s="293"/>
    </row>
    <row r="1811" spans="12:68">
      <c r="L1811" s="296"/>
      <c r="M1811" s="30"/>
      <c r="N1811" s="38"/>
      <c r="O1811" s="38"/>
      <c r="P1811" s="38"/>
      <c r="Q1811" s="38"/>
      <c r="R1811" s="38"/>
      <c r="S1811" s="38"/>
      <c r="T1811" s="38"/>
      <c r="U1811" s="38"/>
      <c r="V1811" s="38"/>
      <c r="W1811" s="38"/>
      <c r="X1811" s="38"/>
      <c r="Y1811" s="49"/>
      <c r="Z1811" s="49"/>
      <c r="BP1811" s="293"/>
    </row>
    <row r="1812" spans="12:68">
      <c r="L1812" s="296"/>
      <c r="M1812" s="30"/>
      <c r="N1812" s="38"/>
      <c r="O1812" s="38"/>
      <c r="P1812" s="38"/>
      <c r="Q1812" s="38"/>
      <c r="R1812" s="38"/>
      <c r="S1812" s="38"/>
      <c r="T1812" s="38"/>
      <c r="U1812" s="38"/>
      <c r="V1812" s="38"/>
      <c r="W1812" s="38"/>
      <c r="X1812" s="38"/>
      <c r="Y1812" s="49"/>
      <c r="Z1812" s="49"/>
      <c r="BP1812" s="293"/>
    </row>
    <row r="1813" spans="12:68">
      <c r="L1813" s="296"/>
      <c r="M1813" s="30"/>
      <c r="N1813" s="38"/>
      <c r="O1813" s="38"/>
      <c r="P1813" s="38"/>
      <c r="Q1813" s="38"/>
      <c r="R1813" s="38"/>
      <c r="S1813" s="38"/>
      <c r="T1813" s="38"/>
      <c r="U1813" s="38"/>
      <c r="V1813" s="38"/>
      <c r="W1813" s="38"/>
      <c r="X1813" s="38"/>
      <c r="Y1813" s="49"/>
      <c r="Z1813" s="49"/>
      <c r="BP1813" s="293"/>
    </row>
    <row r="1814" spans="12:68">
      <c r="L1814" s="296"/>
      <c r="M1814" s="30"/>
      <c r="N1814" s="38"/>
      <c r="O1814" s="38"/>
      <c r="P1814" s="38"/>
      <c r="Q1814" s="38"/>
      <c r="R1814" s="38"/>
      <c r="S1814" s="38"/>
      <c r="T1814" s="38"/>
      <c r="U1814" s="38"/>
      <c r="V1814" s="38"/>
      <c r="W1814" s="38"/>
      <c r="X1814" s="38"/>
      <c r="Y1814" s="49"/>
      <c r="Z1814" s="49"/>
      <c r="BP1814" s="293"/>
    </row>
    <row r="1815" spans="12:68">
      <c r="L1815" s="296"/>
      <c r="M1815" s="30"/>
      <c r="N1815" s="38"/>
      <c r="O1815" s="38"/>
      <c r="P1815" s="38"/>
      <c r="Q1815" s="38"/>
      <c r="R1815" s="38"/>
      <c r="S1815" s="38"/>
      <c r="T1815" s="38"/>
      <c r="U1815" s="38"/>
      <c r="V1815" s="38"/>
      <c r="W1815" s="38"/>
      <c r="X1815" s="38"/>
      <c r="Y1815" s="49"/>
      <c r="Z1815" s="49"/>
      <c r="BP1815" s="293"/>
    </row>
    <row r="1816" spans="12:68">
      <c r="L1816" s="296"/>
      <c r="M1816" s="30"/>
      <c r="N1816" s="38"/>
      <c r="O1816" s="38"/>
      <c r="P1816" s="38"/>
      <c r="Q1816" s="38"/>
      <c r="R1816" s="38"/>
      <c r="S1816" s="38"/>
      <c r="T1816" s="38"/>
      <c r="U1816" s="38"/>
      <c r="V1816" s="38"/>
      <c r="W1816" s="38"/>
      <c r="X1816" s="38"/>
      <c r="Y1816" s="49"/>
      <c r="Z1816" s="49"/>
      <c r="BP1816" s="293"/>
    </row>
    <row r="1817" spans="12:68">
      <c r="L1817" s="296"/>
      <c r="M1817" s="30"/>
      <c r="N1817" s="38"/>
      <c r="O1817" s="38"/>
      <c r="P1817" s="38"/>
      <c r="Q1817" s="38"/>
      <c r="R1817" s="38"/>
      <c r="S1817" s="38"/>
      <c r="T1817" s="38"/>
      <c r="U1817" s="38"/>
      <c r="V1817" s="38"/>
      <c r="W1817" s="38"/>
      <c r="X1817" s="38"/>
      <c r="Y1817" s="49"/>
      <c r="Z1817" s="49"/>
      <c r="BP1817" s="293"/>
    </row>
    <row r="1818" spans="12:68">
      <c r="L1818" s="296"/>
      <c r="M1818" s="30"/>
      <c r="N1818" s="38"/>
      <c r="O1818" s="38"/>
      <c r="P1818" s="38"/>
      <c r="Q1818" s="38"/>
      <c r="R1818" s="38"/>
      <c r="S1818" s="38"/>
      <c r="T1818" s="38"/>
      <c r="U1818" s="38"/>
      <c r="V1818" s="38"/>
      <c r="W1818" s="38"/>
      <c r="X1818" s="38"/>
      <c r="Y1818" s="49"/>
      <c r="Z1818" s="49"/>
      <c r="BP1818" s="293"/>
    </row>
    <row r="1819" spans="12:68">
      <c r="L1819" s="296"/>
      <c r="M1819" s="30"/>
      <c r="N1819" s="38"/>
      <c r="O1819" s="38"/>
      <c r="P1819" s="38"/>
      <c r="Q1819" s="38"/>
      <c r="R1819" s="38"/>
      <c r="S1819" s="38"/>
      <c r="T1819" s="38"/>
      <c r="U1819" s="38"/>
      <c r="V1819" s="38"/>
      <c r="W1819" s="38"/>
      <c r="X1819" s="38"/>
      <c r="Y1819" s="49"/>
      <c r="Z1819" s="49"/>
      <c r="BP1819" s="293"/>
    </row>
    <row r="1820" spans="12:68">
      <c r="L1820" s="296"/>
      <c r="M1820" s="30"/>
      <c r="N1820" s="38"/>
      <c r="O1820" s="38"/>
      <c r="P1820" s="38"/>
      <c r="Q1820" s="38"/>
      <c r="R1820" s="38"/>
      <c r="S1820" s="38"/>
      <c r="T1820" s="38"/>
      <c r="U1820" s="38"/>
      <c r="V1820" s="38"/>
      <c r="W1820" s="38"/>
      <c r="X1820" s="38"/>
      <c r="Y1820" s="49"/>
      <c r="Z1820" s="49"/>
      <c r="BP1820" s="293"/>
    </row>
    <row r="1821" spans="12:68">
      <c r="L1821" s="296"/>
      <c r="M1821" s="30"/>
      <c r="N1821" s="38"/>
      <c r="O1821" s="38"/>
      <c r="P1821" s="38"/>
      <c r="Q1821" s="38"/>
      <c r="R1821" s="38"/>
      <c r="S1821" s="38"/>
      <c r="T1821" s="38"/>
      <c r="U1821" s="38"/>
      <c r="V1821" s="38"/>
      <c r="W1821" s="38"/>
      <c r="X1821" s="38"/>
      <c r="Y1821" s="49"/>
      <c r="Z1821" s="49"/>
      <c r="BP1821" s="293"/>
    </row>
    <row r="1822" spans="12:68">
      <c r="L1822" s="296"/>
      <c r="M1822" s="30"/>
      <c r="N1822" s="38"/>
      <c r="O1822" s="38"/>
      <c r="P1822" s="38"/>
      <c r="Q1822" s="38"/>
      <c r="R1822" s="38"/>
      <c r="S1822" s="38"/>
      <c r="T1822" s="38"/>
      <c r="U1822" s="38"/>
      <c r="V1822" s="38"/>
      <c r="W1822" s="38"/>
      <c r="X1822" s="38"/>
      <c r="Y1822" s="49"/>
      <c r="Z1822" s="49"/>
      <c r="BP1822" s="293"/>
    </row>
    <row r="1823" spans="12:68">
      <c r="L1823" s="296"/>
      <c r="M1823" s="30"/>
      <c r="N1823" s="38"/>
      <c r="O1823" s="38"/>
      <c r="P1823" s="38"/>
      <c r="Q1823" s="38"/>
      <c r="R1823" s="38"/>
      <c r="S1823" s="38"/>
      <c r="T1823" s="38"/>
      <c r="U1823" s="38"/>
      <c r="V1823" s="38"/>
      <c r="W1823" s="38"/>
      <c r="X1823" s="38"/>
      <c r="Y1823" s="49"/>
      <c r="Z1823" s="49"/>
      <c r="BP1823" s="293"/>
    </row>
    <row r="1824" spans="12:68">
      <c r="L1824" s="296"/>
      <c r="M1824" s="30"/>
      <c r="N1824" s="38"/>
      <c r="O1824" s="38"/>
      <c r="P1824" s="38"/>
      <c r="Q1824" s="38"/>
      <c r="R1824" s="38"/>
      <c r="S1824" s="38"/>
      <c r="T1824" s="38"/>
      <c r="U1824" s="38"/>
      <c r="V1824" s="38"/>
      <c r="W1824" s="38"/>
      <c r="X1824" s="38"/>
      <c r="Y1824" s="49"/>
      <c r="Z1824" s="49"/>
      <c r="BP1824" s="293"/>
    </row>
    <row r="1825" spans="12:68">
      <c r="L1825" s="296"/>
      <c r="M1825" s="30"/>
      <c r="N1825" s="38"/>
      <c r="O1825" s="38"/>
      <c r="P1825" s="38"/>
      <c r="Q1825" s="38"/>
      <c r="R1825" s="38"/>
      <c r="S1825" s="38"/>
      <c r="T1825" s="38"/>
      <c r="U1825" s="38"/>
      <c r="V1825" s="38"/>
      <c r="W1825" s="38"/>
      <c r="X1825" s="38"/>
      <c r="Y1825" s="49"/>
      <c r="Z1825" s="49"/>
      <c r="BP1825" s="293"/>
    </row>
    <row r="1826" spans="12:68">
      <c r="L1826" s="296"/>
      <c r="M1826" s="30"/>
      <c r="N1826" s="38"/>
      <c r="O1826" s="38"/>
      <c r="P1826" s="38"/>
      <c r="Q1826" s="38"/>
      <c r="R1826" s="38"/>
      <c r="S1826" s="38"/>
      <c r="T1826" s="38"/>
      <c r="U1826" s="38"/>
      <c r="V1826" s="38"/>
      <c r="W1826" s="38"/>
      <c r="X1826" s="38"/>
      <c r="Y1826" s="49"/>
      <c r="Z1826" s="49"/>
      <c r="BP1826" s="293"/>
    </row>
    <row r="1827" spans="12:68">
      <c r="L1827" s="296"/>
      <c r="M1827" s="30"/>
      <c r="N1827" s="38"/>
      <c r="O1827" s="38"/>
      <c r="P1827" s="38"/>
      <c r="Q1827" s="38"/>
      <c r="R1827" s="38"/>
      <c r="S1827" s="38"/>
      <c r="T1827" s="38"/>
      <c r="U1827" s="38"/>
      <c r="V1827" s="38"/>
      <c r="W1827" s="38"/>
      <c r="X1827" s="38"/>
      <c r="Y1827" s="49"/>
      <c r="Z1827" s="49"/>
      <c r="BP1827" s="293"/>
    </row>
    <row r="1828" spans="12:68">
      <c r="L1828" s="296"/>
      <c r="M1828" s="30"/>
      <c r="N1828" s="38"/>
      <c r="O1828" s="38"/>
      <c r="P1828" s="38"/>
      <c r="Q1828" s="38"/>
      <c r="R1828" s="38"/>
      <c r="S1828" s="38"/>
      <c r="T1828" s="38"/>
      <c r="U1828" s="38"/>
      <c r="V1828" s="38"/>
      <c r="W1828" s="38"/>
      <c r="X1828" s="38"/>
      <c r="Y1828" s="49"/>
      <c r="Z1828" s="49"/>
      <c r="BP1828" s="293"/>
    </row>
    <row r="1829" spans="12:68">
      <c r="L1829" s="296"/>
      <c r="M1829" s="30"/>
      <c r="N1829" s="38"/>
      <c r="O1829" s="38"/>
      <c r="P1829" s="38"/>
      <c r="Q1829" s="38"/>
      <c r="R1829" s="38"/>
      <c r="S1829" s="38"/>
      <c r="T1829" s="38"/>
      <c r="U1829" s="38"/>
      <c r="V1829" s="38"/>
      <c r="W1829" s="38"/>
      <c r="X1829" s="38"/>
      <c r="Y1829" s="49"/>
      <c r="Z1829" s="49"/>
      <c r="BP1829" s="293"/>
    </row>
    <row r="1830" spans="12:68">
      <c r="L1830" s="296"/>
      <c r="M1830" s="30"/>
      <c r="N1830" s="38"/>
      <c r="O1830" s="38"/>
      <c r="P1830" s="38"/>
      <c r="Q1830" s="38"/>
      <c r="R1830" s="38"/>
      <c r="S1830" s="38"/>
      <c r="T1830" s="38"/>
      <c r="U1830" s="38"/>
      <c r="V1830" s="38"/>
      <c r="W1830" s="38"/>
      <c r="X1830" s="38"/>
      <c r="Y1830" s="49"/>
      <c r="Z1830" s="49"/>
      <c r="BP1830" s="293"/>
    </row>
    <row r="1831" spans="12:68">
      <c r="L1831" s="296"/>
      <c r="M1831" s="30"/>
      <c r="N1831" s="38"/>
      <c r="O1831" s="38"/>
      <c r="P1831" s="38"/>
      <c r="Q1831" s="38"/>
      <c r="R1831" s="38"/>
      <c r="S1831" s="38"/>
      <c r="T1831" s="38"/>
      <c r="U1831" s="38"/>
      <c r="V1831" s="38"/>
      <c r="W1831" s="38"/>
      <c r="X1831" s="38"/>
      <c r="Y1831" s="49"/>
      <c r="Z1831" s="49"/>
      <c r="BP1831" s="293"/>
    </row>
    <row r="1832" spans="12:68">
      <c r="L1832" s="296"/>
      <c r="M1832" s="30"/>
      <c r="N1832" s="38"/>
      <c r="O1832" s="38"/>
      <c r="P1832" s="38"/>
      <c r="Q1832" s="38"/>
      <c r="R1832" s="38"/>
      <c r="S1832" s="38"/>
      <c r="T1832" s="38"/>
      <c r="U1832" s="38"/>
      <c r="V1832" s="38"/>
      <c r="W1832" s="38"/>
      <c r="X1832" s="38"/>
      <c r="Y1832" s="49"/>
      <c r="Z1832" s="49"/>
      <c r="BP1832" s="293"/>
    </row>
    <row r="1833" spans="12:68">
      <c r="L1833" s="296"/>
      <c r="M1833" s="30"/>
      <c r="N1833" s="38"/>
      <c r="O1833" s="38"/>
      <c r="P1833" s="38"/>
      <c r="Q1833" s="38"/>
      <c r="R1833" s="38"/>
      <c r="S1833" s="38"/>
      <c r="T1833" s="38"/>
      <c r="U1833" s="38"/>
      <c r="V1833" s="38"/>
      <c r="W1833" s="38"/>
      <c r="X1833" s="38"/>
      <c r="Y1833" s="49"/>
      <c r="Z1833" s="49"/>
      <c r="BP1833" s="293"/>
    </row>
    <row r="1834" spans="12:68">
      <c r="L1834" s="296"/>
      <c r="M1834" s="30"/>
      <c r="N1834" s="38"/>
      <c r="O1834" s="38"/>
      <c r="P1834" s="38"/>
      <c r="Q1834" s="38"/>
      <c r="R1834" s="38"/>
      <c r="S1834" s="38"/>
      <c r="T1834" s="38"/>
      <c r="U1834" s="38"/>
      <c r="V1834" s="38"/>
      <c r="W1834" s="38"/>
      <c r="X1834" s="38"/>
      <c r="Y1834" s="49"/>
      <c r="Z1834" s="49"/>
      <c r="BP1834" s="293"/>
    </row>
    <row r="1835" spans="12:68">
      <c r="L1835" s="296"/>
      <c r="M1835" s="30"/>
      <c r="N1835" s="38"/>
      <c r="O1835" s="38"/>
      <c r="P1835" s="38"/>
      <c r="Q1835" s="38"/>
      <c r="R1835" s="38"/>
      <c r="S1835" s="38"/>
      <c r="T1835" s="38"/>
      <c r="U1835" s="38"/>
      <c r="V1835" s="38"/>
      <c r="W1835" s="38"/>
      <c r="X1835" s="38"/>
      <c r="Y1835" s="49"/>
      <c r="Z1835" s="49"/>
      <c r="BP1835" s="293"/>
    </row>
    <row r="1836" spans="12:68">
      <c r="L1836" s="296"/>
      <c r="M1836" s="30"/>
      <c r="N1836" s="38"/>
      <c r="O1836" s="38"/>
      <c r="P1836" s="38"/>
      <c r="Q1836" s="38"/>
      <c r="R1836" s="38"/>
      <c r="S1836" s="38"/>
      <c r="T1836" s="38"/>
      <c r="U1836" s="38"/>
      <c r="V1836" s="38"/>
      <c r="W1836" s="38"/>
      <c r="X1836" s="38"/>
      <c r="Y1836" s="49"/>
      <c r="Z1836" s="49"/>
      <c r="BP1836" s="293"/>
    </row>
    <row r="1837" spans="12:68">
      <c r="L1837" s="296"/>
      <c r="M1837" s="30"/>
      <c r="N1837" s="38"/>
      <c r="O1837" s="38"/>
      <c r="P1837" s="38"/>
      <c r="Q1837" s="38"/>
      <c r="R1837" s="38"/>
      <c r="S1837" s="38"/>
      <c r="T1837" s="38"/>
      <c r="U1837" s="38"/>
      <c r="V1837" s="38"/>
      <c r="W1837" s="38"/>
      <c r="X1837" s="38"/>
      <c r="Y1837" s="49"/>
      <c r="Z1837" s="49"/>
      <c r="BP1837" s="293"/>
    </row>
    <row r="1838" spans="12:68">
      <c r="L1838" s="296"/>
      <c r="M1838" s="30"/>
      <c r="N1838" s="38"/>
      <c r="O1838" s="38"/>
      <c r="P1838" s="38"/>
      <c r="Q1838" s="38"/>
      <c r="R1838" s="38"/>
      <c r="S1838" s="38"/>
      <c r="T1838" s="38"/>
      <c r="U1838" s="38"/>
      <c r="V1838" s="38"/>
      <c r="W1838" s="38"/>
      <c r="X1838" s="38"/>
      <c r="Y1838" s="49"/>
      <c r="Z1838" s="49"/>
      <c r="BP1838" s="293"/>
    </row>
    <row r="1839" spans="12:68">
      <c r="L1839" s="296"/>
      <c r="M1839" s="30"/>
      <c r="N1839" s="38"/>
      <c r="O1839" s="38"/>
      <c r="P1839" s="38"/>
      <c r="Q1839" s="38"/>
      <c r="R1839" s="38"/>
      <c r="S1839" s="38"/>
      <c r="T1839" s="38"/>
      <c r="U1839" s="38"/>
      <c r="V1839" s="38"/>
      <c r="W1839" s="38"/>
      <c r="X1839" s="38"/>
      <c r="Y1839" s="49"/>
      <c r="Z1839" s="49"/>
      <c r="BP1839" s="293"/>
    </row>
    <row r="1840" spans="12:68">
      <c r="L1840" s="296"/>
      <c r="M1840" s="30"/>
      <c r="N1840" s="38"/>
      <c r="O1840" s="38"/>
      <c r="P1840" s="38"/>
      <c r="Q1840" s="38"/>
      <c r="R1840" s="38"/>
      <c r="S1840" s="38"/>
      <c r="T1840" s="38"/>
      <c r="U1840" s="38"/>
      <c r="V1840" s="38"/>
      <c r="W1840" s="38"/>
      <c r="X1840" s="38"/>
      <c r="Y1840" s="49"/>
      <c r="Z1840" s="49"/>
      <c r="BP1840" s="293"/>
    </row>
    <row r="1841" spans="12:68">
      <c r="L1841" s="296"/>
      <c r="M1841" s="30"/>
      <c r="N1841" s="38"/>
      <c r="O1841" s="38"/>
      <c r="P1841" s="38"/>
      <c r="Q1841" s="38"/>
      <c r="R1841" s="38"/>
      <c r="S1841" s="38"/>
      <c r="T1841" s="38"/>
      <c r="U1841" s="38"/>
      <c r="V1841" s="38"/>
      <c r="W1841" s="38"/>
      <c r="X1841" s="38"/>
      <c r="Y1841" s="49"/>
      <c r="Z1841" s="49"/>
      <c r="BP1841" s="293"/>
    </row>
    <row r="1842" spans="12:68">
      <c r="L1842" s="296"/>
      <c r="M1842" s="30"/>
      <c r="N1842" s="38"/>
      <c r="O1842" s="38"/>
      <c r="P1842" s="38"/>
      <c r="Q1842" s="38"/>
      <c r="R1842" s="38"/>
      <c r="S1842" s="38"/>
      <c r="T1842" s="38"/>
      <c r="U1842" s="38"/>
      <c r="V1842" s="38"/>
      <c r="W1842" s="38"/>
      <c r="X1842" s="38"/>
      <c r="Y1842" s="49"/>
      <c r="Z1842" s="49"/>
      <c r="BP1842" s="293"/>
    </row>
    <row r="1843" spans="12:68">
      <c r="L1843" s="296"/>
      <c r="M1843" s="30"/>
      <c r="N1843" s="38"/>
      <c r="O1843" s="38"/>
      <c r="P1843" s="38"/>
      <c r="Q1843" s="38"/>
      <c r="R1843" s="38"/>
      <c r="S1843" s="38"/>
      <c r="T1843" s="38"/>
      <c r="U1843" s="38"/>
      <c r="V1843" s="38"/>
      <c r="W1843" s="38"/>
      <c r="X1843" s="38"/>
      <c r="Y1843" s="49"/>
      <c r="Z1843" s="49"/>
      <c r="BP1843" s="293"/>
    </row>
    <row r="1844" spans="12:68">
      <c r="L1844" s="296"/>
      <c r="M1844" s="30"/>
      <c r="N1844" s="38"/>
      <c r="O1844" s="38"/>
      <c r="P1844" s="38"/>
      <c r="Q1844" s="38"/>
      <c r="R1844" s="38"/>
      <c r="S1844" s="38"/>
      <c r="T1844" s="38"/>
      <c r="U1844" s="38"/>
      <c r="V1844" s="38"/>
      <c r="W1844" s="38"/>
      <c r="X1844" s="38"/>
      <c r="Y1844" s="49"/>
      <c r="Z1844" s="49"/>
      <c r="BP1844" s="293"/>
    </row>
    <row r="1845" spans="12:68">
      <c r="L1845" s="296"/>
      <c r="M1845" s="30"/>
      <c r="N1845" s="38"/>
      <c r="O1845" s="38"/>
      <c r="P1845" s="38"/>
      <c r="Q1845" s="38"/>
      <c r="R1845" s="38"/>
      <c r="S1845" s="38"/>
      <c r="T1845" s="38"/>
      <c r="U1845" s="38"/>
      <c r="V1845" s="38"/>
      <c r="W1845" s="38"/>
      <c r="X1845" s="38"/>
      <c r="Y1845" s="49"/>
      <c r="Z1845" s="49"/>
      <c r="BP1845" s="293"/>
    </row>
    <row r="1846" spans="12:68">
      <c r="L1846" s="296"/>
      <c r="M1846" s="30"/>
      <c r="N1846" s="38"/>
      <c r="O1846" s="38"/>
      <c r="P1846" s="38"/>
      <c r="Q1846" s="38"/>
      <c r="R1846" s="38"/>
      <c r="S1846" s="38"/>
      <c r="T1846" s="38"/>
      <c r="U1846" s="38"/>
      <c r="V1846" s="38"/>
      <c r="W1846" s="38"/>
      <c r="X1846" s="38"/>
      <c r="Y1846" s="49"/>
      <c r="Z1846" s="49"/>
      <c r="BP1846" s="293"/>
    </row>
    <row r="1847" spans="12:68">
      <c r="L1847" s="296"/>
      <c r="M1847" s="30"/>
      <c r="N1847" s="38"/>
      <c r="O1847" s="38"/>
      <c r="P1847" s="38"/>
      <c r="Q1847" s="38"/>
      <c r="R1847" s="38"/>
      <c r="S1847" s="38"/>
      <c r="T1847" s="38"/>
      <c r="U1847" s="38"/>
      <c r="V1847" s="38"/>
      <c r="W1847" s="38"/>
      <c r="X1847" s="38"/>
      <c r="Y1847" s="49"/>
      <c r="Z1847" s="49"/>
      <c r="BP1847" s="293"/>
    </row>
    <row r="1848" spans="12:68">
      <c r="L1848" s="296"/>
      <c r="M1848" s="30"/>
      <c r="N1848" s="38"/>
      <c r="O1848" s="38"/>
      <c r="P1848" s="38"/>
      <c r="Q1848" s="38"/>
      <c r="R1848" s="38"/>
      <c r="S1848" s="38"/>
      <c r="T1848" s="38"/>
      <c r="U1848" s="38"/>
      <c r="V1848" s="38"/>
      <c r="W1848" s="38"/>
      <c r="X1848" s="38"/>
      <c r="Y1848" s="49"/>
      <c r="Z1848" s="49"/>
      <c r="BP1848" s="293"/>
    </row>
    <row r="1849" spans="12:68">
      <c r="L1849" s="296"/>
      <c r="M1849" s="30"/>
      <c r="N1849" s="38"/>
      <c r="O1849" s="38"/>
      <c r="P1849" s="38"/>
      <c r="Q1849" s="38"/>
      <c r="R1849" s="38"/>
      <c r="S1849" s="38"/>
      <c r="T1849" s="38"/>
      <c r="U1849" s="38"/>
      <c r="V1849" s="38"/>
      <c r="W1849" s="38"/>
      <c r="X1849" s="38"/>
      <c r="Y1849" s="49"/>
      <c r="Z1849" s="49"/>
      <c r="BP1849" s="293"/>
    </row>
    <row r="1850" spans="12:68">
      <c r="L1850" s="296"/>
      <c r="M1850" s="30"/>
      <c r="N1850" s="38"/>
      <c r="O1850" s="38"/>
      <c r="P1850" s="38"/>
      <c r="Q1850" s="38"/>
      <c r="R1850" s="38"/>
      <c r="S1850" s="38"/>
      <c r="T1850" s="38"/>
      <c r="U1850" s="38"/>
      <c r="V1850" s="38"/>
      <c r="W1850" s="38"/>
      <c r="X1850" s="38"/>
      <c r="Y1850" s="49"/>
      <c r="Z1850" s="49"/>
      <c r="BP1850" s="293"/>
    </row>
    <row r="1851" spans="12:68">
      <c r="L1851" s="296"/>
      <c r="M1851" s="30"/>
      <c r="N1851" s="38"/>
      <c r="O1851" s="38"/>
      <c r="P1851" s="38"/>
      <c r="Q1851" s="38"/>
      <c r="R1851" s="38"/>
      <c r="S1851" s="38"/>
      <c r="T1851" s="38"/>
      <c r="U1851" s="38"/>
      <c r="V1851" s="38"/>
      <c r="W1851" s="38"/>
      <c r="X1851" s="38"/>
      <c r="Y1851" s="49"/>
      <c r="Z1851" s="49"/>
      <c r="BP1851" s="293"/>
    </row>
    <row r="1852" spans="12:68">
      <c r="L1852" s="296"/>
      <c r="M1852" s="30"/>
      <c r="N1852" s="38"/>
      <c r="O1852" s="38"/>
      <c r="P1852" s="38"/>
      <c r="Q1852" s="38"/>
      <c r="R1852" s="38"/>
      <c r="S1852" s="38"/>
      <c r="T1852" s="38"/>
      <c r="U1852" s="38"/>
      <c r="V1852" s="38"/>
      <c r="W1852" s="38"/>
      <c r="X1852" s="38"/>
      <c r="Y1852" s="49"/>
      <c r="Z1852" s="49"/>
      <c r="BP1852" s="293"/>
    </row>
    <row r="1853" spans="12:68">
      <c r="L1853" s="296"/>
      <c r="M1853" s="30"/>
      <c r="N1853" s="38"/>
      <c r="O1853" s="38"/>
      <c r="P1853" s="38"/>
      <c r="Q1853" s="38"/>
      <c r="R1853" s="38"/>
      <c r="S1853" s="38"/>
      <c r="T1853" s="38"/>
      <c r="U1853" s="38"/>
      <c r="V1853" s="38"/>
      <c r="W1853" s="38"/>
      <c r="X1853" s="38"/>
      <c r="Y1853" s="49"/>
      <c r="Z1853" s="49"/>
      <c r="BP1853" s="293"/>
    </row>
    <row r="1854" spans="12:68">
      <c r="L1854" s="296"/>
      <c r="M1854" s="30"/>
      <c r="N1854" s="38"/>
      <c r="O1854" s="38"/>
      <c r="P1854" s="38"/>
      <c r="Q1854" s="38"/>
      <c r="R1854" s="38"/>
      <c r="S1854" s="38"/>
      <c r="T1854" s="38"/>
      <c r="U1854" s="38"/>
      <c r="V1854" s="38"/>
      <c r="W1854" s="38"/>
      <c r="X1854" s="38"/>
      <c r="Y1854" s="49"/>
      <c r="Z1854" s="49"/>
      <c r="BP1854" s="293"/>
    </row>
    <row r="1855" spans="12:68">
      <c r="L1855" s="296"/>
      <c r="M1855" s="30"/>
      <c r="N1855" s="38"/>
      <c r="O1855" s="38"/>
      <c r="P1855" s="38"/>
      <c r="Q1855" s="38"/>
      <c r="R1855" s="38"/>
      <c r="S1855" s="38"/>
      <c r="T1855" s="38"/>
      <c r="U1855" s="38"/>
      <c r="V1855" s="38"/>
      <c r="W1855" s="38"/>
      <c r="X1855" s="38"/>
      <c r="Y1855" s="49"/>
      <c r="Z1855" s="49"/>
      <c r="BP1855" s="293"/>
    </row>
    <row r="1856" spans="12:68">
      <c r="L1856" s="296"/>
      <c r="M1856" s="30"/>
      <c r="N1856" s="38"/>
      <c r="O1856" s="38"/>
      <c r="P1856" s="38"/>
      <c r="Q1856" s="38"/>
      <c r="R1856" s="38"/>
      <c r="S1856" s="38"/>
      <c r="T1856" s="38"/>
      <c r="U1856" s="38"/>
      <c r="V1856" s="38"/>
      <c r="W1856" s="38"/>
      <c r="X1856" s="38"/>
      <c r="Y1856" s="49"/>
      <c r="Z1856" s="49"/>
      <c r="BP1856" s="293"/>
    </row>
    <row r="1857" spans="12:68">
      <c r="L1857" s="296"/>
      <c r="M1857" s="30"/>
      <c r="N1857" s="38"/>
      <c r="O1857" s="38"/>
      <c r="P1857" s="38"/>
      <c r="Q1857" s="38"/>
      <c r="R1857" s="38"/>
      <c r="S1857" s="38"/>
      <c r="T1857" s="38"/>
      <c r="U1857" s="38"/>
      <c r="V1857" s="38"/>
      <c r="W1857" s="38"/>
      <c r="X1857" s="38"/>
      <c r="Y1857" s="49"/>
      <c r="Z1857" s="49"/>
      <c r="BP1857" s="293"/>
    </row>
    <row r="1858" spans="12:68">
      <c r="L1858" s="296"/>
      <c r="M1858" s="30"/>
      <c r="N1858" s="38"/>
      <c r="O1858" s="38"/>
      <c r="P1858" s="38"/>
      <c r="Q1858" s="38"/>
      <c r="R1858" s="38"/>
      <c r="S1858" s="38"/>
      <c r="T1858" s="38"/>
      <c r="U1858" s="38"/>
      <c r="V1858" s="38"/>
      <c r="W1858" s="38"/>
      <c r="X1858" s="38"/>
      <c r="Y1858" s="49"/>
      <c r="Z1858" s="49"/>
      <c r="BP1858" s="293"/>
    </row>
    <row r="1859" spans="12:68">
      <c r="L1859" s="296"/>
      <c r="M1859" s="30"/>
      <c r="N1859" s="38"/>
      <c r="O1859" s="38"/>
      <c r="P1859" s="38"/>
      <c r="Q1859" s="38"/>
      <c r="R1859" s="38"/>
      <c r="S1859" s="38"/>
      <c r="T1859" s="38"/>
      <c r="U1859" s="38"/>
      <c r="V1859" s="38"/>
      <c r="W1859" s="38"/>
      <c r="X1859" s="38"/>
      <c r="Y1859" s="49"/>
      <c r="Z1859" s="49"/>
      <c r="BP1859" s="293"/>
    </row>
    <row r="1860" spans="12:68">
      <c r="L1860" s="296"/>
      <c r="M1860" s="30"/>
      <c r="N1860" s="38"/>
      <c r="O1860" s="38"/>
      <c r="P1860" s="38"/>
      <c r="Q1860" s="38"/>
      <c r="R1860" s="38"/>
      <c r="S1860" s="38"/>
      <c r="T1860" s="38"/>
      <c r="U1860" s="38"/>
      <c r="V1860" s="38"/>
      <c r="W1860" s="38"/>
      <c r="X1860" s="38"/>
      <c r="Y1860" s="49"/>
      <c r="Z1860" s="49"/>
      <c r="BP1860" s="293"/>
    </row>
    <row r="1861" spans="12:68">
      <c r="L1861" s="296"/>
      <c r="M1861" s="30"/>
      <c r="N1861" s="38"/>
      <c r="O1861" s="38"/>
      <c r="P1861" s="38"/>
      <c r="Q1861" s="38"/>
      <c r="R1861" s="38"/>
      <c r="S1861" s="38"/>
      <c r="T1861" s="38"/>
      <c r="U1861" s="38"/>
      <c r="V1861" s="38"/>
      <c r="W1861" s="38"/>
      <c r="X1861" s="38"/>
      <c r="Y1861" s="49"/>
      <c r="Z1861" s="49"/>
      <c r="BP1861" s="293"/>
    </row>
    <row r="1862" spans="12:68">
      <c r="L1862" s="296"/>
      <c r="M1862" s="30"/>
      <c r="N1862" s="38"/>
      <c r="O1862" s="38"/>
      <c r="P1862" s="38"/>
      <c r="Q1862" s="38"/>
      <c r="R1862" s="38"/>
      <c r="S1862" s="38"/>
      <c r="T1862" s="38"/>
      <c r="U1862" s="38"/>
      <c r="V1862" s="38"/>
      <c r="W1862" s="38"/>
      <c r="X1862" s="38"/>
      <c r="Y1862" s="49"/>
      <c r="Z1862" s="49"/>
      <c r="BP1862" s="293"/>
    </row>
    <row r="1863" spans="12:68">
      <c r="L1863" s="296"/>
      <c r="M1863" s="30"/>
      <c r="N1863" s="38"/>
      <c r="O1863" s="38"/>
      <c r="P1863" s="38"/>
      <c r="Q1863" s="38"/>
      <c r="R1863" s="38"/>
      <c r="S1863" s="38"/>
      <c r="T1863" s="38"/>
      <c r="U1863" s="38"/>
      <c r="V1863" s="38"/>
      <c r="W1863" s="38"/>
      <c r="X1863" s="38"/>
      <c r="Y1863" s="49"/>
      <c r="Z1863" s="49"/>
      <c r="BP1863" s="293"/>
    </row>
    <row r="1864" spans="12:68">
      <c r="L1864" s="296"/>
      <c r="M1864" s="30"/>
      <c r="N1864" s="38"/>
      <c r="O1864" s="38"/>
      <c r="P1864" s="38"/>
      <c r="Q1864" s="38"/>
      <c r="R1864" s="38"/>
      <c r="S1864" s="38"/>
      <c r="T1864" s="38"/>
      <c r="U1864" s="38"/>
      <c r="V1864" s="38"/>
      <c r="W1864" s="38"/>
      <c r="X1864" s="38"/>
      <c r="Y1864" s="49"/>
      <c r="Z1864" s="49"/>
      <c r="BP1864" s="293"/>
    </row>
    <row r="1865" spans="12:68">
      <c r="L1865" s="296"/>
      <c r="M1865" s="30"/>
      <c r="N1865" s="38"/>
      <c r="O1865" s="38"/>
      <c r="P1865" s="38"/>
      <c r="Q1865" s="38"/>
      <c r="R1865" s="38"/>
      <c r="S1865" s="38"/>
      <c r="T1865" s="38"/>
      <c r="U1865" s="38"/>
      <c r="V1865" s="38"/>
      <c r="W1865" s="38"/>
      <c r="X1865" s="38"/>
      <c r="Y1865" s="49"/>
      <c r="Z1865" s="49"/>
      <c r="BP1865" s="293"/>
    </row>
    <row r="1866" spans="12:68">
      <c r="L1866" s="296"/>
      <c r="M1866" s="30"/>
      <c r="N1866" s="38"/>
      <c r="O1866" s="38"/>
      <c r="P1866" s="38"/>
      <c r="Q1866" s="38"/>
      <c r="R1866" s="38"/>
      <c r="S1866" s="38"/>
      <c r="T1866" s="38"/>
      <c r="U1866" s="38"/>
      <c r="V1866" s="38"/>
      <c r="W1866" s="38"/>
      <c r="X1866" s="38"/>
      <c r="Y1866" s="49"/>
      <c r="Z1866" s="49"/>
      <c r="BP1866" s="293"/>
    </row>
    <row r="1867" spans="12:68">
      <c r="L1867" s="296"/>
      <c r="M1867" s="30"/>
      <c r="N1867" s="38"/>
      <c r="O1867" s="38"/>
      <c r="P1867" s="38"/>
      <c r="Q1867" s="38"/>
      <c r="R1867" s="38"/>
      <c r="S1867" s="38"/>
      <c r="T1867" s="38"/>
      <c r="U1867" s="38"/>
      <c r="V1867" s="38"/>
      <c r="W1867" s="38"/>
      <c r="X1867" s="38"/>
      <c r="Y1867" s="49"/>
      <c r="Z1867" s="49"/>
      <c r="BP1867" s="293"/>
    </row>
    <row r="1868" spans="12:68">
      <c r="L1868" s="296"/>
      <c r="M1868" s="30"/>
      <c r="N1868" s="38"/>
      <c r="O1868" s="38"/>
      <c r="P1868" s="38"/>
      <c r="Q1868" s="38"/>
      <c r="R1868" s="38"/>
      <c r="S1868" s="38"/>
      <c r="T1868" s="38"/>
      <c r="U1868" s="38"/>
      <c r="V1868" s="38"/>
      <c r="W1868" s="38"/>
      <c r="X1868" s="38"/>
      <c r="Y1868" s="49"/>
      <c r="Z1868" s="49"/>
      <c r="BP1868" s="293"/>
    </row>
    <row r="1869" spans="12:68">
      <c r="L1869" s="296"/>
      <c r="M1869" s="30"/>
      <c r="N1869" s="38"/>
      <c r="O1869" s="38"/>
      <c r="P1869" s="38"/>
      <c r="Q1869" s="38"/>
      <c r="R1869" s="38"/>
      <c r="S1869" s="38"/>
      <c r="T1869" s="38"/>
      <c r="U1869" s="38"/>
      <c r="V1869" s="38"/>
      <c r="W1869" s="38"/>
      <c r="X1869" s="38"/>
      <c r="Y1869" s="49"/>
      <c r="Z1869" s="49"/>
      <c r="BP1869" s="293"/>
    </row>
    <row r="1870" spans="12:68">
      <c r="L1870" s="296"/>
      <c r="M1870" s="30"/>
      <c r="N1870" s="38"/>
      <c r="O1870" s="38"/>
      <c r="P1870" s="38"/>
      <c r="Q1870" s="38"/>
      <c r="R1870" s="38"/>
      <c r="S1870" s="38"/>
      <c r="T1870" s="38"/>
      <c r="U1870" s="38"/>
      <c r="V1870" s="38"/>
      <c r="W1870" s="38"/>
      <c r="X1870" s="38"/>
      <c r="Y1870" s="49"/>
      <c r="Z1870" s="49"/>
      <c r="BP1870" s="293"/>
    </row>
    <row r="1871" spans="12:68">
      <c r="L1871" s="296"/>
      <c r="M1871" s="30"/>
      <c r="N1871" s="38"/>
      <c r="O1871" s="38"/>
      <c r="P1871" s="38"/>
      <c r="Q1871" s="38"/>
      <c r="R1871" s="38"/>
      <c r="S1871" s="38"/>
      <c r="T1871" s="38"/>
      <c r="U1871" s="38"/>
      <c r="V1871" s="38"/>
      <c r="W1871" s="38"/>
      <c r="X1871" s="38"/>
      <c r="Y1871" s="49"/>
      <c r="Z1871" s="49"/>
      <c r="BP1871" s="293"/>
    </row>
    <row r="1872" spans="12:68">
      <c r="L1872" s="296"/>
      <c r="M1872" s="30"/>
      <c r="N1872" s="38"/>
      <c r="O1872" s="38"/>
      <c r="P1872" s="38"/>
      <c r="Q1872" s="38"/>
      <c r="R1872" s="38"/>
      <c r="S1872" s="38"/>
      <c r="T1872" s="38"/>
      <c r="U1872" s="38"/>
      <c r="V1872" s="38"/>
      <c r="W1872" s="38"/>
      <c r="X1872" s="38"/>
      <c r="Y1872" s="49"/>
      <c r="Z1872" s="49"/>
      <c r="BP1872" s="293"/>
    </row>
    <row r="1873" spans="12:68">
      <c r="L1873" s="296"/>
      <c r="M1873" s="30"/>
      <c r="N1873" s="38"/>
      <c r="O1873" s="38"/>
      <c r="P1873" s="38"/>
      <c r="Q1873" s="38"/>
      <c r="R1873" s="38"/>
      <c r="S1873" s="38"/>
      <c r="T1873" s="38"/>
      <c r="U1873" s="38"/>
      <c r="V1873" s="38"/>
      <c r="W1873" s="38"/>
      <c r="X1873" s="38"/>
      <c r="Y1873" s="49"/>
      <c r="Z1873" s="49"/>
      <c r="BP1873" s="293"/>
    </row>
    <row r="1874" spans="12:68">
      <c r="L1874" s="296"/>
      <c r="M1874" s="30"/>
      <c r="N1874" s="38"/>
      <c r="O1874" s="38"/>
      <c r="P1874" s="38"/>
      <c r="Q1874" s="38"/>
      <c r="R1874" s="38"/>
      <c r="S1874" s="38"/>
      <c r="T1874" s="38"/>
      <c r="U1874" s="38"/>
      <c r="V1874" s="38"/>
      <c r="W1874" s="38"/>
      <c r="X1874" s="38"/>
      <c r="Y1874" s="49"/>
      <c r="Z1874" s="49"/>
      <c r="BP1874" s="293"/>
    </row>
    <row r="1875" spans="12:68">
      <c r="L1875" s="296"/>
      <c r="M1875" s="30"/>
      <c r="N1875" s="38"/>
      <c r="O1875" s="38"/>
      <c r="P1875" s="38"/>
      <c r="Q1875" s="38"/>
      <c r="R1875" s="38"/>
      <c r="S1875" s="38"/>
      <c r="T1875" s="38"/>
      <c r="U1875" s="38"/>
      <c r="V1875" s="38"/>
      <c r="W1875" s="38"/>
      <c r="X1875" s="38"/>
      <c r="Y1875" s="49"/>
      <c r="Z1875" s="49"/>
      <c r="BP1875" s="293"/>
    </row>
    <row r="1876" spans="12:68">
      <c r="L1876" s="296"/>
      <c r="M1876" s="30"/>
      <c r="N1876" s="38"/>
      <c r="O1876" s="38"/>
      <c r="P1876" s="38"/>
      <c r="Q1876" s="38"/>
      <c r="R1876" s="38"/>
      <c r="S1876" s="38"/>
      <c r="T1876" s="38"/>
      <c r="U1876" s="38"/>
      <c r="V1876" s="38"/>
      <c r="W1876" s="38"/>
      <c r="X1876" s="38"/>
      <c r="Y1876" s="49"/>
      <c r="Z1876" s="49"/>
      <c r="BP1876" s="293"/>
    </row>
    <row r="1877" spans="12:68">
      <c r="L1877" s="296"/>
      <c r="M1877" s="30"/>
      <c r="N1877" s="38"/>
      <c r="O1877" s="38"/>
      <c r="P1877" s="38"/>
      <c r="Q1877" s="38"/>
      <c r="R1877" s="38"/>
      <c r="S1877" s="38"/>
      <c r="T1877" s="38"/>
      <c r="U1877" s="38"/>
      <c r="V1877" s="38"/>
      <c r="W1877" s="38"/>
      <c r="X1877" s="38"/>
      <c r="Y1877" s="49"/>
      <c r="Z1877" s="49"/>
      <c r="BP1877" s="293"/>
    </row>
    <row r="1878" spans="12:68">
      <c r="L1878" s="296"/>
      <c r="M1878" s="30"/>
      <c r="N1878" s="38"/>
      <c r="O1878" s="38"/>
      <c r="P1878" s="38"/>
      <c r="Q1878" s="38"/>
      <c r="R1878" s="38"/>
      <c r="S1878" s="38"/>
      <c r="T1878" s="38"/>
      <c r="U1878" s="38"/>
      <c r="V1878" s="38"/>
      <c r="W1878" s="38"/>
      <c r="X1878" s="38"/>
      <c r="Y1878" s="49"/>
      <c r="Z1878" s="49"/>
      <c r="BP1878" s="293"/>
    </row>
    <row r="1879" spans="12:68">
      <c r="L1879" s="296"/>
      <c r="M1879" s="30"/>
      <c r="N1879" s="38"/>
      <c r="O1879" s="38"/>
      <c r="P1879" s="38"/>
      <c r="Q1879" s="38"/>
      <c r="R1879" s="38"/>
      <c r="S1879" s="38"/>
      <c r="T1879" s="38"/>
      <c r="U1879" s="38"/>
      <c r="V1879" s="38"/>
      <c r="W1879" s="38"/>
      <c r="X1879" s="38"/>
      <c r="Y1879" s="49"/>
      <c r="Z1879" s="49"/>
      <c r="BP1879" s="293"/>
    </row>
    <row r="1880" spans="12:68">
      <c r="L1880" s="296"/>
      <c r="M1880" s="30"/>
      <c r="N1880" s="38"/>
      <c r="O1880" s="38"/>
      <c r="P1880" s="38"/>
      <c r="Q1880" s="38"/>
      <c r="R1880" s="38"/>
      <c r="S1880" s="38"/>
      <c r="T1880" s="38"/>
      <c r="U1880" s="38"/>
      <c r="V1880" s="38"/>
      <c r="W1880" s="38"/>
      <c r="X1880" s="38"/>
      <c r="Y1880" s="49"/>
      <c r="Z1880" s="49"/>
      <c r="BP1880" s="293"/>
    </row>
    <row r="1881" spans="12:68">
      <c r="L1881" s="296"/>
      <c r="M1881" s="30"/>
      <c r="N1881" s="38"/>
      <c r="O1881" s="38"/>
      <c r="P1881" s="38"/>
      <c r="Q1881" s="38"/>
      <c r="R1881" s="38"/>
      <c r="S1881" s="38"/>
      <c r="T1881" s="38"/>
      <c r="U1881" s="38"/>
      <c r="V1881" s="38"/>
      <c r="W1881" s="38"/>
      <c r="X1881" s="38"/>
      <c r="Y1881" s="49"/>
      <c r="Z1881" s="49"/>
      <c r="BP1881" s="293"/>
    </row>
    <row r="1882" spans="12:68">
      <c r="L1882" s="296"/>
      <c r="M1882" s="30"/>
      <c r="N1882" s="38"/>
      <c r="O1882" s="38"/>
      <c r="P1882" s="38"/>
      <c r="Q1882" s="38"/>
      <c r="R1882" s="38"/>
      <c r="S1882" s="38"/>
      <c r="T1882" s="38"/>
      <c r="U1882" s="38"/>
      <c r="V1882" s="38"/>
      <c r="W1882" s="38"/>
      <c r="X1882" s="38"/>
      <c r="Y1882" s="49"/>
      <c r="Z1882" s="49"/>
      <c r="BP1882" s="293"/>
    </row>
    <row r="1883" spans="12:68">
      <c r="L1883" s="296"/>
      <c r="M1883" s="30"/>
      <c r="N1883" s="38"/>
      <c r="O1883" s="38"/>
      <c r="P1883" s="38"/>
      <c r="Q1883" s="38"/>
      <c r="R1883" s="38"/>
      <c r="S1883" s="38"/>
      <c r="T1883" s="38"/>
      <c r="U1883" s="38"/>
      <c r="V1883" s="38"/>
      <c r="W1883" s="38"/>
      <c r="X1883" s="38"/>
      <c r="Y1883" s="49"/>
      <c r="Z1883" s="49"/>
      <c r="BP1883" s="293"/>
    </row>
    <row r="1884" spans="12:68">
      <c r="L1884" s="296"/>
      <c r="M1884" s="30"/>
      <c r="N1884" s="38"/>
      <c r="O1884" s="38"/>
      <c r="P1884" s="38"/>
      <c r="Q1884" s="38"/>
      <c r="R1884" s="38"/>
      <c r="S1884" s="38"/>
      <c r="T1884" s="38"/>
      <c r="U1884" s="38"/>
      <c r="V1884" s="38"/>
      <c r="W1884" s="38"/>
      <c r="X1884" s="38"/>
      <c r="Y1884" s="49"/>
      <c r="Z1884" s="49"/>
      <c r="BP1884" s="293"/>
    </row>
    <row r="1885" spans="12:68">
      <c r="L1885" s="296"/>
      <c r="M1885" s="30"/>
      <c r="N1885" s="38"/>
      <c r="O1885" s="38"/>
      <c r="P1885" s="38"/>
      <c r="Q1885" s="38"/>
      <c r="R1885" s="38"/>
      <c r="S1885" s="38"/>
      <c r="T1885" s="38"/>
      <c r="U1885" s="38"/>
      <c r="V1885" s="38"/>
      <c r="W1885" s="38"/>
      <c r="X1885" s="38"/>
      <c r="Y1885" s="49"/>
      <c r="Z1885" s="49"/>
      <c r="BP1885" s="293"/>
    </row>
    <row r="1886" spans="12:68">
      <c r="L1886" s="296"/>
      <c r="M1886" s="30"/>
      <c r="N1886" s="38"/>
      <c r="O1886" s="38"/>
      <c r="P1886" s="38"/>
      <c r="Q1886" s="38"/>
      <c r="R1886" s="38"/>
      <c r="S1886" s="38"/>
      <c r="T1886" s="38"/>
      <c r="U1886" s="38"/>
      <c r="V1886" s="38"/>
      <c r="W1886" s="38"/>
      <c r="X1886" s="38"/>
      <c r="Y1886" s="49"/>
      <c r="Z1886" s="49"/>
      <c r="BP1886" s="293"/>
    </row>
    <row r="1887" spans="12:68">
      <c r="L1887" s="296"/>
      <c r="M1887" s="30"/>
      <c r="N1887" s="38"/>
      <c r="O1887" s="38"/>
      <c r="P1887" s="38"/>
      <c r="Q1887" s="38"/>
      <c r="R1887" s="38"/>
      <c r="S1887" s="38"/>
      <c r="T1887" s="38"/>
      <c r="U1887" s="38"/>
      <c r="V1887" s="38"/>
      <c r="W1887" s="38"/>
      <c r="X1887" s="38"/>
      <c r="Y1887" s="49"/>
      <c r="Z1887" s="49"/>
      <c r="BP1887" s="293"/>
    </row>
    <row r="1888" spans="12:68">
      <c r="L1888" s="296"/>
      <c r="M1888" s="30"/>
      <c r="N1888" s="38"/>
      <c r="O1888" s="38"/>
      <c r="P1888" s="38"/>
      <c r="Q1888" s="38"/>
      <c r="R1888" s="38"/>
      <c r="S1888" s="38"/>
      <c r="T1888" s="38"/>
      <c r="U1888" s="38"/>
      <c r="V1888" s="38"/>
      <c r="W1888" s="38"/>
      <c r="X1888" s="38"/>
      <c r="Y1888" s="49"/>
      <c r="Z1888" s="49"/>
      <c r="BP1888" s="293"/>
    </row>
    <row r="1889" spans="12:68">
      <c r="L1889" s="296"/>
      <c r="M1889" s="30"/>
      <c r="N1889" s="38"/>
      <c r="O1889" s="38"/>
      <c r="P1889" s="38"/>
      <c r="Q1889" s="38"/>
      <c r="R1889" s="38"/>
      <c r="S1889" s="38"/>
      <c r="T1889" s="38"/>
      <c r="U1889" s="38"/>
      <c r="V1889" s="38"/>
      <c r="W1889" s="38"/>
      <c r="X1889" s="38"/>
      <c r="Y1889" s="49"/>
      <c r="Z1889" s="49"/>
      <c r="BP1889" s="293"/>
    </row>
    <row r="1890" spans="12:68">
      <c r="L1890" s="296"/>
      <c r="M1890" s="30"/>
      <c r="N1890" s="38"/>
      <c r="O1890" s="38"/>
      <c r="P1890" s="38"/>
      <c r="Q1890" s="38"/>
      <c r="R1890" s="38"/>
      <c r="S1890" s="38"/>
      <c r="T1890" s="38"/>
      <c r="U1890" s="38"/>
      <c r="V1890" s="38"/>
      <c r="W1890" s="38"/>
      <c r="X1890" s="38"/>
      <c r="Y1890" s="49"/>
      <c r="Z1890" s="49"/>
      <c r="BP1890" s="293"/>
    </row>
    <row r="1891" spans="12:68">
      <c r="L1891" s="296"/>
      <c r="M1891" s="30"/>
      <c r="N1891" s="38"/>
      <c r="O1891" s="38"/>
      <c r="P1891" s="38"/>
      <c r="Q1891" s="38"/>
      <c r="R1891" s="38"/>
      <c r="S1891" s="38"/>
      <c r="T1891" s="38"/>
      <c r="U1891" s="38"/>
      <c r="V1891" s="38"/>
      <c r="W1891" s="38"/>
      <c r="X1891" s="38"/>
      <c r="Y1891" s="49"/>
      <c r="Z1891" s="49"/>
      <c r="BP1891" s="293"/>
    </row>
    <row r="1892" spans="12:68">
      <c r="L1892" s="296"/>
      <c r="M1892" s="30"/>
      <c r="N1892" s="38"/>
      <c r="O1892" s="38"/>
      <c r="P1892" s="38"/>
      <c r="Q1892" s="38"/>
      <c r="R1892" s="38"/>
      <c r="S1892" s="38"/>
      <c r="T1892" s="38"/>
      <c r="U1892" s="38"/>
      <c r="V1892" s="38"/>
      <c r="W1892" s="38"/>
      <c r="X1892" s="38"/>
      <c r="Y1892" s="49"/>
      <c r="Z1892" s="49"/>
      <c r="BP1892" s="293"/>
    </row>
    <row r="1893" spans="12:68">
      <c r="L1893" s="296"/>
      <c r="M1893" s="30"/>
      <c r="N1893" s="38"/>
      <c r="O1893" s="38"/>
      <c r="P1893" s="38"/>
      <c r="Q1893" s="38"/>
      <c r="R1893" s="38"/>
      <c r="S1893" s="38"/>
      <c r="T1893" s="38"/>
      <c r="U1893" s="38"/>
      <c r="V1893" s="38"/>
      <c r="W1893" s="38"/>
      <c r="X1893" s="38"/>
      <c r="Y1893" s="49"/>
      <c r="Z1893" s="49"/>
      <c r="BP1893" s="293"/>
    </row>
    <row r="1894" spans="12:68">
      <c r="L1894" s="296"/>
      <c r="M1894" s="30"/>
      <c r="N1894" s="38"/>
      <c r="O1894" s="38"/>
      <c r="P1894" s="38"/>
      <c r="Q1894" s="38"/>
      <c r="R1894" s="38"/>
      <c r="S1894" s="38"/>
      <c r="T1894" s="38"/>
      <c r="U1894" s="38"/>
      <c r="V1894" s="38"/>
      <c r="W1894" s="38"/>
      <c r="X1894" s="38"/>
      <c r="Y1894" s="49"/>
      <c r="Z1894" s="49"/>
      <c r="BP1894" s="293"/>
    </row>
    <row r="1895" spans="12:68">
      <c r="L1895" s="296"/>
      <c r="M1895" s="30"/>
      <c r="N1895" s="38"/>
      <c r="O1895" s="38"/>
      <c r="P1895" s="38"/>
      <c r="Q1895" s="38"/>
      <c r="R1895" s="38"/>
      <c r="S1895" s="38"/>
      <c r="T1895" s="38"/>
      <c r="U1895" s="38"/>
      <c r="V1895" s="38"/>
      <c r="W1895" s="38"/>
      <c r="X1895" s="38"/>
      <c r="Y1895" s="49"/>
      <c r="Z1895" s="49"/>
      <c r="BP1895" s="293"/>
    </row>
    <row r="1896" spans="12:68">
      <c r="L1896" s="296"/>
      <c r="M1896" s="30"/>
      <c r="N1896" s="38"/>
      <c r="O1896" s="38"/>
      <c r="P1896" s="38"/>
      <c r="Q1896" s="38"/>
      <c r="R1896" s="38"/>
      <c r="S1896" s="38"/>
      <c r="T1896" s="38"/>
      <c r="U1896" s="38"/>
      <c r="V1896" s="38"/>
      <c r="W1896" s="38"/>
      <c r="X1896" s="38"/>
      <c r="Y1896" s="49"/>
      <c r="Z1896" s="49"/>
      <c r="BP1896" s="293"/>
    </row>
    <row r="1897" spans="12:68">
      <c r="L1897" s="296"/>
      <c r="M1897" s="30"/>
      <c r="N1897" s="38"/>
      <c r="O1897" s="38"/>
      <c r="P1897" s="38"/>
      <c r="Q1897" s="38"/>
      <c r="R1897" s="38"/>
      <c r="S1897" s="38"/>
      <c r="T1897" s="38"/>
      <c r="U1897" s="38"/>
      <c r="V1897" s="38"/>
      <c r="W1897" s="38"/>
      <c r="X1897" s="38"/>
      <c r="Y1897" s="49"/>
      <c r="Z1897" s="49"/>
      <c r="BP1897" s="293"/>
    </row>
    <row r="1898" spans="12:68">
      <c r="L1898" s="296"/>
      <c r="M1898" s="30"/>
      <c r="N1898" s="38"/>
      <c r="O1898" s="38"/>
      <c r="P1898" s="38"/>
      <c r="Q1898" s="38"/>
      <c r="R1898" s="38"/>
      <c r="S1898" s="38"/>
      <c r="T1898" s="38"/>
      <c r="U1898" s="38"/>
      <c r="V1898" s="38"/>
      <c r="W1898" s="38"/>
      <c r="X1898" s="38"/>
      <c r="Y1898" s="49"/>
      <c r="Z1898" s="49"/>
      <c r="BP1898" s="293"/>
    </row>
    <row r="1899" spans="12:68">
      <c r="L1899" s="296"/>
      <c r="M1899" s="30"/>
      <c r="N1899" s="38"/>
      <c r="O1899" s="38"/>
      <c r="P1899" s="38"/>
      <c r="Q1899" s="38"/>
      <c r="R1899" s="38"/>
      <c r="S1899" s="38"/>
      <c r="T1899" s="38"/>
      <c r="U1899" s="38"/>
      <c r="V1899" s="38"/>
      <c r="W1899" s="38"/>
      <c r="X1899" s="38"/>
      <c r="Y1899" s="49"/>
      <c r="Z1899" s="49"/>
      <c r="BP1899" s="293"/>
    </row>
    <row r="1900" spans="12:68">
      <c r="L1900" s="296"/>
      <c r="M1900" s="30"/>
      <c r="N1900" s="38"/>
      <c r="O1900" s="38"/>
      <c r="P1900" s="38"/>
      <c r="Q1900" s="38"/>
      <c r="R1900" s="38"/>
      <c r="S1900" s="38"/>
      <c r="T1900" s="38"/>
      <c r="U1900" s="38"/>
      <c r="V1900" s="38"/>
      <c r="W1900" s="38"/>
      <c r="X1900" s="38"/>
      <c r="Y1900" s="49"/>
      <c r="Z1900" s="49"/>
      <c r="BP1900" s="293"/>
    </row>
    <row r="1901" spans="12:68">
      <c r="L1901" s="296"/>
      <c r="M1901" s="30"/>
      <c r="N1901" s="38"/>
      <c r="O1901" s="38"/>
      <c r="P1901" s="38"/>
      <c r="Q1901" s="38"/>
      <c r="R1901" s="38"/>
      <c r="S1901" s="38"/>
      <c r="T1901" s="38"/>
      <c r="U1901" s="38"/>
      <c r="V1901" s="38"/>
      <c r="W1901" s="38"/>
      <c r="X1901" s="38"/>
      <c r="Y1901" s="49"/>
      <c r="Z1901" s="49"/>
      <c r="BP1901" s="293"/>
    </row>
    <row r="1902" spans="12:68">
      <c r="L1902" s="296"/>
      <c r="M1902" s="30"/>
      <c r="N1902" s="38"/>
      <c r="O1902" s="38"/>
      <c r="P1902" s="38"/>
      <c r="Q1902" s="38"/>
      <c r="R1902" s="38"/>
      <c r="S1902" s="38"/>
      <c r="T1902" s="38"/>
      <c r="U1902" s="38"/>
      <c r="V1902" s="38"/>
      <c r="W1902" s="38"/>
      <c r="X1902" s="38"/>
      <c r="Y1902" s="49"/>
      <c r="Z1902" s="49"/>
      <c r="BP1902" s="293"/>
    </row>
    <row r="1903" spans="12:68">
      <c r="L1903" s="296"/>
      <c r="M1903" s="30"/>
      <c r="N1903" s="38"/>
      <c r="O1903" s="38"/>
      <c r="P1903" s="38"/>
      <c r="Q1903" s="38"/>
      <c r="R1903" s="38"/>
      <c r="S1903" s="38"/>
      <c r="T1903" s="38"/>
      <c r="U1903" s="38"/>
      <c r="V1903" s="38"/>
      <c r="W1903" s="38"/>
      <c r="X1903" s="38"/>
      <c r="Y1903" s="49"/>
      <c r="Z1903" s="49"/>
      <c r="BP1903" s="293"/>
    </row>
    <row r="1904" spans="12:68">
      <c r="L1904" s="296"/>
      <c r="M1904" s="30"/>
      <c r="N1904" s="38"/>
      <c r="O1904" s="38"/>
      <c r="P1904" s="38"/>
      <c r="Q1904" s="38"/>
      <c r="R1904" s="38"/>
      <c r="S1904" s="38"/>
      <c r="T1904" s="38"/>
      <c r="U1904" s="38"/>
      <c r="V1904" s="38"/>
      <c r="W1904" s="38"/>
      <c r="X1904" s="38"/>
      <c r="Y1904" s="49"/>
      <c r="Z1904" s="49"/>
      <c r="BP1904" s="293"/>
    </row>
    <row r="1905" spans="12:68">
      <c r="L1905" s="296"/>
      <c r="M1905" s="30"/>
      <c r="N1905" s="38"/>
      <c r="O1905" s="38"/>
      <c r="P1905" s="38"/>
      <c r="Q1905" s="38"/>
      <c r="R1905" s="38"/>
      <c r="S1905" s="38"/>
      <c r="T1905" s="38"/>
      <c r="U1905" s="38"/>
      <c r="V1905" s="38"/>
      <c r="W1905" s="38"/>
      <c r="X1905" s="38"/>
      <c r="Y1905" s="49"/>
      <c r="Z1905" s="49"/>
      <c r="BP1905" s="293"/>
    </row>
    <row r="1906" spans="12:68">
      <c r="L1906" s="296"/>
      <c r="M1906" s="30"/>
      <c r="N1906" s="38"/>
      <c r="O1906" s="38"/>
      <c r="P1906" s="38"/>
      <c r="Q1906" s="38"/>
      <c r="R1906" s="38"/>
      <c r="S1906" s="38"/>
      <c r="T1906" s="38"/>
      <c r="U1906" s="38"/>
      <c r="V1906" s="38"/>
      <c r="W1906" s="38"/>
      <c r="X1906" s="38"/>
      <c r="Y1906" s="49"/>
      <c r="Z1906" s="49"/>
      <c r="BP1906" s="293"/>
    </row>
    <row r="1907" spans="12:68">
      <c r="L1907" s="296"/>
      <c r="M1907" s="30"/>
      <c r="N1907" s="38"/>
      <c r="O1907" s="38"/>
      <c r="P1907" s="38"/>
      <c r="Q1907" s="38"/>
      <c r="R1907" s="38"/>
      <c r="S1907" s="38"/>
      <c r="T1907" s="38"/>
      <c r="U1907" s="38"/>
      <c r="V1907" s="38"/>
      <c r="W1907" s="38"/>
      <c r="X1907" s="38"/>
      <c r="Y1907" s="49"/>
      <c r="Z1907" s="49"/>
      <c r="BP1907" s="293"/>
    </row>
    <row r="1908" spans="12:68">
      <c r="L1908" s="296"/>
      <c r="M1908" s="30"/>
      <c r="N1908" s="38"/>
      <c r="O1908" s="38"/>
      <c r="P1908" s="38"/>
      <c r="Q1908" s="38"/>
      <c r="R1908" s="38"/>
      <c r="S1908" s="38"/>
      <c r="T1908" s="38"/>
      <c r="U1908" s="38"/>
      <c r="V1908" s="38"/>
      <c r="W1908" s="38"/>
      <c r="X1908" s="38"/>
      <c r="Y1908" s="49"/>
      <c r="Z1908" s="49"/>
      <c r="BP1908" s="293"/>
    </row>
    <row r="1909" spans="12:68">
      <c r="L1909" s="296"/>
      <c r="M1909" s="30"/>
      <c r="N1909" s="38"/>
      <c r="O1909" s="38"/>
      <c r="P1909" s="38"/>
      <c r="Q1909" s="38"/>
      <c r="R1909" s="38"/>
      <c r="S1909" s="38"/>
      <c r="T1909" s="38"/>
      <c r="U1909" s="38"/>
      <c r="V1909" s="38"/>
      <c r="W1909" s="38"/>
      <c r="X1909" s="38"/>
      <c r="Y1909" s="49"/>
      <c r="Z1909" s="49"/>
      <c r="BP1909" s="293"/>
    </row>
    <row r="1910" spans="12:68">
      <c r="L1910" s="296"/>
      <c r="M1910" s="30"/>
      <c r="N1910" s="38"/>
      <c r="O1910" s="38"/>
      <c r="P1910" s="38"/>
      <c r="Q1910" s="38"/>
      <c r="R1910" s="38"/>
      <c r="S1910" s="38"/>
      <c r="T1910" s="38"/>
      <c r="U1910" s="38"/>
      <c r="V1910" s="38"/>
      <c r="W1910" s="38"/>
      <c r="X1910" s="38"/>
      <c r="Y1910" s="49"/>
      <c r="Z1910" s="49"/>
      <c r="BP1910" s="293"/>
    </row>
    <row r="1911" spans="12:68">
      <c r="L1911" s="296"/>
      <c r="M1911" s="30"/>
      <c r="N1911" s="38"/>
      <c r="O1911" s="38"/>
      <c r="P1911" s="38"/>
      <c r="Q1911" s="38"/>
      <c r="R1911" s="38"/>
      <c r="S1911" s="38"/>
      <c r="T1911" s="38"/>
      <c r="U1911" s="38"/>
      <c r="V1911" s="38"/>
      <c r="W1911" s="38"/>
      <c r="X1911" s="38"/>
      <c r="Y1911" s="49"/>
      <c r="Z1911" s="49"/>
      <c r="BP1911" s="293"/>
    </row>
    <row r="1912" spans="12:68">
      <c r="L1912" s="296"/>
      <c r="M1912" s="30"/>
      <c r="N1912" s="38"/>
      <c r="O1912" s="38"/>
      <c r="P1912" s="38"/>
      <c r="Q1912" s="38"/>
      <c r="R1912" s="38"/>
      <c r="S1912" s="38"/>
      <c r="T1912" s="38"/>
      <c r="U1912" s="38"/>
      <c r="V1912" s="38"/>
      <c r="W1912" s="38"/>
      <c r="X1912" s="38"/>
      <c r="Y1912" s="49"/>
      <c r="Z1912" s="49"/>
      <c r="BP1912" s="293"/>
    </row>
    <row r="1913" spans="12:68">
      <c r="L1913" s="296"/>
      <c r="M1913" s="30"/>
      <c r="N1913" s="38"/>
      <c r="O1913" s="38"/>
      <c r="P1913" s="38"/>
      <c r="Q1913" s="38"/>
      <c r="R1913" s="38"/>
      <c r="S1913" s="38"/>
      <c r="T1913" s="38"/>
      <c r="U1913" s="38"/>
      <c r="V1913" s="38"/>
      <c r="W1913" s="38"/>
      <c r="X1913" s="38"/>
      <c r="Y1913" s="49"/>
      <c r="Z1913" s="49"/>
      <c r="BP1913" s="293"/>
    </row>
    <row r="1914" spans="12:68">
      <c r="L1914" s="296"/>
      <c r="M1914" s="30"/>
      <c r="N1914" s="38"/>
      <c r="O1914" s="38"/>
      <c r="P1914" s="38"/>
      <c r="Q1914" s="38"/>
      <c r="R1914" s="38"/>
      <c r="S1914" s="38"/>
      <c r="T1914" s="38"/>
      <c r="U1914" s="38"/>
      <c r="V1914" s="38"/>
      <c r="W1914" s="38"/>
      <c r="X1914" s="38"/>
      <c r="Y1914" s="49"/>
      <c r="Z1914" s="49"/>
      <c r="BP1914" s="293"/>
    </row>
    <row r="1915" spans="12:68">
      <c r="L1915" s="296"/>
      <c r="M1915" s="30"/>
      <c r="N1915" s="38"/>
      <c r="O1915" s="38"/>
      <c r="P1915" s="38"/>
      <c r="Q1915" s="38"/>
      <c r="R1915" s="38"/>
      <c r="S1915" s="38"/>
      <c r="T1915" s="38"/>
      <c r="U1915" s="38"/>
      <c r="V1915" s="38"/>
      <c r="W1915" s="38"/>
      <c r="X1915" s="38"/>
      <c r="Y1915" s="49"/>
      <c r="Z1915" s="49"/>
      <c r="BP1915" s="293"/>
    </row>
    <row r="1916" spans="12:68">
      <c r="L1916" s="296"/>
      <c r="M1916" s="30"/>
      <c r="N1916" s="38"/>
      <c r="O1916" s="38"/>
      <c r="P1916" s="38"/>
      <c r="Q1916" s="38"/>
      <c r="R1916" s="38"/>
      <c r="S1916" s="38"/>
      <c r="T1916" s="38"/>
      <c r="U1916" s="38"/>
      <c r="V1916" s="38"/>
      <c r="W1916" s="38"/>
      <c r="X1916" s="38"/>
      <c r="Y1916" s="49"/>
      <c r="Z1916" s="49"/>
      <c r="BP1916" s="293"/>
    </row>
    <row r="1917" spans="12:68">
      <c r="L1917" s="296"/>
      <c r="M1917" s="30"/>
      <c r="N1917" s="38"/>
      <c r="O1917" s="38"/>
      <c r="P1917" s="38"/>
      <c r="Q1917" s="38"/>
      <c r="R1917" s="38"/>
      <c r="S1917" s="38"/>
      <c r="T1917" s="38"/>
      <c r="U1917" s="38"/>
      <c r="V1917" s="38"/>
      <c r="W1917" s="38"/>
      <c r="X1917" s="38"/>
      <c r="Y1917" s="49"/>
      <c r="Z1917" s="49"/>
      <c r="BP1917" s="293"/>
    </row>
    <row r="1918" spans="12:68">
      <c r="L1918" s="296"/>
      <c r="M1918" s="30"/>
      <c r="N1918" s="38"/>
      <c r="O1918" s="38"/>
      <c r="P1918" s="38"/>
      <c r="Q1918" s="38"/>
      <c r="R1918" s="38"/>
      <c r="S1918" s="38"/>
      <c r="T1918" s="38"/>
      <c r="U1918" s="38"/>
      <c r="V1918" s="38"/>
      <c r="W1918" s="38"/>
      <c r="X1918" s="38"/>
      <c r="Y1918" s="49"/>
      <c r="Z1918" s="49"/>
      <c r="BP1918" s="293"/>
    </row>
    <row r="1919" spans="12:68">
      <c r="L1919" s="296"/>
      <c r="M1919" s="30"/>
      <c r="N1919" s="38"/>
      <c r="O1919" s="38"/>
      <c r="P1919" s="38"/>
      <c r="Q1919" s="38"/>
      <c r="R1919" s="38"/>
      <c r="S1919" s="38"/>
      <c r="T1919" s="38"/>
      <c r="U1919" s="38"/>
      <c r="V1919" s="38"/>
      <c r="W1919" s="38"/>
      <c r="X1919" s="38"/>
      <c r="Y1919" s="49"/>
      <c r="Z1919" s="49"/>
      <c r="BP1919" s="293"/>
    </row>
    <row r="1920" spans="12:68">
      <c r="L1920" s="296"/>
      <c r="M1920" s="30"/>
      <c r="N1920" s="38"/>
      <c r="O1920" s="38"/>
      <c r="P1920" s="38"/>
      <c r="Q1920" s="38"/>
      <c r="R1920" s="38"/>
      <c r="S1920" s="38"/>
      <c r="T1920" s="38"/>
      <c r="U1920" s="38"/>
      <c r="V1920" s="38"/>
      <c r="W1920" s="38"/>
      <c r="X1920" s="38"/>
      <c r="Y1920" s="49"/>
      <c r="Z1920" s="49"/>
      <c r="BP1920" s="293"/>
    </row>
    <row r="1921" spans="12:68">
      <c r="L1921" s="296"/>
      <c r="M1921" s="30"/>
      <c r="N1921" s="38"/>
      <c r="O1921" s="38"/>
      <c r="P1921" s="38"/>
      <c r="Q1921" s="38"/>
      <c r="R1921" s="38"/>
      <c r="S1921" s="38"/>
      <c r="T1921" s="38"/>
      <c r="U1921" s="38"/>
      <c r="V1921" s="38"/>
      <c r="W1921" s="38"/>
      <c r="X1921" s="38"/>
      <c r="Y1921" s="49"/>
      <c r="Z1921" s="49"/>
      <c r="BP1921" s="293"/>
    </row>
    <row r="1922" spans="12:68">
      <c r="L1922" s="296"/>
      <c r="M1922" s="30"/>
      <c r="N1922" s="38"/>
      <c r="O1922" s="38"/>
      <c r="P1922" s="38"/>
      <c r="Q1922" s="38"/>
      <c r="R1922" s="38"/>
      <c r="S1922" s="38"/>
      <c r="T1922" s="38"/>
      <c r="U1922" s="38"/>
      <c r="V1922" s="38"/>
      <c r="W1922" s="38"/>
      <c r="X1922" s="38"/>
      <c r="Y1922" s="49"/>
      <c r="Z1922" s="49"/>
      <c r="BP1922" s="293"/>
    </row>
    <row r="1923" spans="12:68">
      <c r="L1923" s="296"/>
      <c r="M1923" s="30"/>
      <c r="N1923" s="38"/>
      <c r="O1923" s="38"/>
      <c r="P1923" s="38"/>
      <c r="Q1923" s="38"/>
      <c r="R1923" s="38"/>
      <c r="S1923" s="38"/>
      <c r="T1923" s="38"/>
      <c r="U1923" s="38"/>
      <c r="V1923" s="38"/>
      <c r="W1923" s="38"/>
      <c r="X1923" s="38"/>
      <c r="Y1923" s="49"/>
      <c r="Z1923" s="49"/>
      <c r="BP1923" s="293"/>
    </row>
    <row r="1924" spans="12:68">
      <c r="L1924" s="296"/>
      <c r="M1924" s="30"/>
      <c r="N1924" s="38"/>
      <c r="O1924" s="38"/>
      <c r="P1924" s="38"/>
      <c r="Q1924" s="38"/>
      <c r="R1924" s="38"/>
      <c r="S1924" s="38"/>
      <c r="T1924" s="38"/>
      <c r="U1924" s="38"/>
      <c r="V1924" s="38"/>
      <c r="W1924" s="38"/>
      <c r="X1924" s="38"/>
      <c r="Y1924" s="49"/>
      <c r="Z1924" s="49"/>
      <c r="BP1924" s="293"/>
    </row>
    <row r="1925" spans="12:68">
      <c r="L1925" s="296"/>
      <c r="M1925" s="30"/>
      <c r="N1925" s="38"/>
      <c r="O1925" s="38"/>
      <c r="P1925" s="38"/>
      <c r="Q1925" s="38"/>
      <c r="R1925" s="38"/>
      <c r="S1925" s="38"/>
      <c r="T1925" s="38"/>
      <c r="U1925" s="38"/>
      <c r="V1925" s="38"/>
      <c r="W1925" s="38"/>
      <c r="X1925" s="38"/>
      <c r="Y1925" s="49"/>
      <c r="Z1925" s="49"/>
      <c r="BP1925" s="293"/>
    </row>
    <row r="1926" spans="12:68">
      <c r="L1926" s="296"/>
      <c r="M1926" s="30"/>
      <c r="N1926" s="38"/>
      <c r="O1926" s="38"/>
      <c r="P1926" s="38"/>
      <c r="Q1926" s="38"/>
      <c r="R1926" s="38"/>
      <c r="S1926" s="38"/>
      <c r="T1926" s="38"/>
      <c r="U1926" s="38"/>
      <c r="V1926" s="38"/>
      <c r="W1926" s="38"/>
      <c r="X1926" s="38"/>
      <c r="Y1926" s="49"/>
      <c r="Z1926" s="49"/>
      <c r="BP1926" s="293"/>
    </row>
    <row r="1927" spans="12:68">
      <c r="L1927" s="296"/>
      <c r="M1927" s="30"/>
      <c r="N1927" s="38"/>
      <c r="O1927" s="38"/>
      <c r="P1927" s="38"/>
      <c r="Q1927" s="38"/>
      <c r="R1927" s="38"/>
      <c r="S1927" s="38"/>
      <c r="T1927" s="38"/>
      <c r="U1927" s="38"/>
      <c r="V1927" s="38"/>
      <c r="W1927" s="38"/>
      <c r="X1927" s="38"/>
      <c r="Y1927" s="49"/>
      <c r="Z1927" s="49"/>
      <c r="BP1927" s="293"/>
    </row>
    <row r="1928" spans="12:68">
      <c r="L1928" s="296"/>
      <c r="M1928" s="30"/>
      <c r="N1928" s="38"/>
      <c r="O1928" s="38"/>
      <c r="P1928" s="38"/>
      <c r="Q1928" s="38"/>
      <c r="R1928" s="38"/>
      <c r="S1928" s="38"/>
      <c r="T1928" s="38"/>
      <c r="U1928" s="38"/>
      <c r="V1928" s="38"/>
      <c r="W1928" s="38"/>
      <c r="X1928" s="38"/>
      <c r="Y1928" s="49"/>
      <c r="Z1928" s="49"/>
      <c r="BP1928" s="293"/>
    </row>
    <row r="1929" spans="12:68">
      <c r="L1929" s="296"/>
      <c r="M1929" s="30"/>
      <c r="N1929" s="38"/>
      <c r="O1929" s="38"/>
      <c r="P1929" s="38"/>
      <c r="Q1929" s="38"/>
      <c r="R1929" s="38"/>
      <c r="S1929" s="38"/>
      <c r="T1929" s="38"/>
      <c r="U1929" s="38"/>
      <c r="V1929" s="38"/>
      <c r="W1929" s="38"/>
      <c r="X1929" s="38"/>
      <c r="Y1929" s="49"/>
      <c r="Z1929" s="49"/>
      <c r="BP1929" s="293"/>
    </row>
    <row r="1930" spans="12:68">
      <c r="L1930" s="296"/>
      <c r="M1930" s="30"/>
      <c r="N1930" s="38"/>
      <c r="O1930" s="38"/>
      <c r="P1930" s="38"/>
      <c r="Q1930" s="38"/>
      <c r="R1930" s="38"/>
      <c r="S1930" s="38"/>
      <c r="T1930" s="38"/>
      <c r="U1930" s="38"/>
      <c r="V1930" s="38"/>
      <c r="W1930" s="38"/>
      <c r="X1930" s="38"/>
      <c r="Y1930" s="49"/>
      <c r="Z1930" s="49"/>
      <c r="BP1930" s="293"/>
    </row>
    <row r="1931" spans="12:68">
      <c r="L1931" s="296"/>
      <c r="M1931" s="30"/>
      <c r="N1931" s="38"/>
      <c r="O1931" s="38"/>
      <c r="P1931" s="38"/>
      <c r="Q1931" s="38"/>
      <c r="R1931" s="38"/>
      <c r="S1931" s="38"/>
      <c r="T1931" s="38"/>
      <c r="U1931" s="38"/>
      <c r="V1931" s="38"/>
      <c r="W1931" s="38"/>
      <c r="X1931" s="38"/>
      <c r="Y1931" s="49"/>
      <c r="Z1931" s="49"/>
      <c r="BP1931" s="293"/>
    </row>
    <row r="1932" spans="12:68">
      <c r="L1932" s="296"/>
      <c r="M1932" s="30"/>
      <c r="N1932" s="38"/>
      <c r="O1932" s="38"/>
      <c r="P1932" s="38"/>
      <c r="Q1932" s="38"/>
      <c r="R1932" s="38"/>
      <c r="S1932" s="38"/>
      <c r="T1932" s="38"/>
      <c r="U1932" s="38"/>
      <c r="V1932" s="38"/>
      <c r="W1932" s="38"/>
      <c r="X1932" s="38"/>
      <c r="Y1932" s="49"/>
      <c r="Z1932" s="49"/>
      <c r="BP1932" s="293"/>
    </row>
    <row r="1933" spans="12:68">
      <c r="L1933" s="296"/>
      <c r="M1933" s="30"/>
      <c r="N1933" s="38"/>
      <c r="O1933" s="38"/>
      <c r="P1933" s="38"/>
      <c r="Q1933" s="38"/>
      <c r="R1933" s="38"/>
      <c r="S1933" s="38"/>
      <c r="T1933" s="38"/>
      <c r="U1933" s="38"/>
      <c r="V1933" s="38"/>
      <c r="W1933" s="38"/>
      <c r="X1933" s="38"/>
      <c r="Y1933" s="49"/>
      <c r="Z1933" s="49"/>
      <c r="BP1933" s="293"/>
    </row>
    <row r="1934" spans="12:68">
      <c r="L1934" s="296"/>
      <c r="M1934" s="30"/>
      <c r="N1934" s="38"/>
      <c r="O1934" s="38"/>
      <c r="P1934" s="38"/>
      <c r="Q1934" s="38"/>
      <c r="R1934" s="38"/>
      <c r="S1934" s="38"/>
      <c r="T1934" s="38"/>
      <c r="U1934" s="38"/>
      <c r="V1934" s="38"/>
      <c r="W1934" s="38"/>
      <c r="X1934" s="38"/>
      <c r="Y1934" s="49"/>
      <c r="Z1934" s="49"/>
      <c r="BP1934" s="293"/>
    </row>
    <row r="1935" spans="12:68">
      <c r="L1935" s="296"/>
      <c r="M1935" s="30"/>
      <c r="N1935" s="38"/>
      <c r="O1935" s="38"/>
      <c r="P1935" s="38"/>
      <c r="Q1935" s="38"/>
      <c r="R1935" s="38"/>
      <c r="S1935" s="38"/>
      <c r="T1935" s="38"/>
      <c r="U1935" s="38"/>
      <c r="V1935" s="38"/>
      <c r="W1935" s="38"/>
      <c r="X1935" s="38"/>
      <c r="Y1935" s="49"/>
      <c r="Z1935" s="49"/>
      <c r="BP1935" s="293"/>
    </row>
    <row r="1936" spans="12:68">
      <c r="L1936" s="296"/>
      <c r="M1936" s="30"/>
      <c r="N1936" s="38"/>
      <c r="O1936" s="38"/>
      <c r="P1936" s="38"/>
      <c r="Q1936" s="38"/>
      <c r="R1936" s="38"/>
      <c r="S1936" s="38"/>
      <c r="T1936" s="38"/>
      <c r="U1936" s="38"/>
      <c r="V1936" s="38"/>
      <c r="W1936" s="38"/>
      <c r="X1936" s="38"/>
      <c r="Y1936" s="49"/>
      <c r="Z1936" s="49"/>
      <c r="BP1936" s="293"/>
    </row>
    <row r="1937" spans="12:68">
      <c r="L1937" s="296"/>
      <c r="M1937" s="30"/>
      <c r="N1937" s="38"/>
      <c r="O1937" s="38"/>
      <c r="P1937" s="38"/>
      <c r="Q1937" s="38"/>
      <c r="R1937" s="38"/>
      <c r="S1937" s="38"/>
      <c r="T1937" s="38"/>
      <c r="U1937" s="38"/>
      <c r="V1937" s="38"/>
      <c r="W1937" s="38"/>
      <c r="X1937" s="38"/>
      <c r="Y1937" s="49"/>
      <c r="Z1937" s="49"/>
      <c r="BP1937" s="293"/>
    </row>
    <row r="1938" spans="12:68">
      <c r="L1938" s="296"/>
      <c r="M1938" s="30"/>
      <c r="N1938" s="38"/>
      <c r="O1938" s="38"/>
      <c r="P1938" s="38"/>
      <c r="Q1938" s="38"/>
      <c r="R1938" s="38"/>
      <c r="S1938" s="38"/>
      <c r="T1938" s="38"/>
      <c r="U1938" s="38"/>
      <c r="V1938" s="38"/>
      <c r="W1938" s="38"/>
      <c r="X1938" s="38"/>
      <c r="Y1938" s="49"/>
      <c r="Z1938" s="49"/>
      <c r="BP1938" s="293"/>
    </row>
    <row r="1939" spans="12:68">
      <c r="L1939" s="296"/>
      <c r="M1939" s="30"/>
      <c r="N1939" s="38"/>
      <c r="O1939" s="38"/>
      <c r="P1939" s="38"/>
      <c r="Q1939" s="38"/>
      <c r="R1939" s="38"/>
      <c r="S1939" s="38"/>
      <c r="T1939" s="38"/>
      <c r="U1939" s="38"/>
      <c r="V1939" s="38"/>
      <c r="W1939" s="38"/>
      <c r="X1939" s="38"/>
      <c r="Y1939" s="49"/>
      <c r="Z1939" s="49"/>
      <c r="BP1939" s="293"/>
    </row>
    <row r="1940" spans="12:68">
      <c r="L1940" s="296"/>
      <c r="M1940" s="30"/>
      <c r="N1940" s="38"/>
      <c r="O1940" s="38"/>
      <c r="P1940" s="38"/>
      <c r="Q1940" s="38"/>
      <c r="R1940" s="38"/>
      <c r="S1940" s="38"/>
      <c r="T1940" s="38"/>
      <c r="U1940" s="38"/>
      <c r="V1940" s="38"/>
      <c r="W1940" s="38"/>
      <c r="X1940" s="38"/>
      <c r="Y1940" s="49"/>
      <c r="Z1940" s="49"/>
      <c r="BP1940" s="293"/>
    </row>
    <row r="1941" spans="12:68">
      <c r="L1941" s="296"/>
      <c r="M1941" s="30"/>
      <c r="N1941" s="38"/>
      <c r="O1941" s="38"/>
      <c r="P1941" s="38"/>
      <c r="Q1941" s="38"/>
      <c r="R1941" s="38"/>
      <c r="S1941" s="38"/>
      <c r="T1941" s="38"/>
      <c r="U1941" s="38"/>
      <c r="V1941" s="38"/>
      <c r="W1941" s="38"/>
      <c r="X1941" s="38"/>
      <c r="Y1941" s="49"/>
      <c r="Z1941" s="49"/>
      <c r="BP1941" s="293"/>
    </row>
    <row r="1942" spans="12:68">
      <c r="L1942" s="296"/>
      <c r="M1942" s="30"/>
      <c r="N1942" s="38"/>
      <c r="O1942" s="38"/>
      <c r="P1942" s="38"/>
      <c r="Q1942" s="38"/>
      <c r="R1942" s="38"/>
      <c r="S1942" s="38"/>
      <c r="T1942" s="38"/>
      <c r="U1942" s="38"/>
      <c r="V1942" s="38"/>
      <c r="W1942" s="38"/>
      <c r="X1942" s="38"/>
      <c r="Y1942" s="49"/>
      <c r="Z1942" s="49"/>
      <c r="BP1942" s="293"/>
    </row>
    <row r="1943" spans="12:68">
      <c r="L1943" s="296"/>
      <c r="M1943" s="30"/>
      <c r="N1943" s="38"/>
      <c r="O1943" s="38"/>
      <c r="P1943" s="38"/>
      <c r="Q1943" s="38"/>
      <c r="R1943" s="38"/>
      <c r="S1943" s="38"/>
      <c r="T1943" s="38"/>
      <c r="U1943" s="38"/>
      <c r="V1943" s="38"/>
      <c r="W1943" s="38"/>
      <c r="X1943" s="38"/>
      <c r="Y1943" s="49"/>
      <c r="Z1943" s="49"/>
      <c r="BP1943" s="293"/>
    </row>
    <row r="1944" spans="12:68">
      <c r="L1944" s="296"/>
      <c r="M1944" s="30"/>
      <c r="N1944" s="38"/>
      <c r="O1944" s="38"/>
      <c r="P1944" s="38"/>
      <c r="Q1944" s="38"/>
      <c r="R1944" s="38"/>
      <c r="S1944" s="38"/>
      <c r="T1944" s="38"/>
      <c r="U1944" s="38"/>
      <c r="V1944" s="38"/>
      <c r="W1944" s="38"/>
      <c r="X1944" s="38"/>
      <c r="Y1944" s="49"/>
      <c r="Z1944" s="49"/>
      <c r="BP1944" s="293"/>
    </row>
    <row r="1945" spans="12:68">
      <c r="L1945" s="296"/>
      <c r="M1945" s="30"/>
      <c r="N1945" s="38"/>
      <c r="O1945" s="38"/>
      <c r="P1945" s="38"/>
      <c r="Q1945" s="38"/>
      <c r="R1945" s="38"/>
      <c r="S1945" s="38"/>
      <c r="T1945" s="38"/>
      <c r="U1945" s="38"/>
      <c r="V1945" s="38"/>
      <c r="W1945" s="38"/>
      <c r="X1945" s="38"/>
      <c r="Y1945" s="49"/>
      <c r="Z1945" s="49"/>
      <c r="BP1945" s="293"/>
    </row>
    <row r="1946" spans="12:68">
      <c r="L1946" s="296"/>
      <c r="M1946" s="30"/>
      <c r="N1946" s="38"/>
      <c r="O1946" s="38"/>
      <c r="P1946" s="38"/>
      <c r="Q1946" s="38"/>
      <c r="R1946" s="38"/>
      <c r="S1946" s="38"/>
      <c r="T1946" s="38"/>
      <c r="U1946" s="38"/>
      <c r="V1946" s="38"/>
      <c r="W1946" s="38"/>
      <c r="X1946" s="38"/>
      <c r="Y1946" s="49"/>
      <c r="Z1946" s="49"/>
      <c r="BP1946" s="293"/>
    </row>
    <row r="1947" spans="12:68">
      <c r="L1947" s="296"/>
      <c r="M1947" s="30"/>
      <c r="N1947" s="38"/>
      <c r="O1947" s="38"/>
      <c r="P1947" s="38"/>
      <c r="Q1947" s="38"/>
      <c r="R1947" s="38"/>
      <c r="S1947" s="38"/>
      <c r="T1947" s="38"/>
      <c r="U1947" s="38"/>
      <c r="V1947" s="38"/>
      <c r="W1947" s="38"/>
      <c r="X1947" s="38"/>
      <c r="Y1947" s="49"/>
      <c r="Z1947" s="49"/>
      <c r="BP1947" s="293"/>
    </row>
    <row r="1948" spans="12:68">
      <c r="L1948" s="296"/>
      <c r="M1948" s="30"/>
      <c r="N1948" s="38"/>
      <c r="O1948" s="38"/>
      <c r="P1948" s="38"/>
      <c r="Q1948" s="38"/>
      <c r="R1948" s="38"/>
      <c r="S1948" s="38"/>
      <c r="T1948" s="38"/>
      <c r="U1948" s="38"/>
      <c r="V1948" s="38"/>
      <c r="W1948" s="38"/>
      <c r="X1948" s="38"/>
      <c r="Y1948" s="49"/>
      <c r="Z1948" s="49"/>
      <c r="BP1948" s="293"/>
    </row>
    <row r="1949" spans="12:68">
      <c r="L1949" s="296"/>
      <c r="M1949" s="30"/>
      <c r="N1949" s="38"/>
      <c r="O1949" s="38"/>
      <c r="P1949" s="38"/>
      <c r="Q1949" s="38"/>
      <c r="R1949" s="38"/>
      <c r="S1949" s="38"/>
      <c r="T1949" s="38"/>
      <c r="U1949" s="38"/>
      <c r="V1949" s="38"/>
      <c r="W1949" s="38"/>
      <c r="X1949" s="38"/>
      <c r="Y1949" s="49"/>
      <c r="Z1949" s="49"/>
      <c r="BP1949" s="293"/>
    </row>
    <row r="1950" spans="12:68">
      <c r="L1950" s="296"/>
      <c r="M1950" s="30"/>
      <c r="N1950" s="38"/>
      <c r="O1950" s="38"/>
      <c r="P1950" s="38"/>
      <c r="Q1950" s="38"/>
      <c r="R1950" s="38"/>
      <c r="S1950" s="38"/>
      <c r="T1950" s="38"/>
      <c r="U1950" s="38"/>
      <c r="V1950" s="38"/>
      <c r="W1950" s="38"/>
      <c r="X1950" s="38"/>
      <c r="Y1950" s="49"/>
      <c r="Z1950" s="49"/>
      <c r="BP1950" s="293"/>
    </row>
    <row r="1951" spans="12:68">
      <c r="L1951" s="296"/>
      <c r="M1951" s="30"/>
      <c r="N1951" s="38"/>
      <c r="O1951" s="38"/>
      <c r="P1951" s="38"/>
      <c r="Q1951" s="38"/>
      <c r="R1951" s="38"/>
      <c r="S1951" s="38"/>
      <c r="T1951" s="38"/>
      <c r="U1951" s="38"/>
      <c r="V1951" s="38"/>
      <c r="W1951" s="38"/>
      <c r="X1951" s="38"/>
      <c r="Y1951" s="49"/>
      <c r="Z1951" s="49"/>
      <c r="BP1951" s="293"/>
    </row>
    <row r="1952" spans="12:68">
      <c r="L1952" s="296"/>
      <c r="M1952" s="30"/>
      <c r="N1952" s="38"/>
      <c r="O1952" s="38"/>
      <c r="P1952" s="38"/>
      <c r="Q1952" s="38"/>
      <c r="R1952" s="38"/>
      <c r="S1952" s="38"/>
      <c r="T1952" s="38"/>
      <c r="U1952" s="38"/>
      <c r="V1952" s="38"/>
      <c r="W1952" s="38"/>
      <c r="X1952" s="38"/>
      <c r="Y1952" s="49"/>
      <c r="Z1952" s="49"/>
      <c r="BP1952" s="293"/>
    </row>
    <row r="1953" spans="12:68">
      <c r="L1953" s="296"/>
      <c r="M1953" s="30"/>
      <c r="N1953" s="38"/>
      <c r="O1953" s="38"/>
      <c r="P1953" s="38"/>
      <c r="Q1953" s="38"/>
      <c r="R1953" s="38"/>
      <c r="S1953" s="38"/>
      <c r="T1953" s="38"/>
      <c r="U1953" s="38"/>
      <c r="V1953" s="38"/>
      <c r="W1953" s="38"/>
      <c r="X1953" s="38"/>
      <c r="Y1953" s="49"/>
      <c r="Z1953" s="49"/>
      <c r="BP1953" s="293"/>
    </row>
    <row r="1954" spans="12:68">
      <c r="L1954" s="296"/>
      <c r="M1954" s="30"/>
      <c r="N1954" s="38"/>
      <c r="O1954" s="38"/>
      <c r="P1954" s="38"/>
      <c r="Q1954" s="38"/>
      <c r="R1954" s="38"/>
      <c r="S1954" s="38"/>
      <c r="T1954" s="38"/>
      <c r="U1954" s="38"/>
      <c r="V1954" s="38"/>
      <c r="W1954" s="38"/>
      <c r="X1954" s="38"/>
      <c r="Y1954" s="49"/>
      <c r="Z1954" s="49"/>
      <c r="BP1954" s="293"/>
    </row>
    <row r="1955" spans="12:68">
      <c r="L1955" s="296"/>
      <c r="M1955" s="30"/>
      <c r="N1955" s="38"/>
      <c r="O1955" s="38"/>
      <c r="P1955" s="38"/>
      <c r="Q1955" s="38"/>
      <c r="R1955" s="38"/>
      <c r="S1955" s="38"/>
      <c r="T1955" s="38"/>
      <c r="U1955" s="38"/>
      <c r="V1955" s="38"/>
      <c r="W1955" s="38"/>
      <c r="X1955" s="38"/>
      <c r="Y1955" s="49"/>
      <c r="Z1955" s="49"/>
      <c r="BP1955" s="293"/>
    </row>
    <row r="1956" spans="12:68">
      <c r="L1956" s="296"/>
      <c r="M1956" s="30"/>
      <c r="N1956" s="38"/>
      <c r="O1956" s="38"/>
      <c r="P1956" s="38"/>
      <c r="Q1956" s="38"/>
      <c r="R1956" s="38"/>
      <c r="S1956" s="38"/>
      <c r="T1956" s="38"/>
      <c r="U1956" s="38"/>
      <c r="V1956" s="38"/>
      <c r="W1956" s="38"/>
      <c r="X1956" s="38"/>
      <c r="Y1956" s="49"/>
      <c r="Z1956" s="49"/>
      <c r="BP1956" s="293"/>
    </row>
    <row r="1957" spans="12:68">
      <c r="L1957" s="296"/>
      <c r="M1957" s="30"/>
      <c r="N1957" s="38"/>
      <c r="O1957" s="38"/>
      <c r="P1957" s="38"/>
      <c r="Q1957" s="38"/>
      <c r="R1957" s="38"/>
      <c r="S1957" s="38"/>
      <c r="T1957" s="38"/>
      <c r="U1957" s="38"/>
      <c r="V1957" s="38"/>
      <c r="W1957" s="38"/>
      <c r="X1957" s="38"/>
      <c r="Y1957" s="49"/>
      <c r="Z1957" s="49"/>
      <c r="BP1957" s="293"/>
    </row>
    <row r="1958" spans="12:68">
      <c r="L1958" s="296"/>
      <c r="M1958" s="30"/>
      <c r="N1958" s="38"/>
      <c r="O1958" s="38"/>
      <c r="P1958" s="38"/>
      <c r="Q1958" s="38"/>
      <c r="R1958" s="38"/>
      <c r="S1958" s="38"/>
      <c r="T1958" s="38"/>
      <c r="U1958" s="38"/>
      <c r="V1958" s="38"/>
      <c r="W1958" s="38"/>
      <c r="X1958" s="38"/>
      <c r="Y1958" s="49"/>
      <c r="Z1958" s="49"/>
      <c r="BP1958" s="293"/>
    </row>
    <row r="1959" spans="12:68">
      <c r="L1959" s="296"/>
      <c r="M1959" s="30"/>
      <c r="N1959" s="38"/>
      <c r="O1959" s="38"/>
      <c r="P1959" s="38"/>
      <c r="Q1959" s="38"/>
      <c r="R1959" s="38"/>
      <c r="S1959" s="38"/>
      <c r="T1959" s="38"/>
      <c r="U1959" s="38"/>
      <c r="V1959" s="38"/>
      <c r="W1959" s="38"/>
      <c r="X1959" s="38"/>
      <c r="Y1959" s="49"/>
      <c r="Z1959" s="49"/>
      <c r="BP1959" s="293"/>
    </row>
    <row r="1960" spans="12:68">
      <c r="L1960" s="296"/>
      <c r="M1960" s="30"/>
      <c r="N1960" s="38"/>
      <c r="O1960" s="38"/>
      <c r="P1960" s="38"/>
      <c r="Q1960" s="38"/>
      <c r="R1960" s="38"/>
      <c r="S1960" s="38"/>
      <c r="T1960" s="38"/>
      <c r="U1960" s="38"/>
      <c r="V1960" s="38"/>
      <c r="W1960" s="38"/>
      <c r="X1960" s="38"/>
      <c r="Y1960" s="49"/>
      <c r="Z1960" s="49"/>
      <c r="BP1960" s="293"/>
    </row>
    <row r="1961" spans="12:68">
      <c r="L1961" s="296"/>
      <c r="M1961" s="30"/>
      <c r="N1961" s="38"/>
      <c r="O1961" s="38"/>
      <c r="P1961" s="38"/>
      <c r="Q1961" s="38"/>
      <c r="R1961" s="38"/>
      <c r="S1961" s="38"/>
      <c r="T1961" s="38"/>
      <c r="U1961" s="38"/>
      <c r="V1961" s="38"/>
      <c r="W1961" s="38"/>
      <c r="X1961" s="38"/>
      <c r="Y1961" s="49"/>
      <c r="Z1961" s="49"/>
      <c r="BP1961" s="293"/>
    </row>
    <row r="1962" spans="12:68">
      <c r="L1962" s="296"/>
      <c r="M1962" s="30"/>
      <c r="N1962" s="38"/>
      <c r="O1962" s="38"/>
      <c r="P1962" s="38"/>
      <c r="Q1962" s="38"/>
      <c r="R1962" s="38"/>
      <c r="S1962" s="38"/>
      <c r="T1962" s="38"/>
      <c r="U1962" s="38"/>
      <c r="V1962" s="38"/>
      <c r="W1962" s="38"/>
      <c r="X1962" s="38"/>
      <c r="Y1962" s="49"/>
      <c r="Z1962" s="49"/>
      <c r="BP1962" s="293"/>
    </row>
    <row r="1963" spans="12:68">
      <c r="L1963" s="296"/>
      <c r="M1963" s="30"/>
      <c r="N1963" s="38"/>
      <c r="O1963" s="38"/>
      <c r="P1963" s="38"/>
      <c r="Q1963" s="38"/>
      <c r="R1963" s="38"/>
      <c r="S1963" s="38"/>
      <c r="T1963" s="38"/>
      <c r="U1963" s="38"/>
      <c r="V1963" s="38"/>
      <c r="W1963" s="38"/>
      <c r="X1963" s="38"/>
      <c r="Y1963" s="49"/>
      <c r="Z1963" s="49"/>
      <c r="BP1963" s="293"/>
    </row>
    <row r="1964" spans="12:68">
      <c r="L1964" s="296"/>
      <c r="M1964" s="30"/>
      <c r="N1964" s="38"/>
      <c r="O1964" s="38"/>
      <c r="P1964" s="38"/>
      <c r="Q1964" s="38"/>
      <c r="R1964" s="38"/>
      <c r="S1964" s="38"/>
      <c r="T1964" s="38"/>
      <c r="U1964" s="38"/>
      <c r="V1964" s="38"/>
      <c r="W1964" s="38"/>
      <c r="X1964" s="38"/>
      <c r="Y1964" s="49"/>
      <c r="Z1964" s="49"/>
      <c r="BP1964" s="293"/>
    </row>
    <row r="1965" spans="12:68">
      <c r="L1965" s="296"/>
      <c r="M1965" s="30"/>
      <c r="N1965" s="38"/>
      <c r="O1965" s="38"/>
      <c r="P1965" s="38"/>
      <c r="Q1965" s="38"/>
      <c r="R1965" s="38"/>
      <c r="S1965" s="38"/>
      <c r="T1965" s="38"/>
      <c r="U1965" s="38"/>
      <c r="V1965" s="38"/>
      <c r="W1965" s="38"/>
      <c r="X1965" s="38"/>
      <c r="Y1965" s="49"/>
      <c r="Z1965" s="49"/>
      <c r="BP1965" s="293"/>
    </row>
    <row r="1966" spans="12:68">
      <c r="L1966" s="296"/>
      <c r="M1966" s="30"/>
      <c r="N1966" s="38"/>
      <c r="O1966" s="38"/>
      <c r="P1966" s="38"/>
      <c r="Q1966" s="38"/>
      <c r="R1966" s="38"/>
      <c r="S1966" s="38"/>
      <c r="T1966" s="38"/>
      <c r="U1966" s="38"/>
      <c r="V1966" s="38"/>
      <c r="W1966" s="38"/>
      <c r="X1966" s="38"/>
      <c r="Y1966" s="49"/>
      <c r="Z1966" s="49"/>
      <c r="BP1966" s="293"/>
    </row>
    <row r="1967" spans="12:68">
      <c r="L1967" s="296"/>
      <c r="M1967" s="30"/>
      <c r="N1967" s="38"/>
      <c r="O1967" s="38"/>
      <c r="P1967" s="38"/>
      <c r="Q1967" s="38"/>
      <c r="R1967" s="38"/>
      <c r="S1967" s="38"/>
      <c r="T1967" s="38"/>
      <c r="U1967" s="38"/>
      <c r="V1967" s="38"/>
      <c r="W1967" s="38"/>
      <c r="X1967" s="38"/>
      <c r="Y1967" s="49"/>
      <c r="Z1967" s="49"/>
      <c r="BP1967" s="293"/>
    </row>
    <row r="1968" spans="12:68">
      <c r="L1968" s="296"/>
      <c r="M1968" s="30"/>
      <c r="N1968" s="38"/>
      <c r="O1968" s="38"/>
      <c r="P1968" s="38"/>
      <c r="Q1968" s="38"/>
      <c r="R1968" s="38"/>
      <c r="S1968" s="38"/>
      <c r="T1968" s="38"/>
      <c r="U1968" s="38"/>
      <c r="V1968" s="38"/>
      <c r="W1968" s="38"/>
      <c r="X1968" s="38"/>
      <c r="Y1968" s="49"/>
      <c r="Z1968" s="49"/>
      <c r="BP1968" s="293"/>
    </row>
    <row r="1969" spans="12:68">
      <c r="L1969" s="296"/>
      <c r="M1969" s="30"/>
      <c r="N1969" s="38"/>
      <c r="O1969" s="38"/>
      <c r="P1969" s="38"/>
      <c r="Q1969" s="38"/>
      <c r="R1969" s="38"/>
      <c r="S1969" s="38"/>
      <c r="T1969" s="38"/>
      <c r="U1969" s="38"/>
      <c r="V1969" s="38"/>
      <c r="W1969" s="38"/>
      <c r="X1969" s="38"/>
      <c r="Y1969" s="49"/>
      <c r="Z1969" s="49"/>
      <c r="BP1969" s="293"/>
    </row>
    <row r="1970" spans="12:68">
      <c r="L1970" s="296"/>
      <c r="M1970" s="30"/>
      <c r="N1970" s="38"/>
      <c r="O1970" s="38"/>
      <c r="P1970" s="38"/>
      <c r="Q1970" s="38"/>
      <c r="R1970" s="38"/>
      <c r="S1970" s="38"/>
      <c r="T1970" s="38"/>
      <c r="U1970" s="38"/>
      <c r="V1970" s="38"/>
      <c r="W1970" s="38"/>
      <c r="X1970" s="38"/>
      <c r="Y1970" s="49"/>
      <c r="Z1970" s="49"/>
      <c r="BP1970" s="293"/>
    </row>
    <row r="1971" spans="12:68">
      <c r="L1971" s="296"/>
      <c r="M1971" s="30"/>
      <c r="N1971" s="38"/>
      <c r="O1971" s="38"/>
      <c r="P1971" s="38"/>
      <c r="Q1971" s="38"/>
      <c r="R1971" s="38"/>
      <c r="S1971" s="38"/>
      <c r="T1971" s="38"/>
      <c r="U1971" s="38"/>
      <c r="V1971" s="38"/>
      <c r="W1971" s="38"/>
      <c r="X1971" s="38"/>
      <c r="Y1971" s="49"/>
      <c r="Z1971" s="49"/>
      <c r="BP1971" s="293"/>
    </row>
    <row r="1972" spans="12:68">
      <c r="L1972" s="296"/>
      <c r="M1972" s="30"/>
      <c r="N1972" s="38"/>
      <c r="O1972" s="38"/>
      <c r="P1972" s="38"/>
      <c r="Q1972" s="38"/>
      <c r="R1972" s="38"/>
      <c r="S1972" s="38"/>
      <c r="T1972" s="38"/>
      <c r="U1972" s="38"/>
      <c r="V1972" s="38"/>
      <c r="W1972" s="38"/>
      <c r="X1972" s="38"/>
      <c r="Y1972" s="49"/>
      <c r="Z1972" s="49"/>
      <c r="BP1972" s="293"/>
    </row>
    <row r="1973" spans="12:68">
      <c r="L1973" s="296"/>
      <c r="M1973" s="30"/>
      <c r="N1973" s="38"/>
      <c r="O1973" s="38"/>
      <c r="P1973" s="38"/>
      <c r="Q1973" s="38"/>
      <c r="R1973" s="38"/>
      <c r="S1973" s="38"/>
      <c r="T1973" s="38"/>
      <c r="U1973" s="38"/>
      <c r="V1973" s="38"/>
      <c r="W1973" s="38"/>
      <c r="X1973" s="38"/>
      <c r="Y1973" s="49"/>
      <c r="Z1973" s="49"/>
      <c r="BP1973" s="293"/>
    </row>
    <row r="1974" spans="12:68">
      <c r="L1974" s="296"/>
      <c r="M1974" s="30"/>
      <c r="N1974" s="38"/>
      <c r="O1974" s="38"/>
      <c r="P1974" s="38"/>
      <c r="Q1974" s="38"/>
      <c r="R1974" s="38"/>
      <c r="S1974" s="38"/>
      <c r="T1974" s="38"/>
      <c r="U1974" s="38"/>
      <c r="V1974" s="38"/>
      <c r="W1974" s="38"/>
      <c r="X1974" s="38"/>
      <c r="Y1974" s="49"/>
      <c r="Z1974" s="49"/>
      <c r="BP1974" s="293"/>
    </row>
    <row r="1975" spans="12:68">
      <c r="L1975" s="296"/>
      <c r="M1975" s="30"/>
      <c r="N1975" s="38"/>
      <c r="O1975" s="38"/>
      <c r="P1975" s="38"/>
      <c r="Q1975" s="38"/>
      <c r="R1975" s="38"/>
      <c r="S1975" s="38"/>
      <c r="T1975" s="38"/>
      <c r="U1975" s="38"/>
      <c r="V1975" s="38"/>
      <c r="W1975" s="38"/>
      <c r="X1975" s="38"/>
      <c r="Y1975" s="49"/>
      <c r="Z1975" s="49"/>
      <c r="BP1975" s="293"/>
    </row>
    <row r="1976" spans="12:68">
      <c r="L1976" s="296"/>
      <c r="M1976" s="30"/>
      <c r="N1976" s="38"/>
      <c r="O1976" s="38"/>
      <c r="P1976" s="38"/>
      <c r="Q1976" s="38"/>
      <c r="R1976" s="38"/>
      <c r="S1976" s="38"/>
      <c r="T1976" s="38"/>
      <c r="U1976" s="38"/>
      <c r="V1976" s="38"/>
      <c r="W1976" s="38"/>
      <c r="X1976" s="38"/>
      <c r="Y1976" s="49"/>
      <c r="Z1976" s="49"/>
      <c r="BP1976" s="293"/>
    </row>
    <row r="1977" spans="12:68">
      <c r="L1977" s="296"/>
      <c r="M1977" s="30"/>
      <c r="N1977" s="38"/>
      <c r="O1977" s="38"/>
      <c r="P1977" s="38"/>
      <c r="Q1977" s="38"/>
      <c r="R1977" s="38"/>
      <c r="S1977" s="38"/>
      <c r="T1977" s="38"/>
      <c r="U1977" s="38"/>
      <c r="V1977" s="38"/>
      <c r="W1977" s="38"/>
      <c r="X1977" s="38"/>
      <c r="Y1977" s="49"/>
      <c r="Z1977" s="49"/>
      <c r="BP1977" s="293"/>
    </row>
    <row r="1978" spans="12:68">
      <c r="L1978" s="296"/>
      <c r="M1978" s="30"/>
      <c r="N1978" s="38"/>
      <c r="O1978" s="38"/>
      <c r="P1978" s="38"/>
      <c r="Q1978" s="38"/>
      <c r="R1978" s="38"/>
      <c r="S1978" s="38"/>
      <c r="T1978" s="38"/>
      <c r="U1978" s="38"/>
      <c r="V1978" s="38"/>
      <c r="W1978" s="38"/>
      <c r="X1978" s="38"/>
      <c r="Y1978" s="49"/>
      <c r="Z1978" s="49"/>
      <c r="BP1978" s="293"/>
    </row>
    <row r="1979" spans="12:68">
      <c r="L1979" s="296"/>
      <c r="M1979" s="30"/>
      <c r="N1979" s="38"/>
      <c r="O1979" s="38"/>
      <c r="P1979" s="38"/>
      <c r="Q1979" s="38"/>
      <c r="R1979" s="38"/>
      <c r="S1979" s="38"/>
      <c r="T1979" s="38"/>
      <c r="U1979" s="38"/>
      <c r="V1979" s="38"/>
      <c r="W1979" s="38"/>
      <c r="X1979" s="38"/>
      <c r="Y1979" s="49"/>
      <c r="Z1979" s="49"/>
      <c r="BP1979" s="293"/>
    </row>
    <row r="1980" spans="12:68">
      <c r="L1980" s="296"/>
      <c r="M1980" s="30"/>
      <c r="N1980" s="38"/>
      <c r="O1980" s="38"/>
      <c r="P1980" s="38"/>
      <c r="Q1980" s="38"/>
      <c r="R1980" s="38"/>
      <c r="S1980" s="38"/>
      <c r="T1980" s="38"/>
      <c r="U1980" s="38"/>
      <c r="V1980" s="38"/>
      <c r="W1980" s="38"/>
      <c r="X1980" s="38"/>
      <c r="Y1980" s="49"/>
      <c r="Z1980" s="49"/>
      <c r="BP1980" s="293"/>
    </row>
    <row r="1981" spans="12:68">
      <c r="L1981" s="296"/>
      <c r="M1981" s="30"/>
      <c r="N1981" s="38"/>
      <c r="O1981" s="38"/>
      <c r="P1981" s="38"/>
      <c r="Q1981" s="38"/>
      <c r="R1981" s="38"/>
      <c r="S1981" s="38"/>
      <c r="T1981" s="38"/>
      <c r="U1981" s="38"/>
      <c r="V1981" s="38"/>
      <c r="W1981" s="38"/>
      <c r="X1981" s="38"/>
      <c r="Y1981" s="49"/>
      <c r="Z1981" s="49"/>
      <c r="BP1981" s="293"/>
    </row>
    <row r="1982" spans="12:68">
      <c r="L1982" s="296"/>
      <c r="M1982" s="30"/>
      <c r="N1982" s="38"/>
      <c r="O1982" s="38"/>
      <c r="P1982" s="38"/>
      <c r="Q1982" s="38"/>
      <c r="R1982" s="38"/>
      <c r="S1982" s="38"/>
      <c r="T1982" s="38"/>
      <c r="U1982" s="38"/>
      <c r="V1982" s="38"/>
      <c r="W1982" s="38"/>
      <c r="X1982" s="38"/>
      <c r="Y1982" s="49"/>
      <c r="Z1982" s="49"/>
      <c r="BP1982" s="293"/>
    </row>
    <row r="1983" spans="12:68">
      <c r="L1983" s="296"/>
      <c r="M1983" s="30"/>
      <c r="N1983" s="38"/>
      <c r="O1983" s="38"/>
      <c r="P1983" s="38"/>
      <c r="Q1983" s="38"/>
      <c r="R1983" s="38"/>
      <c r="S1983" s="38"/>
      <c r="T1983" s="38"/>
      <c r="U1983" s="38"/>
      <c r="V1983" s="38"/>
      <c r="W1983" s="38"/>
      <c r="X1983" s="38"/>
      <c r="Y1983" s="49"/>
      <c r="Z1983" s="49"/>
      <c r="BP1983" s="293"/>
    </row>
    <row r="1984" spans="12:68">
      <c r="L1984" s="296"/>
      <c r="M1984" s="30"/>
      <c r="N1984" s="38"/>
      <c r="O1984" s="38"/>
      <c r="P1984" s="38"/>
      <c r="Q1984" s="38"/>
      <c r="R1984" s="38"/>
      <c r="S1984" s="38"/>
      <c r="T1984" s="38"/>
      <c r="U1984" s="38"/>
      <c r="V1984" s="38"/>
      <c r="W1984" s="38"/>
      <c r="X1984" s="38"/>
      <c r="Y1984" s="49"/>
      <c r="Z1984" s="49"/>
      <c r="BP1984" s="293"/>
    </row>
    <row r="1985" spans="12:68">
      <c r="L1985" s="296"/>
      <c r="M1985" s="30"/>
      <c r="N1985" s="38"/>
      <c r="O1985" s="38"/>
      <c r="P1985" s="38"/>
      <c r="Q1985" s="38"/>
      <c r="R1985" s="38"/>
      <c r="S1985" s="38"/>
      <c r="T1985" s="38"/>
      <c r="U1985" s="38"/>
      <c r="V1985" s="38"/>
      <c r="W1985" s="38"/>
      <c r="X1985" s="38"/>
      <c r="Y1985" s="49"/>
      <c r="Z1985" s="49"/>
      <c r="BP1985" s="293"/>
    </row>
    <row r="1986" spans="12:68">
      <c r="L1986" s="296"/>
      <c r="M1986" s="30"/>
      <c r="N1986" s="38"/>
      <c r="O1986" s="38"/>
      <c r="P1986" s="38"/>
      <c r="Q1986" s="38"/>
      <c r="R1986" s="38"/>
      <c r="S1986" s="38"/>
      <c r="T1986" s="38"/>
      <c r="U1986" s="38"/>
      <c r="V1986" s="38"/>
      <c r="W1986" s="38"/>
      <c r="X1986" s="38"/>
      <c r="Y1986" s="49"/>
      <c r="Z1986" s="49"/>
      <c r="BP1986" s="293"/>
    </row>
    <row r="1987" spans="12:68">
      <c r="L1987" s="296"/>
      <c r="M1987" s="30"/>
      <c r="N1987" s="38"/>
      <c r="O1987" s="38"/>
      <c r="P1987" s="38"/>
      <c r="Q1987" s="38"/>
      <c r="R1987" s="38"/>
      <c r="S1987" s="38"/>
      <c r="T1987" s="38"/>
      <c r="U1987" s="38"/>
      <c r="V1987" s="38"/>
      <c r="W1987" s="38"/>
      <c r="X1987" s="38"/>
      <c r="Y1987" s="49"/>
      <c r="Z1987" s="49"/>
      <c r="BP1987" s="293"/>
    </row>
    <row r="1988" spans="12:68">
      <c r="L1988" s="296"/>
      <c r="M1988" s="30"/>
      <c r="N1988" s="38"/>
      <c r="O1988" s="38"/>
      <c r="P1988" s="38"/>
      <c r="Q1988" s="38"/>
      <c r="R1988" s="38"/>
      <c r="S1988" s="38"/>
      <c r="T1988" s="38"/>
      <c r="U1988" s="38"/>
      <c r="V1988" s="38"/>
      <c r="W1988" s="38"/>
      <c r="X1988" s="38"/>
      <c r="Y1988" s="49"/>
      <c r="Z1988" s="49"/>
      <c r="BP1988" s="293"/>
    </row>
    <row r="1989" spans="12:68">
      <c r="L1989" s="296"/>
      <c r="M1989" s="30"/>
      <c r="N1989" s="38"/>
      <c r="O1989" s="38"/>
      <c r="P1989" s="38"/>
      <c r="Q1989" s="38"/>
      <c r="R1989" s="38"/>
      <c r="S1989" s="38"/>
      <c r="T1989" s="38"/>
      <c r="U1989" s="38"/>
      <c r="V1989" s="38"/>
      <c r="W1989" s="38"/>
      <c r="X1989" s="38"/>
      <c r="Y1989" s="49"/>
      <c r="Z1989" s="49"/>
      <c r="BP1989" s="293"/>
    </row>
    <row r="1990" spans="12:68">
      <c r="L1990" s="296"/>
      <c r="M1990" s="30"/>
      <c r="N1990" s="38"/>
      <c r="O1990" s="38"/>
      <c r="P1990" s="38"/>
      <c r="Q1990" s="38"/>
      <c r="R1990" s="38"/>
      <c r="S1990" s="38"/>
      <c r="T1990" s="38"/>
      <c r="U1990" s="38"/>
      <c r="V1990" s="38"/>
      <c r="W1990" s="38"/>
      <c r="X1990" s="38"/>
      <c r="Y1990" s="49"/>
      <c r="Z1990" s="49"/>
      <c r="BP1990" s="293"/>
    </row>
    <row r="1991" spans="12:68">
      <c r="L1991" s="296"/>
      <c r="M1991" s="30"/>
      <c r="N1991" s="38"/>
      <c r="O1991" s="38"/>
      <c r="P1991" s="38"/>
      <c r="Q1991" s="38"/>
      <c r="R1991" s="38"/>
      <c r="S1991" s="38"/>
      <c r="T1991" s="38"/>
      <c r="U1991" s="38"/>
      <c r="V1991" s="38"/>
      <c r="W1991" s="38"/>
      <c r="X1991" s="38"/>
      <c r="Y1991" s="49"/>
      <c r="Z1991" s="49"/>
      <c r="BP1991" s="293"/>
    </row>
    <row r="1992" spans="12:68">
      <c r="L1992" s="296"/>
      <c r="M1992" s="30"/>
      <c r="N1992" s="38"/>
      <c r="O1992" s="38"/>
      <c r="P1992" s="38"/>
      <c r="Q1992" s="38"/>
      <c r="R1992" s="38"/>
      <c r="S1992" s="38"/>
      <c r="T1992" s="38"/>
      <c r="U1992" s="38"/>
      <c r="V1992" s="38"/>
      <c r="W1992" s="38"/>
      <c r="X1992" s="38"/>
      <c r="Y1992" s="49"/>
      <c r="Z1992" s="49"/>
      <c r="BP1992" s="293"/>
    </row>
    <row r="1993" spans="12:68">
      <c r="L1993" s="296"/>
      <c r="M1993" s="30"/>
      <c r="N1993" s="38"/>
      <c r="O1993" s="38"/>
      <c r="P1993" s="38"/>
      <c r="Q1993" s="38"/>
      <c r="R1993" s="38"/>
      <c r="S1993" s="38"/>
      <c r="T1993" s="38"/>
      <c r="U1993" s="38"/>
      <c r="V1993" s="38"/>
      <c r="W1993" s="38"/>
      <c r="X1993" s="38"/>
      <c r="Y1993" s="49"/>
      <c r="Z1993" s="49"/>
      <c r="BP1993" s="293"/>
    </row>
    <row r="1994" spans="12:68">
      <c r="L1994" s="296"/>
      <c r="M1994" s="30"/>
      <c r="N1994" s="38"/>
      <c r="O1994" s="38"/>
      <c r="P1994" s="38"/>
      <c r="Q1994" s="38"/>
      <c r="R1994" s="38"/>
      <c r="S1994" s="38"/>
      <c r="T1994" s="38"/>
      <c r="U1994" s="38"/>
      <c r="V1994" s="38"/>
      <c r="W1994" s="38"/>
      <c r="X1994" s="38"/>
      <c r="Y1994" s="49"/>
      <c r="Z1994" s="49"/>
      <c r="BP1994" s="293"/>
    </row>
    <row r="1995" spans="12:68">
      <c r="L1995" s="296"/>
      <c r="M1995" s="30"/>
      <c r="N1995" s="38"/>
      <c r="O1995" s="38"/>
      <c r="P1995" s="38"/>
      <c r="Q1995" s="38"/>
      <c r="R1995" s="38"/>
      <c r="S1995" s="38"/>
      <c r="T1995" s="38"/>
      <c r="U1995" s="38"/>
      <c r="V1995" s="38"/>
      <c r="W1995" s="38"/>
      <c r="X1995" s="38"/>
      <c r="Y1995" s="49"/>
      <c r="Z1995" s="49"/>
      <c r="BP1995" s="293"/>
    </row>
    <row r="1996" spans="12:68">
      <c r="L1996" s="296"/>
      <c r="M1996" s="30"/>
      <c r="N1996" s="38"/>
      <c r="O1996" s="38"/>
      <c r="P1996" s="38"/>
      <c r="Q1996" s="38"/>
      <c r="R1996" s="38"/>
      <c r="S1996" s="38"/>
      <c r="T1996" s="38"/>
      <c r="U1996" s="38"/>
      <c r="V1996" s="38"/>
      <c r="W1996" s="38"/>
      <c r="X1996" s="38"/>
      <c r="Y1996" s="49"/>
      <c r="Z1996" s="49"/>
      <c r="BP1996" s="293"/>
    </row>
    <row r="1997" spans="12:68">
      <c r="L1997" s="296"/>
      <c r="M1997" s="30"/>
      <c r="N1997" s="38"/>
      <c r="O1997" s="38"/>
      <c r="P1997" s="38"/>
      <c r="Q1997" s="38"/>
      <c r="R1997" s="38"/>
      <c r="S1997" s="38"/>
      <c r="T1997" s="38"/>
      <c r="U1997" s="38"/>
      <c r="V1997" s="38"/>
      <c r="W1997" s="38"/>
      <c r="X1997" s="38"/>
      <c r="Y1997" s="49"/>
      <c r="Z1997" s="49"/>
      <c r="BP1997" s="293"/>
    </row>
    <row r="1998" spans="12:68">
      <c r="L1998" s="296"/>
      <c r="M1998" s="30"/>
      <c r="N1998" s="38"/>
      <c r="O1998" s="38"/>
      <c r="P1998" s="38"/>
      <c r="Q1998" s="38"/>
      <c r="R1998" s="38"/>
      <c r="S1998" s="38"/>
      <c r="T1998" s="38"/>
      <c r="U1998" s="38"/>
      <c r="V1998" s="38"/>
      <c r="W1998" s="38"/>
      <c r="X1998" s="38"/>
      <c r="Y1998" s="49"/>
      <c r="Z1998" s="49"/>
      <c r="BP1998" s="293"/>
    </row>
    <row r="1999" spans="12:68">
      <c r="L1999" s="296"/>
      <c r="M1999" s="30"/>
      <c r="N1999" s="38"/>
      <c r="O1999" s="38"/>
      <c r="P1999" s="38"/>
      <c r="Q1999" s="38"/>
      <c r="R1999" s="38"/>
      <c r="S1999" s="38"/>
      <c r="T1999" s="38"/>
      <c r="U1999" s="38"/>
      <c r="V1999" s="38"/>
      <c r="W1999" s="38"/>
      <c r="X1999" s="38"/>
      <c r="Y1999" s="49"/>
      <c r="Z1999" s="49"/>
      <c r="BP1999" s="293"/>
    </row>
    <row r="2000" spans="12:68">
      <c r="L2000" s="296"/>
      <c r="M2000" s="30"/>
      <c r="N2000" s="38"/>
      <c r="O2000" s="38"/>
      <c r="P2000" s="38"/>
      <c r="Q2000" s="38"/>
      <c r="R2000" s="38"/>
      <c r="S2000" s="38"/>
      <c r="T2000" s="38"/>
      <c r="U2000" s="38"/>
      <c r="V2000" s="38"/>
      <c r="W2000" s="38"/>
      <c r="X2000" s="38"/>
      <c r="Y2000" s="49"/>
      <c r="Z2000" s="49"/>
      <c r="BP2000" s="293"/>
    </row>
    <row r="2001" spans="12:68">
      <c r="L2001" s="296"/>
      <c r="M2001" s="30"/>
      <c r="N2001" s="38"/>
      <c r="O2001" s="38"/>
      <c r="P2001" s="38"/>
      <c r="Q2001" s="38"/>
      <c r="R2001" s="38"/>
      <c r="S2001" s="38"/>
      <c r="T2001" s="38"/>
      <c r="U2001" s="38"/>
      <c r="V2001" s="38"/>
      <c r="W2001" s="38"/>
      <c r="X2001" s="38"/>
      <c r="Y2001" s="49"/>
      <c r="Z2001" s="49"/>
      <c r="BP2001" s="293"/>
    </row>
    <row r="2002" spans="12:68">
      <c r="L2002" s="296"/>
      <c r="M2002" s="30"/>
      <c r="N2002" s="38"/>
      <c r="O2002" s="38"/>
      <c r="P2002" s="38"/>
      <c r="Q2002" s="38"/>
      <c r="R2002" s="38"/>
      <c r="S2002" s="38"/>
      <c r="T2002" s="38"/>
      <c r="U2002" s="38"/>
      <c r="V2002" s="38"/>
      <c r="W2002" s="38"/>
      <c r="X2002" s="38"/>
      <c r="Y2002" s="49"/>
      <c r="Z2002" s="49"/>
      <c r="BP2002" s="293"/>
    </row>
    <row r="2003" spans="12:68">
      <c r="L2003" s="296"/>
      <c r="M2003" s="30"/>
      <c r="N2003" s="38"/>
      <c r="O2003" s="38"/>
      <c r="P2003" s="38"/>
      <c r="Q2003" s="38"/>
      <c r="R2003" s="38"/>
      <c r="S2003" s="38"/>
      <c r="T2003" s="38"/>
      <c r="U2003" s="38"/>
      <c r="V2003" s="38"/>
      <c r="W2003" s="38"/>
      <c r="X2003" s="38"/>
      <c r="Y2003" s="49"/>
      <c r="Z2003" s="49"/>
      <c r="BP2003" s="293"/>
    </row>
    <row r="2004" spans="12:68">
      <c r="L2004" s="296"/>
      <c r="M2004" s="30"/>
      <c r="N2004" s="38"/>
      <c r="O2004" s="38"/>
      <c r="P2004" s="38"/>
      <c r="Q2004" s="38"/>
      <c r="R2004" s="38"/>
      <c r="S2004" s="38"/>
      <c r="T2004" s="38"/>
      <c r="U2004" s="38"/>
      <c r="V2004" s="38"/>
      <c r="W2004" s="38"/>
      <c r="X2004" s="38"/>
      <c r="Y2004" s="49"/>
      <c r="Z2004" s="49"/>
      <c r="BP2004" s="293"/>
    </row>
    <row r="2005" spans="12:68">
      <c r="L2005" s="296"/>
      <c r="M2005" s="30"/>
      <c r="N2005" s="38"/>
      <c r="O2005" s="38"/>
      <c r="P2005" s="38"/>
      <c r="Q2005" s="38"/>
      <c r="R2005" s="38"/>
      <c r="S2005" s="38"/>
      <c r="T2005" s="38"/>
      <c r="U2005" s="38"/>
      <c r="V2005" s="38"/>
      <c r="W2005" s="38"/>
      <c r="X2005" s="38"/>
      <c r="Y2005" s="49"/>
      <c r="Z2005" s="49"/>
      <c r="BP2005" s="293"/>
    </row>
    <row r="2006" spans="12:68">
      <c r="L2006" s="296"/>
      <c r="M2006" s="30"/>
      <c r="N2006" s="38"/>
      <c r="O2006" s="38"/>
      <c r="P2006" s="38"/>
      <c r="Q2006" s="38"/>
      <c r="R2006" s="38"/>
      <c r="S2006" s="38"/>
      <c r="T2006" s="38"/>
      <c r="U2006" s="38"/>
      <c r="V2006" s="38"/>
      <c r="W2006" s="38"/>
      <c r="X2006" s="38"/>
      <c r="Y2006" s="49"/>
      <c r="Z2006" s="49"/>
      <c r="BP2006" s="293"/>
    </row>
    <row r="2007" spans="12:68">
      <c r="L2007" s="296"/>
      <c r="M2007" s="30"/>
      <c r="N2007" s="38"/>
      <c r="O2007" s="38"/>
      <c r="P2007" s="38"/>
      <c r="Q2007" s="38"/>
      <c r="R2007" s="38"/>
      <c r="S2007" s="38"/>
      <c r="T2007" s="38"/>
      <c r="U2007" s="38"/>
      <c r="V2007" s="38"/>
      <c r="W2007" s="38"/>
      <c r="X2007" s="38"/>
      <c r="Y2007" s="49"/>
      <c r="Z2007" s="49"/>
      <c r="BP2007" s="293"/>
    </row>
    <row r="2008" spans="12:68">
      <c r="L2008" s="296"/>
      <c r="M2008" s="30"/>
      <c r="N2008" s="38"/>
      <c r="O2008" s="38"/>
      <c r="P2008" s="38"/>
      <c r="Q2008" s="38"/>
      <c r="R2008" s="38"/>
      <c r="S2008" s="38"/>
      <c r="T2008" s="38"/>
      <c r="U2008" s="38"/>
      <c r="V2008" s="38"/>
      <c r="W2008" s="38"/>
      <c r="X2008" s="38"/>
      <c r="Y2008" s="49"/>
      <c r="Z2008" s="49"/>
      <c r="BP2008" s="293"/>
    </row>
    <row r="2009" spans="12:68">
      <c r="L2009" s="296"/>
      <c r="M2009" s="30"/>
      <c r="N2009" s="38"/>
      <c r="O2009" s="38"/>
      <c r="P2009" s="38"/>
      <c r="Q2009" s="38"/>
      <c r="R2009" s="38"/>
      <c r="S2009" s="38"/>
      <c r="T2009" s="38"/>
      <c r="U2009" s="38"/>
      <c r="V2009" s="38"/>
      <c r="W2009" s="38"/>
      <c r="X2009" s="38"/>
      <c r="Y2009" s="49"/>
      <c r="Z2009" s="49"/>
      <c r="BP2009" s="293"/>
    </row>
    <row r="2010" spans="12:68">
      <c r="L2010" s="296"/>
      <c r="M2010" s="30"/>
      <c r="N2010" s="38"/>
      <c r="O2010" s="38"/>
      <c r="P2010" s="38"/>
      <c r="Q2010" s="38"/>
      <c r="R2010" s="38"/>
      <c r="S2010" s="38"/>
      <c r="T2010" s="38"/>
      <c r="U2010" s="38"/>
      <c r="V2010" s="38"/>
      <c r="W2010" s="38"/>
      <c r="X2010" s="38"/>
      <c r="Y2010" s="49"/>
      <c r="Z2010" s="49"/>
      <c r="BP2010" s="293"/>
    </row>
    <row r="2011" spans="12:68">
      <c r="L2011" s="296"/>
      <c r="M2011" s="30"/>
      <c r="N2011" s="38"/>
      <c r="O2011" s="38"/>
      <c r="P2011" s="38"/>
      <c r="Q2011" s="38"/>
      <c r="R2011" s="38"/>
      <c r="S2011" s="38"/>
      <c r="T2011" s="38"/>
      <c r="U2011" s="38"/>
      <c r="V2011" s="38"/>
      <c r="W2011" s="38"/>
      <c r="X2011" s="38"/>
      <c r="Y2011" s="49"/>
      <c r="Z2011" s="49"/>
      <c r="BP2011" s="293"/>
    </row>
    <row r="2012" spans="12:68">
      <c r="L2012" s="296"/>
      <c r="M2012" s="30"/>
      <c r="N2012" s="38"/>
      <c r="O2012" s="38"/>
      <c r="P2012" s="38"/>
      <c r="Q2012" s="38"/>
      <c r="R2012" s="38"/>
      <c r="S2012" s="38"/>
      <c r="T2012" s="38"/>
      <c r="U2012" s="38"/>
      <c r="V2012" s="38"/>
      <c r="W2012" s="38"/>
      <c r="X2012" s="38"/>
      <c r="Y2012" s="49"/>
      <c r="Z2012" s="49"/>
      <c r="BP2012" s="293"/>
    </row>
    <row r="2013" spans="12:68">
      <c r="L2013" s="296"/>
      <c r="M2013" s="30"/>
      <c r="N2013" s="38"/>
      <c r="O2013" s="38"/>
      <c r="P2013" s="38"/>
      <c r="Q2013" s="38"/>
      <c r="R2013" s="38"/>
      <c r="S2013" s="38"/>
      <c r="T2013" s="38"/>
      <c r="U2013" s="38"/>
      <c r="V2013" s="38"/>
      <c r="W2013" s="38"/>
      <c r="X2013" s="38"/>
      <c r="Y2013" s="49"/>
      <c r="Z2013" s="49"/>
      <c r="BP2013" s="293"/>
    </row>
    <row r="2014" spans="12:68">
      <c r="L2014" s="296"/>
      <c r="M2014" s="30"/>
      <c r="N2014" s="38"/>
      <c r="O2014" s="38"/>
      <c r="P2014" s="38"/>
      <c r="Q2014" s="38"/>
      <c r="R2014" s="38"/>
      <c r="S2014" s="38"/>
      <c r="T2014" s="38"/>
      <c r="U2014" s="38"/>
      <c r="V2014" s="38"/>
      <c r="W2014" s="38"/>
      <c r="X2014" s="38"/>
      <c r="Y2014" s="49"/>
      <c r="Z2014" s="49"/>
      <c r="BP2014" s="293"/>
    </row>
    <row r="2015" spans="12:68">
      <c r="L2015" s="296"/>
      <c r="M2015" s="30"/>
      <c r="N2015" s="38"/>
      <c r="O2015" s="38"/>
      <c r="P2015" s="38"/>
      <c r="Q2015" s="38"/>
      <c r="R2015" s="38"/>
      <c r="S2015" s="38"/>
      <c r="T2015" s="38"/>
      <c r="U2015" s="38"/>
      <c r="V2015" s="38"/>
      <c r="W2015" s="38"/>
      <c r="X2015" s="38"/>
      <c r="Y2015" s="49"/>
      <c r="Z2015" s="49"/>
      <c r="BP2015" s="293"/>
    </row>
    <row r="2016" spans="12:68">
      <c r="L2016" s="296"/>
      <c r="M2016" s="30"/>
      <c r="N2016" s="38"/>
      <c r="O2016" s="38"/>
      <c r="P2016" s="38"/>
      <c r="Q2016" s="38"/>
      <c r="R2016" s="38"/>
      <c r="S2016" s="38"/>
      <c r="T2016" s="38"/>
      <c r="U2016" s="38"/>
      <c r="V2016" s="38"/>
      <c r="W2016" s="38"/>
      <c r="X2016" s="38"/>
      <c r="Y2016" s="49"/>
      <c r="Z2016" s="49"/>
      <c r="BP2016" s="293"/>
    </row>
    <row r="2017" spans="12:68">
      <c r="L2017" s="296"/>
      <c r="M2017" s="30"/>
      <c r="N2017" s="38"/>
      <c r="O2017" s="38"/>
      <c r="P2017" s="38"/>
      <c r="Q2017" s="38"/>
      <c r="R2017" s="38"/>
      <c r="S2017" s="38"/>
      <c r="T2017" s="38"/>
      <c r="U2017" s="38"/>
      <c r="V2017" s="38"/>
      <c r="W2017" s="38"/>
      <c r="X2017" s="38"/>
      <c r="Y2017" s="49"/>
      <c r="Z2017" s="49"/>
      <c r="BP2017" s="293"/>
    </row>
    <row r="2018" spans="12:68">
      <c r="L2018" s="296"/>
      <c r="M2018" s="30"/>
      <c r="N2018" s="38"/>
      <c r="O2018" s="38"/>
      <c r="P2018" s="38"/>
      <c r="Q2018" s="38"/>
      <c r="R2018" s="38"/>
      <c r="S2018" s="38"/>
      <c r="T2018" s="38"/>
      <c r="U2018" s="38"/>
      <c r="V2018" s="38"/>
      <c r="W2018" s="38"/>
      <c r="X2018" s="38"/>
      <c r="Y2018" s="49"/>
      <c r="Z2018" s="49"/>
      <c r="BP2018" s="293"/>
    </row>
    <row r="2019" spans="12:68">
      <c r="L2019" s="296"/>
      <c r="M2019" s="30"/>
      <c r="N2019" s="38"/>
      <c r="O2019" s="38"/>
      <c r="P2019" s="38"/>
      <c r="Q2019" s="38"/>
      <c r="R2019" s="38"/>
      <c r="S2019" s="38"/>
      <c r="T2019" s="38"/>
      <c r="U2019" s="38"/>
      <c r="V2019" s="38"/>
      <c r="W2019" s="38"/>
      <c r="X2019" s="38"/>
      <c r="Y2019" s="49"/>
      <c r="Z2019" s="49"/>
      <c r="BP2019" s="293"/>
    </row>
    <row r="2020" spans="12:68">
      <c r="L2020" s="296"/>
      <c r="M2020" s="30"/>
      <c r="N2020" s="38"/>
      <c r="O2020" s="38"/>
      <c r="P2020" s="38"/>
      <c r="Q2020" s="38"/>
      <c r="R2020" s="38"/>
      <c r="S2020" s="38"/>
      <c r="T2020" s="38"/>
      <c r="U2020" s="38"/>
      <c r="V2020" s="38"/>
      <c r="W2020" s="38"/>
      <c r="X2020" s="38"/>
      <c r="Y2020" s="49"/>
      <c r="Z2020" s="49"/>
      <c r="BP2020" s="293"/>
    </row>
    <row r="2021" spans="12:68">
      <c r="L2021" s="296"/>
      <c r="M2021" s="30"/>
      <c r="N2021" s="38"/>
      <c r="O2021" s="38"/>
      <c r="P2021" s="38"/>
      <c r="Q2021" s="38"/>
      <c r="R2021" s="38"/>
      <c r="S2021" s="38"/>
      <c r="T2021" s="38"/>
      <c r="U2021" s="38"/>
      <c r="V2021" s="38"/>
      <c r="W2021" s="38"/>
      <c r="X2021" s="38"/>
      <c r="Y2021" s="49"/>
      <c r="Z2021" s="49"/>
      <c r="BP2021" s="293"/>
    </row>
    <row r="2022" spans="12:68">
      <c r="L2022" s="296"/>
      <c r="M2022" s="30"/>
      <c r="N2022" s="38"/>
      <c r="O2022" s="38"/>
      <c r="P2022" s="38"/>
      <c r="Q2022" s="38"/>
      <c r="R2022" s="38"/>
      <c r="S2022" s="38"/>
      <c r="T2022" s="38"/>
      <c r="U2022" s="38"/>
      <c r="V2022" s="38"/>
      <c r="W2022" s="38"/>
      <c r="X2022" s="38"/>
      <c r="Y2022" s="49"/>
      <c r="Z2022" s="49"/>
      <c r="BP2022" s="293"/>
    </row>
    <row r="2023" spans="12:68">
      <c r="L2023" s="296"/>
      <c r="M2023" s="30"/>
      <c r="N2023" s="38"/>
      <c r="O2023" s="38"/>
      <c r="P2023" s="38"/>
      <c r="Q2023" s="38"/>
      <c r="R2023" s="38"/>
      <c r="S2023" s="38"/>
      <c r="T2023" s="38"/>
      <c r="U2023" s="38"/>
      <c r="V2023" s="38"/>
      <c r="W2023" s="38"/>
      <c r="X2023" s="38"/>
      <c r="Y2023" s="49"/>
      <c r="Z2023" s="49"/>
      <c r="BP2023" s="293"/>
    </row>
    <row r="2024" spans="12:68">
      <c r="L2024" s="296"/>
      <c r="M2024" s="30"/>
      <c r="N2024" s="38"/>
      <c r="O2024" s="38"/>
      <c r="P2024" s="38"/>
      <c r="Q2024" s="38"/>
      <c r="R2024" s="38"/>
      <c r="S2024" s="38"/>
      <c r="T2024" s="38"/>
      <c r="U2024" s="38"/>
      <c r="V2024" s="38"/>
      <c r="W2024" s="38"/>
      <c r="X2024" s="38"/>
      <c r="Y2024" s="49"/>
      <c r="Z2024" s="49"/>
      <c r="BP2024" s="293"/>
    </row>
    <row r="2025" spans="12:68">
      <c r="L2025" s="296"/>
      <c r="M2025" s="30"/>
      <c r="N2025" s="38"/>
      <c r="O2025" s="38"/>
      <c r="P2025" s="38"/>
      <c r="Q2025" s="38"/>
      <c r="R2025" s="38"/>
      <c r="S2025" s="38"/>
      <c r="T2025" s="38"/>
      <c r="U2025" s="38"/>
      <c r="V2025" s="38"/>
      <c r="W2025" s="38"/>
      <c r="X2025" s="38"/>
      <c r="Y2025" s="49"/>
      <c r="Z2025" s="49"/>
      <c r="BP2025" s="293"/>
    </row>
    <row r="2026" spans="12:68">
      <c r="L2026" s="296"/>
      <c r="M2026" s="30"/>
      <c r="N2026" s="38"/>
      <c r="O2026" s="38"/>
      <c r="P2026" s="38"/>
      <c r="Q2026" s="38"/>
      <c r="R2026" s="38"/>
      <c r="S2026" s="38"/>
      <c r="T2026" s="38"/>
      <c r="U2026" s="38"/>
      <c r="V2026" s="38"/>
      <c r="W2026" s="38"/>
      <c r="X2026" s="38"/>
      <c r="Y2026" s="49"/>
      <c r="Z2026" s="49"/>
      <c r="BP2026" s="293"/>
    </row>
    <row r="2027" spans="12:68">
      <c r="L2027" s="296"/>
      <c r="M2027" s="30"/>
      <c r="N2027" s="38"/>
      <c r="O2027" s="38"/>
      <c r="P2027" s="38"/>
      <c r="Q2027" s="38"/>
      <c r="R2027" s="38"/>
      <c r="S2027" s="38"/>
      <c r="T2027" s="38"/>
      <c r="U2027" s="38"/>
      <c r="V2027" s="38"/>
      <c r="W2027" s="38"/>
      <c r="X2027" s="38"/>
      <c r="Y2027" s="49"/>
      <c r="Z2027" s="49"/>
      <c r="BP2027" s="293"/>
    </row>
    <row r="2028" spans="12:68">
      <c r="L2028" s="296"/>
      <c r="M2028" s="30"/>
      <c r="N2028" s="38"/>
      <c r="O2028" s="38"/>
      <c r="P2028" s="38"/>
      <c r="Q2028" s="38"/>
      <c r="R2028" s="38"/>
      <c r="S2028" s="38"/>
      <c r="T2028" s="38"/>
      <c r="U2028" s="38"/>
      <c r="V2028" s="38"/>
      <c r="W2028" s="38"/>
      <c r="X2028" s="38"/>
      <c r="Y2028" s="49"/>
      <c r="Z2028" s="49"/>
      <c r="BP2028" s="293"/>
    </row>
    <row r="2029" spans="12:68">
      <c r="L2029" s="296"/>
      <c r="M2029" s="30"/>
      <c r="N2029" s="38"/>
      <c r="O2029" s="38"/>
      <c r="P2029" s="38"/>
      <c r="Q2029" s="38"/>
      <c r="R2029" s="38"/>
      <c r="S2029" s="38"/>
      <c r="T2029" s="38"/>
      <c r="U2029" s="38"/>
      <c r="V2029" s="38"/>
      <c r="W2029" s="38"/>
      <c r="X2029" s="38"/>
      <c r="Y2029" s="49"/>
      <c r="Z2029" s="49"/>
      <c r="BP2029" s="293"/>
    </row>
    <row r="2030" spans="12:68">
      <c r="L2030" s="296"/>
      <c r="M2030" s="30"/>
      <c r="N2030" s="38"/>
      <c r="O2030" s="38"/>
      <c r="P2030" s="38"/>
      <c r="Q2030" s="38"/>
      <c r="R2030" s="38"/>
      <c r="S2030" s="38"/>
      <c r="T2030" s="38"/>
      <c r="U2030" s="38"/>
      <c r="V2030" s="38"/>
      <c r="W2030" s="38"/>
      <c r="X2030" s="38"/>
      <c r="Y2030" s="49"/>
      <c r="Z2030" s="49"/>
      <c r="BP2030" s="293"/>
    </row>
    <row r="2031" spans="12:68">
      <c r="L2031" s="296"/>
      <c r="M2031" s="30"/>
      <c r="N2031" s="38"/>
      <c r="O2031" s="38"/>
      <c r="P2031" s="38"/>
      <c r="Q2031" s="38"/>
      <c r="R2031" s="38"/>
      <c r="S2031" s="38"/>
      <c r="T2031" s="38"/>
      <c r="U2031" s="38"/>
      <c r="V2031" s="38"/>
      <c r="W2031" s="38"/>
      <c r="X2031" s="38"/>
      <c r="Y2031" s="49"/>
      <c r="Z2031" s="49"/>
      <c r="BP2031" s="293"/>
    </row>
    <row r="2032" spans="12:68">
      <c r="L2032" s="296"/>
      <c r="M2032" s="30"/>
      <c r="N2032" s="38"/>
      <c r="O2032" s="38"/>
      <c r="P2032" s="38"/>
      <c r="Q2032" s="38"/>
      <c r="R2032" s="38"/>
      <c r="S2032" s="38"/>
      <c r="T2032" s="38"/>
      <c r="U2032" s="38"/>
      <c r="V2032" s="38"/>
      <c r="W2032" s="38"/>
      <c r="X2032" s="38"/>
      <c r="Y2032" s="49"/>
      <c r="Z2032" s="49"/>
      <c r="BP2032" s="293"/>
    </row>
    <row r="2033" spans="12:68">
      <c r="L2033" s="296"/>
      <c r="M2033" s="30"/>
      <c r="N2033" s="38"/>
      <c r="O2033" s="38"/>
      <c r="P2033" s="38"/>
      <c r="Q2033" s="38"/>
      <c r="R2033" s="38"/>
      <c r="S2033" s="38"/>
      <c r="T2033" s="38"/>
      <c r="U2033" s="38"/>
      <c r="V2033" s="38"/>
      <c r="W2033" s="38"/>
      <c r="X2033" s="38"/>
      <c r="Y2033" s="49"/>
      <c r="Z2033" s="49"/>
      <c r="BP2033" s="293"/>
    </row>
    <row r="2034" spans="12:68">
      <c r="L2034" s="296"/>
      <c r="M2034" s="30"/>
      <c r="N2034" s="38"/>
      <c r="O2034" s="38"/>
      <c r="P2034" s="38"/>
      <c r="Q2034" s="38"/>
      <c r="R2034" s="38"/>
      <c r="S2034" s="38"/>
      <c r="T2034" s="38"/>
      <c r="U2034" s="38"/>
      <c r="V2034" s="38"/>
      <c r="W2034" s="38"/>
      <c r="X2034" s="38"/>
      <c r="Y2034" s="49"/>
      <c r="Z2034" s="49"/>
      <c r="BP2034" s="293"/>
    </row>
    <row r="2035" spans="12:68">
      <c r="L2035" s="296"/>
      <c r="M2035" s="30"/>
      <c r="N2035" s="38"/>
      <c r="O2035" s="38"/>
      <c r="P2035" s="38"/>
      <c r="Q2035" s="38"/>
      <c r="R2035" s="38"/>
      <c r="S2035" s="38"/>
      <c r="T2035" s="38"/>
      <c r="U2035" s="38"/>
      <c r="V2035" s="38"/>
      <c r="W2035" s="38"/>
      <c r="X2035" s="38"/>
      <c r="Y2035" s="49"/>
      <c r="Z2035" s="49"/>
      <c r="BP2035" s="293"/>
    </row>
    <row r="2036" spans="12:68">
      <c r="L2036" s="296"/>
      <c r="M2036" s="30"/>
      <c r="N2036" s="38"/>
      <c r="O2036" s="38"/>
      <c r="P2036" s="38"/>
      <c r="Q2036" s="38"/>
      <c r="R2036" s="38"/>
      <c r="S2036" s="38"/>
      <c r="T2036" s="38"/>
      <c r="U2036" s="38"/>
      <c r="V2036" s="38"/>
      <c r="W2036" s="38"/>
      <c r="X2036" s="38"/>
      <c r="Y2036" s="49"/>
      <c r="Z2036" s="49"/>
      <c r="BP2036" s="293"/>
    </row>
    <row r="2037" spans="12:68">
      <c r="L2037" s="296"/>
      <c r="M2037" s="30"/>
      <c r="N2037" s="38"/>
      <c r="O2037" s="38"/>
      <c r="P2037" s="38"/>
      <c r="Q2037" s="38"/>
      <c r="R2037" s="38"/>
      <c r="S2037" s="38"/>
      <c r="T2037" s="38"/>
      <c r="U2037" s="38"/>
      <c r="V2037" s="38"/>
      <c r="W2037" s="38"/>
      <c r="X2037" s="38"/>
      <c r="Y2037" s="49"/>
      <c r="Z2037" s="49"/>
      <c r="BP2037" s="293"/>
    </row>
    <row r="2038" spans="12:68">
      <c r="L2038" s="296"/>
      <c r="M2038" s="30"/>
      <c r="N2038" s="38"/>
      <c r="O2038" s="38"/>
      <c r="P2038" s="38"/>
      <c r="Q2038" s="38"/>
      <c r="R2038" s="38"/>
      <c r="S2038" s="38"/>
      <c r="T2038" s="38"/>
      <c r="U2038" s="38"/>
      <c r="V2038" s="38"/>
      <c r="W2038" s="38"/>
      <c r="X2038" s="38"/>
      <c r="Y2038" s="49"/>
      <c r="Z2038" s="49"/>
      <c r="BP2038" s="293"/>
    </row>
    <row r="2039" spans="12:68">
      <c r="L2039" s="296"/>
      <c r="M2039" s="30"/>
      <c r="N2039" s="38"/>
      <c r="O2039" s="38"/>
      <c r="P2039" s="38"/>
      <c r="Q2039" s="38"/>
      <c r="R2039" s="38"/>
      <c r="S2039" s="38"/>
      <c r="T2039" s="38"/>
      <c r="U2039" s="38"/>
      <c r="V2039" s="38"/>
      <c r="W2039" s="38"/>
      <c r="X2039" s="38"/>
      <c r="Y2039" s="49"/>
      <c r="Z2039" s="49"/>
      <c r="BP2039" s="293"/>
    </row>
    <row r="2040" spans="12:68">
      <c r="L2040" s="296"/>
      <c r="M2040" s="30"/>
      <c r="N2040" s="38"/>
      <c r="O2040" s="38"/>
      <c r="P2040" s="38"/>
      <c r="Q2040" s="38"/>
      <c r="R2040" s="38"/>
      <c r="S2040" s="38"/>
      <c r="T2040" s="38"/>
      <c r="U2040" s="38"/>
      <c r="V2040" s="38"/>
      <c r="W2040" s="38"/>
      <c r="X2040" s="38"/>
      <c r="Y2040" s="49"/>
      <c r="Z2040" s="49"/>
      <c r="BP2040" s="293"/>
    </row>
    <row r="2041" spans="12:68">
      <c r="L2041" s="296"/>
      <c r="M2041" s="30"/>
      <c r="N2041" s="38"/>
      <c r="O2041" s="38"/>
      <c r="P2041" s="38"/>
      <c r="Q2041" s="38"/>
      <c r="R2041" s="38"/>
      <c r="S2041" s="38"/>
      <c r="T2041" s="38"/>
      <c r="U2041" s="38"/>
      <c r="V2041" s="38"/>
      <c r="W2041" s="38"/>
      <c r="X2041" s="38"/>
      <c r="Y2041" s="49"/>
      <c r="Z2041" s="49"/>
      <c r="BP2041" s="293"/>
    </row>
    <row r="2042" spans="12:68">
      <c r="L2042" s="296"/>
      <c r="M2042" s="30"/>
      <c r="N2042" s="38"/>
      <c r="O2042" s="38"/>
      <c r="P2042" s="38"/>
      <c r="Q2042" s="38"/>
      <c r="R2042" s="38"/>
      <c r="S2042" s="38"/>
      <c r="T2042" s="38"/>
      <c r="U2042" s="38"/>
      <c r="V2042" s="38"/>
      <c r="W2042" s="38"/>
      <c r="X2042" s="38"/>
      <c r="Y2042" s="49"/>
      <c r="Z2042" s="49"/>
      <c r="BP2042" s="293"/>
    </row>
    <row r="2043" spans="12:68">
      <c r="L2043" s="296"/>
      <c r="M2043" s="30"/>
      <c r="N2043" s="38"/>
      <c r="O2043" s="38"/>
      <c r="P2043" s="38"/>
      <c r="Q2043" s="38"/>
      <c r="R2043" s="38"/>
      <c r="S2043" s="38"/>
      <c r="T2043" s="38"/>
      <c r="U2043" s="38"/>
      <c r="V2043" s="38"/>
      <c r="W2043" s="38"/>
      <c r="X2043" s="38"/>
      <c r="Y2043" s="49"/>
      <c r="Z2043" s="49"/>
      <c r="BP2043" s="293"/>
    </row>
    <row r="2044" spans="12:68">
      <c r="L2044" s="296"/>
      <c r="M2044" s="30"/>
      <c r="N2044" s="38"/>
      <c r="O2044" s="38"/>
      <c r="P2044" s="38"/>
      <c r="Q2044" s="38"/>
      <c r="R2044" s="38"/>
      <c r="S2044" s="38"/>
      <c r="T2044" s="38"/>
      <c r="U2044" s="38"/>
      <c r="V2044" s="38"/>
      <c r="W2044" s="38"/>
      <c r="X2044" s="38"/>
      <c r="Y2044" s="49"/>
      <c r="Z2044" s="49"/>
      <c r="BP2044" s="293"/>
    </row>
    <row r="2045" spans="12:68">
      <c r="L2045" s="296"/>
      <c r="M2045" s="30"/>
      <c r="N2045" s="38"/>
      <c r="O2045" s="38"/>
      <c r="P2045" s="38"/>
      <c r="Q2045" s="38"/>
      <c r="R2045" s="38"/>
      <c r="S2045" s="38"/>
      <c r="T2045" s="38"/>
      <c r="U2045" s="38"/>
      <c r="V2045" s="38"/>
      <c r="W2045" s="38"/>
      <c r="X2045" s="38"/>
      <c r="Y2045" s="49"/>
      <c r="Z2045" s="49"/>
      <c r="BP2045" s="293"/>
    </row>
    <row r="2046" spans="12:68">
      <c r="L2046" s="296"/>
      <c r="M2046" s="30"/>
      <c r="N2046" s="38"/>
      <c r="O2046" s="38"/>
      <c r="P2046" s="38"/>
      <c r="Q2046" s="38"/>
      <c r="R2046" s="38"/>
      <c r="S2046" s="38"/>
      <c r="T2046" s="38"/>
      <c r="U2046" s="38"/>
      <c r="V2046" s="38"/>
      <c r="W2046" s="38"/>
      <c r="X2046" s="38"/>
      <c r="Y2046" s="49"/>
      <c r="Z2046" s="49"/>
      <c r="BP2046" s="293"/>
    </row>
    <row r="2047" spans="12:68">
      <c r="L2047" s="296"/>
      <c r="M2047" s="30"/>
      <c r="N2047" s="38"/>
      <c r="O2047" s="38"/>
      <c r="P2047" s="38"/>
      <c r="Q2047" s="38"/>
      <c r="R2047" s="38"/>
      <c r="S2047" s="38"/>
      <c r="T2047" s="38"/>
      <c r="U2047" s="38"/>
      <c r="V2047" s="38"/>
      <c r="W2047" s="38"/>
      <c r="X2047" s="38"/>
      <c r="Y2047" s="49"/>
      <c r="Z2047" s="49"/>
      <c r="BP2047" s="293"/>
    </row>
    <row r="2048" spans="12:68">
      <c r="L2048" s="296"/>
      <c r="M2048" s="30"/>
      <c r="N2048" s="38"/>
      <c r="O2048" s="38"/>
      <c r="P2048" s="38"/>
      <c r="Q2048" s="38"/>
      <c r="R2048" s="38"/>
      <c r="S2048" s="38"/>
      <c r="T2048" s="38"/>
      <c r="U2048" s="38"/>
      <c r="V2048" s="38"/>
      <c r="W2048" s="38"/>
      <c r="X2048" s="38"/>
      <c r="Y2048" s="49"/>
      <c r="Z2048" s="49"/>
      <c r="BP2048" s="293"/>
    </row>
    <row r="2049" spans="12:68">
      <c r="L2049" s="296"/>
      <c r="M2049" s="30"/>
      <c r="N2049" s="38"/>
      <c r="O2049" s="38"/>
      <c r="P2049" s="38"/>
      <c r="Q2049" s="38"/>
      <c r="R2049" s="38"/>
      <c r="S2049" s="38"/>
      <c r="T2049" s="38"/>
      <c r="U2049" s="38"/>
      <c r="V2049" s="38"/>
      <c r="W2049" s="38"/>
      <c r="X2049" s="38"/>
      <c r="Y2049" s="49"/>
      <c r="Z2049" s="49"/>
      <c r="BP2049" s="293"/>
    </row>
    <row r="2050" spans="12:68">
      <c r="L2050" s="296"/>
      <c r="M2050" s="30"/>
      <c r="N2050" s="38"/>
      <c r="O2050" s="38"/>
      <c r="P2050" s="38"/>
      <c r="Q2050" s="38"/>
      <c r="R2050" s="38"/>
      <c r="S2050" s="38"/>
      <c r="T2050" s="38"/>
      <c r="U2050" s="38"/>
      <c r="V2050" s="38"/>
      <c r="W2050" s="38"/>
      <c r="X2050" s="38"/>
      <c r="Y2050" s="49"/>
      <c r="Z2050" s="49"/>
      <c r="BP2050" s="293"/>
    </row>
    <row r="2051" spans="12:68">
      <c r="L2051" s="296"/>
      <c r="M2051" s="30"/>
      <c r="N2051" s="38"/>
      <c r="O2051" s="38"/>
      <c r="P2051" s="38"/>
      <c r="Q2051" s="38"/>
      <c r="R2051" s="38"/>
      <c r="S2051" s="38"/>
      <c r="T2051" s="38"/>
      <c r="U2051" s="38"/>
      <c r="V2051" s="38"/>
      <c r="W2051" s="38"/>
      <c r="X2051" s="38"/>
      <c r="Y2051" s="49"/>
      <c r="Z2051" s="49"/>
      <c r="BP2051" s="293"/>
    </row>
    <row r="2052" spans="12:68">
      <c r="L2052" s="296"/>
      <c r="M2052" s="30"/>
      <c r="N2052" s="38"/>
      <c r="O2052" s="38"/>
      <c r="P2052" s="38"/>
      <c r="Q2052" s="38"/>
      <c r="R2052" s="38"/>
      <c r="S2052" s="38"/>
      <c r="T2052" s="38"/>
      <c r="U2052" s="38"/>
      <c r="V2052" s="38"/>
      <c r="W2052" s="38"/>
      <c r="X2052" s="38"/>
      <c r="Y2052" s="49"/>
      <c r="Z2052" s="49"/>
      <c r="BP2052" s="293"/>
    </row>
    <row r="2053" spans="12:68">
      <c r="L2053" s="296"/>
      <c r="M2053" s="30"/>
      <c r="N2053" s="38"/>
      <c r="O2053" s="38"/>
      <c r="P2053" s="38"/>
      <c r="Q2053" s="38"/>
      <c r="R2053" s="38"/>
      <c r="S2053" s="38"/>
      <c r="T2053" s="38"/>
      <c r="U2053" s="38"/>
      <c r="V2053" s="38"/>
      <c r="W2053" s="38"/>
      <c r="X2053" s="38"/>
      <c r="Y2053" s="49"/>
      <c r="Z2053" s="49"/>
      <c r="BP2053" s="293"/>
    </row>
    <row r="2054" spans="12:68">
      <c r="L2054" s="296"/>
      <c r="M2054" s="30"/>
      <c r="N2054" s="38"/>
      <c r="O2054" s="38"/>
      <c r="P2054" s="38"/>
      <c r="Q2054" s="38"/>
      <c r="R2054" s="38"/>
      <c r="S2054" s="38"/>
      <c r="T2054" s="38"/>
      <c r="U2054" s="38"/>
      <c r="V2054" s="38"/>
      <c r="W2054" s="38"/>
      <c r="X2054" s="38"/>
      <c r="Y2054" s="49"/>
      <c r="Z2054" s="49"/>
      <c r="BP2054" s="293"/>
    </row>
    <row r="2055" spans="12:68">
      <c r="L2055" s="296"/>
      <c r="M2055" s="30"/>
      <c r="N2055" s="38"/>
      <c r="O2055" s="38"/>
      <c r="P2055" s="38"/>
      <c r="Q2055" s="38"/>
      <c r="R2055" s="38"/>
      <c r="S2055" s="38"/>
      <c r="T2055" s="38"/>
      <c r="U2055" s="38"/>
      <c r="V2055" s="38"/>
      <c r="W2055" s="38"/>
      <c r="X2055" s="38"/>
      <c r="Y2055" s="49"/>
      <c r="Z2055" s="49"/>
      <c r="BP2055" s="293"/>
    </row>
    <row r="2056" spans="12:68">
      <c r="L2056" s="296"/>
      <c r="M2056" s="30"/>
      <c r="N2056" s="38"/>
      <c r="O2056" s="38"/>
      <c r="P2056" s="38"/>
      <c r="Q2056" s="38"/>
      <c r="R2056" s="38"/>
      <c r="S2056" s="38"/>
      <c r="T2056" s="38"/>
      <c r="U2056" s="38"/>
      <c r="V2056" s="38"/>
      <c r="W2056" s="38"/>
      <c r="X2056" s="38"/>
      <c r="Y2056" s="49"/>
      <c r="Z2056" s="49"/>
      <c r="BP2056" s="293"/>
    </row>
    <row r="2057" spans="12:68">
      <c r="L2057" s="296"/>
      <c r="M2057" s="30"/>
      <c r="N2057" s="38"/>
      <c r="O2057" s="38"/>
      <c r="P2057" s="38"/>
      <c r="Q2057" s="38"/>
      <c r="R2057" s="38"/>
      <c r="S2057" s="38"/>
      <c r="T2057" s="38"/>
      <c r="U2057" s="38"/>
      <c r="V2057" s="38"/>
      <c r="W2057" s="38"/>
      <c r="X2057" s="38"/>
      <c r="Y2057" s="49"/>
      <c r="Z2057" s="49"/>
      <c r="BP2057" s="293"/>
    </row>
    <row r="2058" spans="12:68">
      <c r="L2058" s="296"/>
      <c r="M2058" s="30"/>
      <c r="N2058" s="38"/>
      <c r="O2058" s="38"/>
      <c r="P2058" s="38"/>
      <c r="Q2058" s="38"/>
      <c r="R2058" s="38"/>
      <c r="S2058" s="38"/>
      <c r="T2058" s="38"/>
      <c r="U2058" s="38"/>
      <c r="V2058" s="38"/>
      <c r="W2058" s="38"/>
      <c r="X2058" s="38"/>
      <c r="Y2058" s="49"/>
      <c r="Z2058" s="49"/>
      <c r="BP2058" s="293"/>
    </row>
    <row r="2059" spans="12:68">
      <c r="L2059" s="296"/>
      <c r="M2059" s="30"/>
      <c r="N2059" s="38"/>
      <c r="O2059" s="38"/>
      <c r="P2059" s="38"/>
      <c r="Q2059" s="38"/>
      <c r="R2059" s="38"/>
      <c r="S2059" s="38"/>
      <c r="T2059" s="38"/>
      <c r="U2059" s="38"/>
      <c r="V2059" s="38"/>
      <c r="W2059" s="38"/>
      <c r="X2059" s="38"/>
      <c r="Y2059" s="49"/>
      <c r="Z2059" s="49"/>
      <c r="BP2059" s="293"/>
    </row>
    <row r="2060" spans="12:68">
      <c r="L2060" s="296"/>
      <c r="M2060" s="30"/>
      <c r="N2060" s="38"/>
      <c r="O2060" s="38"/>
      <c r="P2060" s="38"/>
      <c r="Q2060" s="38"/>
      <c r="R2060" s="38"/>
      <c r="S2060" s="38"/>
      <c r="T2060" s="38"/>
      <c r="U2060" s="38"/>
      <c r="V2060" s="38"/>
      <c r="W2060" s="38"/>
      <c r="X2060" s="38"/>
      <c r="Y2060" s="49"/>
      <c r="Z2060" s="49"/>
      <c r="BP2060" s="293"/>
    </row>
    <row r="2061" spans="12:68">
      <c r="L2061" s="296"/>
      <c r="M2061" s="30"/>
      <c r="N2061" s="38"/>
      <c r="O2061" s="38"/>
      <c r="P2061" s="38"/>
      <c r="Q2061" s="38"/>
      <c r="R2061" s="38"/>
      <c r="S2061" s="38"/>
      <c r="T2061" s="38"/>
      <c r="U2061" s="38"/>
      <c r="V2061" s="38"/>
      <c r="W2061" s="38"/>
      <c r="X2061" s="38"/>
      <c r="Y2061" s="49"/>
      <c r="Z2061" s="49"/>
      <c r="BP2061" s="293"/>
    </row>
    <row r="2062" spans="12:68">
      <c r="L2062" s="296"/>
      <c r="M2062" s="30"/>
      <c r="N2062" s="38"/>
      <c r="O2062" s="38"/>
      <c r="P2062" s="38"/>
      <c r="Q2062" s="38"/>
      <c r="R2062" s="38"/>
      <c r="S2062" s="38"/>
      <c r="T2062" s="38"/>
      <c r="U2062" s="38"/>
      <c r="V2062" s="38"/>
      <c r="W2062" s="38"/>
      <c r="X2062" s="38"/>
      <c r="Y2062" s="49"/>
      <c r="Z2062" s="49"/>
      <c r="BP2062" s="293"/>
    </row>
    <row r="2063" spans="12:68">
      <c r="L2063" s="296"/>
      <c r="M2063" s="30"/>
      <c r="N2063" s="38"/>
      <c r="O2063" s="38"/>
      <c r="P2063" s="38"/>
      <c r="Q2063" s="38"/>
      <c r="R2063" s="38"/>
      <c r="S2063" s="38"/>
      <c r="T2063" s="38"/>
      <c r="U2063" s="38"/>
      <c r="V2063" s="38"/>
      <c r="W2063" s="38"/>
      <c r="X2063" s="38"/>
      <c r="Y2063" s="49"/>
      <c r="Z2063" s="49"/>
      <c r="BP2063" s="293"/>
    </row>
    <row r="2064" spans="12:68">
      <c r="L2064" s="296"/>
      <c r="M2064" s="30"/>
      <c r="N2064" s="38"/>
      <c r="O2064" s="38"/>
      <c r="P2064" s="38"/>
      <c r="Q2064" s="38"/>
      <c r="R2064" s="38"/>
      <c r="S2064" s="38"/>
      <c r="T2064" s="38"/>
      <c r="U2064" s="38"/>
      <c r="V2064" s="38"/>
      <c r="W2064" s="38"/>
      <c r="X2064" s="38"/>
      <c r="Y2064" s="49"/>
      <c r="Z2064" s="49"/>
      <c r="BP2064" s="293"/>
    </row>
    <row r="2065" spans="12:68">
      <c r="L2065" s="296"/>
      <c r="M2065" s="30"/>
      <c r="N2065" s="38"/>
      <c r="O2065" s="38"/>
      <c r="P2065" s="38"/>
      <c r="Q2065" s="38"/>
      <c r="R2065" s="38"/>
      <c r="S2065" s="38"/>
      <c r="T2065" s="38"/>
      <c r="U2065" s="38"/>
      <c r="V2065" s="38"/>
      <c r="W2065" s="38"/>
      <c r="X2065" s="38"/>
      <c r="Y2065" s="49"/>
      <c r="Z2065" s="49"/>
      <c r="BP2065" s="293"/>
    </row>
    <row r="2066" spans="12:68">
      <c r="L2066" s="296"/>
      <c r="M2066" s="30"/>
      <c r="N2066" s="38"/>
      <c r="O2066" s="38"/>
      <c r="P2066" s="38"/>
      <c r="Q2066" s="38"/>
      <c r="R2066" s="38"/>
      <c r="S2066" s="38"/>
      <c r="T2066" s="38"/>
      <c r="U2066" s="38"/>
      <c r="V2066" s="38"/>
      <c r="W2066" s="38"/>
      <c r="X2066" s="38"/>
      <c r="Y2066" s="49"/>
      <c r="Z2066" s="49"/>
      <c r="BP2066" s="293"/>
    </row>
    <row r="2067" spans="12:68">
      <c r="L2067" s="296"/>
      <c r="M2067" s="30"/>
      <c r="N2067" s="38"/>
      <c r="O2067" s="38"/>
      <c r="P2067" s="38"/>
      <c r="Q2067" s="38"/>
      <c r="R2067" s="38"/>
      <c r="S2067" s="38"/>
      <c r="T2067" s="38"/>
      <c r="U2067" s="38"/>
      <c r="V2067" s="38"/>
      <c r="W2067" s="38"/>
      <c r="X2067" s="38"/>
      <c r="Y2067" s="49"/>
      <c r="Z2067" s="49"/>
      <c r="BP2067" s="293"/>
    </row>
    <row r="2068" spans="12:68">
      <c r="L2068" s="296"/>
      <c r="M2068" s="30"/>
      <c r="N2068" s="38"/>
      <c r="O2068" s="38"/>
      <c r="P2068" s="38"/>
      <c r="Q2068" s="38"/>
      <c r="R2068" s="38"/>
      <c r="S2068" s="38"/>
      <c r="T2068" s="38"/>
      <c r="U2068" s="38"/>
      <c r="V2068" s="38"/>
      <c r="W2068" s="38"/>
      <c r="X2068" s="38"/>
      <c r="Y2068" s="49"/>
      <c r="Z2068" s="49"/>
      <c r="BP2068" s="293"/>
    </row>
    <row r="2069" spans="12:68">
      <c r="L2069" s="296"/>
      <c r="M2069" s="30"/>
      <c r="N2069" s="38"/>
      <c r="O2069" s="38"/>
      <c r="P2069" s="38"/>
      <c r="Q2069" s="38"/>
      <c r="R2069" s="38"/>
      <c r="S2069" s="38"/>
      <c r="T2069" s="38"/>
      <c r="U2069" s="38"/>
      <c r="V2069" s="38"/>
      <c r="W2069" s="38"/>
      <c r="X2069" s="38"/>
      <c r="Y2069" s="49"/>
      <c r="Z2069" s="49"/>
      <c r="BP2069" s="293"/>
    </row>
    <row r="2070" spans="12:68">
      <c r="L2070" s="296"/>
      <c r="M2070" s="30"/>
      <c r="N2070" s="38"/>
      <c r="O2070" s="38"/>
      <c r="P2070" s="38"/>
      <c r="Q2070" s="38"/>
      <c r="R2070" s="38"/>
      <c r="S2070" s="38"/>
      <c r="T2070" s="38"/>
      <c r="U2070" s="38"/>
      <c r="V2070" s="38"/>
      <c r="W2070" s="38"/>
      <c r="X2070" s="38"/>
      <c r="Y2070" s="49"/>
      <c r="Z2070" s="49"/>
      <c r="BP2070" s="293"/>
    </row>
    <row r="2071" spans="12:68">
      <c r="L2071" s="296"/>
      <c r="M2071" s="30"/>
      <c r="N2071" s="38"/>
      <c r="O2071" s="38"/>
      <c r="P2071" s="38"/>
      <c r="Q2071" s="38"/>
      <c r="R2071" s="38"/>
      <c r="S2071" s="38"/>
      <c r="T2071" s="38"/>
      <c r="U2071" s="38"/>
      <c r="V2071" s="38"/>
      <c r="W2071" s="38"/>
      <c r="X2071" s="38"/>
      <c r="Y2071" s="49"/>
      <c r="Z2071" s="49"/>
      <c r="BP2071" s="293"/>
    </row>
    <row r="2072" spans="12:68">
      <c r="L2072" s="296"/>
      <c r="M2072" s="30"/>
      <c r="N2072" s="38"/>
      <c r="O2072" s="38"/>
      <c r="P2072" s="38"/>
      <c r="Q2072" s="38"/>
      <c r="R2072" s="38"/>
      <c r="S2072" s="38"/>
      <c r="T2072" s="38"/>
      <c r="U2072" s="38"/>
      <c r="V2072" s="38"/>
      <c r="W2072" s="38"/>
      <c r="X2072" s="38"/>
      <c r="Y2072" s="49"/>
      <c r="Z2072" s="49"/>
      <c r="BP2072" s="293"/>
    </row>
    <row r="2073" spans="12:68">
      <c r="L2073" s="296"/>
      <c r="M2073" s="30"/>
      <c r="N2073" s="38"/>
      <c r="O2073" s="38"/>
      <c r="P2073" s="38"/>
      <c r="Q2073" s="38"/>
      <c r="R2073" s="38"/>
      <c r="S2073" s="38"/>
      <c r="T2073" s="38"/>
      <c r="U2073" s="38"/>
      <c r="V2073" s="38"/>
      <c r="W2073" s="38"/>
      <c r="X2073" s="38"/>
      <c r="Y2073" s="49"/>
      <c r="Z2073" s="49"/>
      <c r="BP2073" s="293"/>
    </row>
    <row r="2074" spans="12:68">
      <c r="L2074" s="296"/>
      <c r="M2074" s="30"/>
      <c r="N2074" s="38"/>
      <c r="O2074" s="38"/>
      <c r="P2074" s="38"/>
      <c r="Q2074" s="38"/>
      <c r="R2074" s="38"/>
      <c r="S2074" s="38"/>
      <c r="T2074" s="38"/>
      <c r="U2074" s="38"/>
      <c r="V2074" s="38"/>
      <c r="W2074" s="38"/>
      <c r="X2074" s="38"/>
      <c r="Y2074" s="49"/>
      <c r="Z2074" s="49"/>
      <c r="BP2074" s="293"/>
    </row>
    <row r="2075" spans="12:68">
      <c r="L2075" s="296"/>
      <c r="M2075" s="30"/>
      <c r="N2075" s="38"/>
      <c r="O2075" s="38"/>
      <c r="P2075" s="38"/>
      <c r="Q2075" s="38"/>
      <c r="R2075" s="38"/>
      <c r="S2075" s="38"/>
      <c r="T2075" s="38"/>
      <c r="U2075" s="38"/>
      <c r="V2075" s="38"/>
      <c r="W2075" s="38"/>
      <c r="X2075" s="38"/>
      <c r="Y2075" s="49"/>
      <c r="Z2075" s="49"/>
      <c r="BP2075" s="293"/>
    </row>
    <row r="2076" spans="12:68">
      <c r="L2076" s="296"/>
      <c r="M2076" s="30"/>
      <c r="N2076" s="38"/>
      <c r="O2076" s="38"/>
      <c r="P2076" s="38"/>
      <c r="Q2076" s="38"/>
      <c r="R2076" s="38"/>
      <c r="S2076" s="38"/>
      <c r="T2076" s="38"/>
      <c r="U2076" s="38"/>
      <c r="V2076" s="38"/>
      <c r="W2076" s="38"/>
      <c r="X2076" s="38"/>
      <c r="Y2076" s="49"/>
      <c r="Z2076" s="49"/>
      <c r="BP2076" s="293"/>
    </row>
    <row r="2077" spans="12:68">
      <c r="L2077" s="296"/>
      <c r="M2077" s="30"/>
      <c r="N2077" s="38"/>
      <c r="O2077" s="38"/>
      <c r="P2077" s="38"/>
      <c r="Q2077" s="38"/>
      <c r="R2077" s="38"/>
      <c r="S2077" s="38"/>
      <c r="T2077" s="38"/>
      <c r="U2077" s="38"/>
      <c r="V2077" s="38"/>
      <c r="W2077" s="38"/>
      <c r="X2077" s="38"/>
      <c r="Y2077" s="49"/>
      <c r="Z2077" s="49"/>
      <c r="BP2077" s="293"/>
    </row>
    <row r="2078" spans="12:68">
      <c r="L2078" s="296"/>
      <c r="M2078" s="30"/>
      <c r="N2078" s="38"/>
      <c r="O2078" s="38"/>
      <c r="P2078" s="38"/>
      <c r="Q2078" s="38"/>
      <c r="R2078" s="38"/>
      <c r="S2078" s="38"/>
      <c r="T2078" s="38"/>
      <c r="U2078" s="38"/>
      <c r="V2078" s="38"/>
      <c r="W2078" s="38"/>
      <c r="X2078" s="38"/>
      <c r="Y2078" s="49"/>
      <c r="Z2078" s="49"/>
      <c r="BP2078" s="293"/>
    </row>
    <row r="2079" spans="12:68">
      <c r="L2079" s="296"/>
      <c r="M2079" s="30"/>
      <c r="N2079" s="38"/>
      <c r="O2079" s="38"/>
      <c r="P2079" s="38"/>
      <c r="Q2079" s="38"/>
      <c r="R2079" s="38"/>
      <c r="S2079" s="38"/>
      <c r="T2079" s="38"/>
      <c r="U2079" s="38"/>
      <c r="V2079" s="38"/>
      <c r="W2079" s="38"/>
      <c r="X2079" s="38"/>
      <c r="Y2079" s="49"/>
      <c r="Z2079" s="49"/>
      <c r="BP2079" s="293"/>
    </row>
    <row r="2080" spans="12:68">
      <c r="L2080" s="296"/>
      <c r="M2080" s="30"/>
      <c r="N2080" s="38"/>
      <c r="O2080" s="38"/>
      <c r="P2080" s="38"/>
      <c r="Q2080" s="38"/>
      <c r="R2080" s="38"/>
      <c r="S2080" s="38"/>
      <c r="T2080" s="38"/>
      <c r="U2080" s="38"/>
      <c r="V2080" s="38"/>
      <c r="W2080" s="38"/>
      <c r="X2080" s="38"/>
      <c r="Y2080" s="49"/>
      <c r="Z2080" s="49"/>
      <c r="BP2080" s="293"/>
    </row>
    <row r="2081" spans="12:68">
      <c r="L2081" s="296"/>
      <c r="M2081" s="30"/>
      <c r="N2081" s="38"/>
      <c r="O2081" s="38"/>
      <c r="P2081" s="38"/>
      <c r="Q2081" s="38"/>
      <c r="R2081" s="38"/>
      <c r="S2081" s="38"/>
      <c r="T2081" s="38"/>
      <c r="U2081" s="38"/>
      <c r="V2081" s="38"/>
      <c r="W2081" s="38"/>
      <c r="X2081" s="38"/>
      <c r="Y2081" s="49"/>
      <c r="Z2081" s="49"/>
      <c r="BP2081" s="293"/>
    </row>
    <row r="2082" spans="12:68">
      <c r="L2082" s="296"/>
      <c r="M2082" s="30"/>
      <c r="N2082" s="38"/>
      <c r="O2082" s="38"/>
      <c r="P2082" s="38"/>
      <c r="Q2082" s="38"/>
      <c r="R2082" s="38"/>
      <c r="S2082" s="38"/>
      <c r="T2082" s="38"/>
      <c r="U2082" s="38"/>
      <c r="V2082" s="38"/>
      <c r="W2082" s="38"/>
      <c r="X2082" s="38"/>
      <c r="Y2082" s="49"/>
      <c r="Z2082" s="49"/>
      <c r="BP2082" s="293"/>
    </row>
    <row r="2083" spans="12:68">
      <c r="L2083" s="296"/>
      <c r="M2083" s="30"/>
      <c r="N2083" s="38"/>
      <c r="O2083" s="38"/>
      <c r="P2083" s="38"/>
      <c r="Q2083" s="38"/>
      <c r="R2083" s="38"/>
      <c r="S2083" s="38"/>
      <c r="T2083" s="38"/>
      <c r="U2083" s="38"/>
      <c r="V2083" s="38"/>
      <c r="W2083" s="38"/>
      <c r="X2083" s="38"/>
      <c r="Y2083" s="49"/>
      <c r="Z2083" s="49"/>
      <c r="BP2083" s="293"/>
    </row>
    <row r="2084" spans="12:68">
      <c r="L2084" s="296"/>
      <c r="M2084" s="30"/>
      <c r="N2084" s="38"/>
      <c r="O2084" s="38"/>
      <c r="P2084" s="38"/>
      <c r="Q2084" s="38"/>
      <c r="R2084" s="38"/>
      <c r="S2084" s="38"/>
      <c r="T2084" s="38"/>
      <c r="U2084" s="38"/>
      <c r="V2084" s="38"/>
      <c r="W2084" s="38"/>
      <c r="X2084" s="38"/>
      <c r="Y2084" s="49"/>
      <c r="Z2084" s="49"/>
      <c r="BP2084" s="293"/>
    </row>
    <row r="2085" spans="12:68">
      <c r="L2085" s="296"/>
      <c r="M2085" s="30"/>
      <c r="N2085" s="38"/>
      <c r="O2085" s="38"/>
      <c r="P2085" s="38"/>
      <c r="Q2085" s="38"/>
      <c r="R2085" s="38"/>
      <c r="S2085" s="38"/>
      <c r="T2085" s="38"/>
      <c r="U2085" s="38"/>
      <c r="V2085" s="38"/>
      <c r="W2085" s="38"/>
      <c r="X2085" s="38"/>
      <c r="Y2085" s="49"/>
      <c r="Z2085" s="49"/>
      <c r="BP2085" s="293"/>
    </row>
    <row r="2086" spans="12:68">
      <c r="L2086" s="296"/>
      <c r="M2086" s="30"/>
      <c r="N2086" s="38"/>
      <c r="O2086" s="38"/>
      <c r="P2086" s="38"/>
      <c r="Q2086" s="38"/>
      <c r="R2086" s="38"/>
      <c r="S2086" s="38"/>
      <c r="T2086" s="38"/>
      <c r="U2086" s="38"/>
      <c r="V2086" s="38"/>
      <c r="W2086" s="38"/>
      <c r="X2086" s="38"/>
      <c r="Y2086" s="49"/>
      <c r="Z2086" s="49"/>
      <c r="BP2086" s="293"/>
    </row>
    <row r="2087" spans="12:68">
      <c r="L2087" s="296"/>
      <c r="M2087" s="30"/>
      <c r="N2087" s="38"/>
      <c r="O2087" s="38"/>
      <c r="P2087" s="38"/>
      <c r="Q2087" s="38"/>
      <c r="R2087" s="38"/>
      <c r="S2087" s="38"/>
      <c r="T2087" s="38"/>
      <c r="U2087" s="38"/>
      <c r="V2087" s="38"/>
      <c r="W2087" s="38"/>
      <c r="X2087" s="38"/>
      <c r="Y2087" s="49"/>
      <c r="Z2087" s="49"/>
      <c r="BP2087" s="293"/>
    </row>
    <row r="2088" spans="12:68">
      <c r="L2088" s="296"/>
      <c r="M2088" s="30"/>
      <c r="N2088" s="38"/>
      <c r="O2088" s="38"/>
      <c r="P2088" s="38"/>
      <c r="Q2088" s="38"/>
      <c r="R2088" s="38"/>
      <c r="S2088" s="38"/>
      <c r="T2088" s="38"/>
      <c r="U2088" s="38"/>
      <c r="V2088" s="38"/>
      <c r="W2088" s="38"/>
      <c r="X2088" s="38"/>
      <c r="Y2088" s="49"/>
      <c r="Z2088" s="49"/>
      <c r="BP2088" s="293"/>
    </row>
    <row r="2089" spans="12:68">
      <c r="L2089" s="296"/>
      <c r="M2089" s="30"/>
      <c r="N2089" s="38"/>
      <c r="O2089" s="38"/>
      <c r="P2089" s="38"/>
      <c r="Q2089" s="38"/>
      <c r="R2089" s="38"/>
      <c r="S2089" s="38"/>
      <c r="T2089" s="38"/>
      <c r="U2089" s="38"/>
      <c r="V2089" s="38"/>
      <c r="W2089" s="38"/>
      <c r="X2089" s="38"/>
      <c r="Y2089" s="49"/>
      <c r="Z2089" s="49"/>
      <c r="BP2089" s="293"/>
    </row>
    <row r="2090" spans="12:68">
      <c r="L2090" s="296"/>
      <c r="M2090" s="30"/>
      <c r="N2090" s="38"/>
      <c r="O2090" s="38"/>
      <c r="P2090" s="38"/>
      <c r="Q2090" s="38"/>
      <c r="R2090" s="38"/>
      <c r="S2090" s="38"/>
      <c r="T2090" s="38"/>
      <c r="U2090" s="38"/>
      <c r="V2090" s="38"/>
      <c r="W2090" s="38"/>
      <c r="X2090" s="38"/>
      <c r="Y2090" s="49"/>
      <c r="Z2090" s="49"/>
      <c r="BP2090" s="293"/>
    </row>
    <row r="2091" spans="12:68">
      <c r="L2091" s="296"/>
      <c r="M2091" s="30"/>
      <c r="N2091" s="38"/>
      <c r="O2091" s="38"/>
      <c r="P2091" s="38"/>
      <c r="Q2091" s="38"/>
      <c r="R2091" s="38"/>
      <c r="S2091" s="38"/>
      <c r="T2091" s="38"/>
      <c r="U2091" s="38"/>
      <c r="V2091" s="38"/>
      <c r="W2091" s="38"/>
      <c r="X2091" s="38"/>
      <c r="Y2091" s="49"/>
      <c r="Z2091" s="49"/>
      <c r="BP2091" s="293"/>
    </row>
    <row r="2092" spans="12:68">
      <c r="L2092" s="296"/>
      <c r="M2092" s="30"/>
      <c r="N2092" s="38"/>
      <c r="O2092" s="38"/>
      <c r="P2092" s="38"/>
      <c r="Q2092" s="38"/>
      <c r="R2092" s="38"/>
      <c r="S2092" s="38"/>
      <c r="T2092" s="38"/>
      <c r="U2092" s="38"/>
      <c r="V2092" s="38"/>
      <c r="W2092" s="38"/>
      <c r="X2092" s="38"/>
      <c r="Y2092" s="49"/>
      <c r="Z2092" s="49"/>
      <c r="BP2092" s="293"/>
    </row>
    <row r="2093" spans="12:68">
      <c r="L2093" s="296"/>
      <c r="M2093" s="30"/>
      <c r="N2093" s="38"/>
      <c r="O2093" s="38"/>
      <c r="P2093" s="38"/>
      <c r="Q2093" s="38"/>
      <c r="R2093" s="38"/>
      <c r="S2093" s="38"/>
      <c r="T2093" s="38"/>
      <c r="U2093" s="38"/>
      <c r="V2093" s="38"/>
      <c r="W2093" s="38"/>
      <c r="X2093" s="38"/>
      <c r="Y2093" s="49"/>
      <c r="Z2093" s="49"/>
      <c r="BP2093" s="293"/>
    </row>
    <row r="2094" spans="12:68">
      <c r="L2094" s="296"/>
      <c r="M2094" s="30"/>
      <c r="N2094" s="38"/>
      <c r="O2094" s="38"/>
      <c r="P2094" s="38"/>
      <c r="Q2094" s="38"/>
      <c r="R2094" s="38"/>
      <c r="S2094" s="38"/>
      <c r="T2094" s="38"/>
      <c r="U2094" s="38"/>
      <c r="V2094" s="38"/>
      <c r="W2094" s="38"/>
      <c r="X2094" s="38"/>
      <c r="Y2094" s="49"/>
      <c r="Z2094" s="49"/>
      <c r="BP2094" s="293"/>
    </row>
    <row r="2095" spans="12:68">
      <c r="L2095" s="296"/>
      <c r="M2095" s="30"/>
      <c r="N2095" s="38"/>
      <c r="O2095" s="38"/>
      <c r="P2095" s="38"/>
      <c r="Q2095" s="38"/>
      <c r="R2095" s="38"/>
      <c r="S2095" s="38"/>
      <c r="T2095" s="38"/>
      <c r="U2095" s="38"/>
      <c r="V2095" s="38"/>
      <c r="W2095" s="38"/>
      <c r="X2095" s="38"/>
      <c r="Y2095" s="49"/>
      <c r="Z2095" s="49"/>
      <c r="BP2095" s="293"/>
    </row>
    <row r="2096" spans="12:68">
      <c r="L2096" s="296"/>
      <c r="M2096" s="30"/>
      <c r="N2096" s="38"/>
      <c r="O2096" s="38"/>
      <c r="P2096" s="38"/>
      <c r="Q2096" s="38"/>
      <c r="R2096" s="38"/>
      <c r="S2096" s="38"/>
      <c r="T2096" s="38"/>
      <c r="U2096" s="38"/>
      <c r="V2096" s="38"/>
      <c r="W2096" s="38"/>
      <c r="X2096" s="38"/>
      <c r="Y2096" s="49"/>
      <c r="Z2096" s="49"/>
      <c r="BP2096" s="293"/>
    </row>
    <row r="2097" spans="12:68">
      <c r="L2097" s="296"/>
      <c r="M2097" s="30"/>
      <c r="N2097" s="38"/>
      <c r="O2097" s="38"/>
      <c r="P2097" s="38"/>
      <c r="Q2097" s="38"/>
      <c r="R2097" s="38"/>
      <c r="S2097" s="38"/>
      <c r="T2097" s="38"/>
      <c r="U2097" s="38"/>
      <c r="V2097" s="38"/>
      <c r="W2097" s="38"/>
      <c r="X2097" s="38"/>
      <c r="Y2097" s="49"/>
      <c r="Z2097" s="49"/>
      <c r="BP2097" s="293"/>
    </row>
    <row r="2098" spans="12:68">
      <c r="L2098" s="296"/>
      <c r="M2098" s="30"/>
      <c r="N2098" s="38"/>
      <c r="O2098" s="38"/>
      <c r="P2098" s="38"/>
      <c r="Q2098" s="38"/>
      <c r="R2098" s="38"/>
      <c r="S2098" s="38"/>
      <c r="T2098" s="38"/>
      <c r="U2098" s="38"/>
      <c r="V2098" s="38"/>
      <c r="W2098" s="38"/>
      <c r="X2098" s="38"/>
      <c r="Y2098" s="49"/>
      <c r="Z2098" s="49"/>
      <c r="BP2098" s="293"/>
    </row>
    <row r="2099" spans="12:68">
      <c r="L2099" s="296"/>
      <c r="M2099" s="30"/>
      <c r="N2099" s="38"/>
      <c r="O2099" s="38"/>
      <c r="P2099" s="38"/>
      <c r="Q2099" s="38"/>
      <c r="R2099" s="38"/>
      <c r="S2099" s="38"/>
      <c r="T2099" s="38"/>
      <c r="U2099" s="38"/>
      <c r="V2099" s="38"/>
      <c r="W2099" s="38"/>
      <c r="X2099" s="38"/>
      <c r="Y2099" s="49"/>
      <c r="Z2099" s="49"/>
      <c r="BP2099" s="293"/>
    </row>
    <row r="2100" spans="12:68">
      <c r="L2100" s="296"/>
      <c r="M2100" s="30"/>
      <c r="N2100" s="38"/>
      <c r="O2100" s="38"/>
      <c r="P2100" s="38"/>
      <c r="Q2100" s="38"/>
      <c r="R2100" s="38"/>
      <c r="S2100" s="38"/>
      <c r="T2100" s="38"/>
      <c r="U2100" s="38"/>
      <c r="V2100" s="38"/>
      <c r="W2100" s="38"/>
      <c r="X2100" s="38"/>
      <c r="Y2100" s="49"/>
      <c r="Z2100" s="49"/>
      <c r="BP2100" s="293"/>
    </row>
    <row r="2101" spans="12:68">
      <c r="L2101" s="296"/>
      <c r="M2101" s="30"/>
      <c r="N2101" s="38"/>
      <c r="O2101" s="38"/>
      <c r="P2101" s="38"/>
      <c r="Q2101" s="38"/>
      <c r="R2101" s="38"/>
      <c r="S2101" s="38"/>
      <c r="T2101" s="38"/>
      <c r="U2101" s="38"/>
      <c r="V2101" s="38"/>
      <c r="W2101" s="38"/>
      <c r="X2101" s="38"/>
      <c r="Y2101" s="49"/>
      <c r="Z2101" s="49"/>
      <c r="BP2101" s="293"/>
    </row>
    <row r="2102" spans="12:68">
      <c r="L2102" s="296"/>
      <c r="M2102" s="30"/>
      <c r="N2102" s="38"/>
      <c r="O2102" s="38"/>
      <c r="P2102" s="38"/>
      <c r="Q2102" s="38"/>
      <c r="R2102" s="38"/>
      <c r="S2102" s="38"/>
      <c r="T2102" s="38"/>
      <c r="U2102" s="38"/>
      <c r="V2102" s="38"/>
      <c r="W2102" s="38"/>
      <c r="X2102" s="38"/>
      <c r="Y2102" s="49"/>
      <c r="Z2102" s="49"/>
      <c r="BP2102" s="293"/>
    </row>
    <row r="2103" spans="12:68">
      <c r="L2103" s="296"/>
      <c r="M2103" s="30"/>
      <c r="N2103" s="38"/>
      <c r="O2103" s="38"/>
      <c r="P2103" s="38"/>
      <c r="Q2103" s="38"/>
      <c r="R2103" s="38"/>
      <c r="S2103" s="38"/>
      <c r="T2103" s="38"/>
      <c r="U2103" s="38"/>
      <c r="V2103" s="38"/>
      <c r="W2103" s="38"/>
      <c r="X2103" s="38"/>
      <c r="Y2103" s="49"/>
      <c r="Z2103" s="49"/>
      <c r="BP2103" s="293"/>
    </row>
    <row r="2104" spans="12:68">
      <c r="L2104" s="296"/>
      <c r="M2104" s="30"/>
      <c r="N2104" s="38"/>
      <c r="O2104" s="38"/>
      <c r="P2104" s="38"/>
      <c r="Q2104" s="38"/>
      <c r="R2104" s="38"/>
      <c r="S2104" s="38"/>
      <c r="T2104" s="38"/>
      <c r="U2104" s="38"/>
      <c r="V2104" s="38"/>
      <c r="W2104" s="38"/>
      <c r="X2104" s="38"/>
      <c r="Y2104" s="49"/>
      <c r="Z2104" s="49"/>
      <c r="BP2104" s="293"/>
    </row>
    <row r="2105" spans="12:68">
      <c r="L2105" s="296"/>
      <c r="M2105" s="30"/>
      <c r="N2105" s="38"/>
      <c r="O2105" s="38"/>
      <c r="P2105" s="38"/>
      <c r="Q2105" s="38"/>
      <c r="R2105" s="38"/>
      <c r="S2105" s="38"/>
      <c r="T2105" s="38"/>
      <c r="U2105" s="38"/>
      <c r="V2105" s="38"/>
      <c r="W2105" s="38"/>
      <c r="X2105" s="38"/>
      <c r="Y2105" s="49"/>
      <c r="Z2105" s="49"/>
      <c r="BP2105" s="293"/>
    </row>
    <row r="2106" spans="12:68">
      <c r="L2106" s="296"/>
      <c r="M2106" s="30"/>
      <c r="N2106" s="38"/>
      <c r="O2106" s="38"/>
      <c r="P2106" s="38"/>
      <c r="Q2106" s="38"/>
      <c r="R2106" s="38"/>
      <c r="S2106" s="38"/>
      <c r="T2106" s="38"/>
      <c r="U2106" s="38"/>
      <c r="V2106" s="38"/>
      <c r="W2106" s="38"/>
      <c r="X2106" s="38"/>
      <c r="Y2106" s="49"/>
      <c r="Z2106" s="49"/>
      <c r="BP2106" s="293"/>
    </row>
    <row r="2107" spans="12:68">
      <c r="L2107" s="296"/>
      <c r="M2107" s="30"/>
      <c r="N2107" s="38"/>
      <c r="O2107" s="38"/>
      <c r="P2107" s="38"/>
      <c r="Q2107" s="38"/>
      <c r="R2107" s="38"/>
      <c r="S2107" s="38"/>
      <c r="T2107" s="38"/>
      <c r="U2107" s="38"/>
      <c r="V2107" s="38"/>
      <c r="W2107" s="38"/>
      <c r="X2107" s="38"/>
      <c r="Y2107" s="49"/>
      <c r="Z2107" s="49"/>
      <c r="BP2107" s="293"/>
    </row>
    <row r="2108" spans="12:68">
      <c r="L2108" s="296"/>
      <c r="M2108" s="30"/>
      <c r="N2108" s="38"/>
      <c r="O2108" s="38"/>
      <c r="P2108" s="38"/>
      <c r="Q2108" s="38"/>
      <c r="R2108" s="38"/>
      <c r="S2108" s="38"/>
      <c r="T2108" s="38"/>
      <c r="U2108" s="38"/>
      <c r="V2108" s="38"/>
      <c r="W2108" s="38"/>
      <c r="X2108" s="38"/>
      <c r="Y2108" s="49"/>
      <c r="Z2108" s="49"/>
      <c r="BP2108" s="293"/>
    </row>
    <row r="2109" spans="12:68">
      <c r="L2109" s="296"/>
      <c r="M2109" s="30"/>
      <c r="N2109" s="38"/>
      <c r="O2109" s="38"/>
      <c r="P2109" s="38"/>
      <c r="Q2109" s="38"/>
      <c r="R2109" s="38"/>
      <c r="S2109" s="38"/>
      <c r="T2109" s="38"/>
      <c r="U2109" s="38"/>
      <c r="V2109" s="38"/>
      <c r="W2109" s="38"/>
      <c r="X2109" s="38"/>
      <c r="Y2109" s="49"/>
      <c r="Z2109" s="49"/>
      <c r="BP2109" s="293"/>
    </row>
    <row r="2110" spans="12:68">
      <c r="L2110" s="296"/>
      <c r="M2110" s="30"/>
      <c r="N2110" s="38"/>
      <c r="O2110" s="38"/>
      <c r="P2110" s="38"/>
      <c r="Q2110" s="38"/>
      <c r="R2110" s="38"/>
      <c r="S2110" s="38"/>
      <c r="T2110" s="38"/>
      <c r="U2110" s="38"/>
      <c r="V2110" s="38"/>
      <c r="W2110" s="38"/>
      <c r="X2110" s="38"/>
      <c r="Y2110" s="49"/>
      <c r="Z2110" s="49"/>
      <c r="BP2110" s="293"/>
    </row>
    <row r="2111" spans="12:68">
      <c r="L2111" s="296"/>
      <c r="M2111" s="30"/>
      <c r="N2111" s="38"/>
      <c r="O2111" s="38"/>
      <c r="P2111" s="38"/>
      <c r="Q2111" s="38"/>
      <c r="R2111" s="38"/>
      <c r="S2111" s="38"/>
      <c r="T2111" s="38"/>
      <c r="U2111" s="38"/>
      <c r="V2111" s="38"/>
      <c r="W2111" s="38"/>
      <c r="X2111" s="38"/>
      <c r="Y2111" s="49"/>
      <c r="Z2111" s="49"/>
      <c r="BP2111" s="293"/>
    </row>
    <row r="2112" spans="12:68">
      <c r="L2112" s="296"/>
      <c r="M2112" s="30"/>
      <c r="N2112" s="38"/>
      <c r="O2112" s="38"/>
      <c r="P2112" s="38"/>
      <c r="Q2112" s="38"/>
      <c r="R2112" s="38"/>
      <c r="S2112" s="38"/>
      <c r="T2112" s="38"/>
      <c r="U2112" s="38"/>
      <c r="V2112" s="38"/>
      <c r="W2112" s="38"/>
      <c r="X2112" s="38"/>
      <c r="Y2112" s="49"/>
      <c r="Z2112" s="49"/>
      <c r="BP2112" s="293"/>
    </row>
    <row r="2113" spans="12:68">
      <c r="L2113" s="296"/>
      <c r="M2113" s="30"/>
      <c r="N2113" s="38"/>
      <c r="O2113" s="38"/>
      <c r="P2113" s="38"/>
      <c r="Q2113" s="38"/>
      <c r="R2113" s="38"/>
      <c r="S2113" s="38"/>
      <c r="T2113" s="38"/>
      <c r="U2113" s="38"/>
      <c r="V2113" s="38"/>
      <c r="W2113" s="38"/>
      <c r="X2113" s="38"/>
      <c r="Y2113" s="49"/>
      <c r="Z2113" s="49"/>
      <c r="BP2113" s="293"/>
    </row>
    <row r="2114" spans="12:68">
      <c r="L2114" s="296"/>
      <c r="M2114" s="30"/>
      <c r="N2114" s="38"/>
      <c r="O2114" s="38"/>
      <c r="P2114" s="38"/>
      <c r="Q2114" s="38"/>
      <c r="R2114" s="38"/>
      <c r="S2114" s="38"/>
      <c r="T2114" s="38"/>
      <c r="U2114" s="38"/>
      <c r="V2114" s="38"/>
      <c r="W2114" s="38"/>
      <c r="X2114" s="38"/>
      <c r="Y2114" s="49"/>
      <c r="Z2114" s="49"/>
      <c r="BP2114" s="293"/>
    </row>
    <row r="2115" spans="12:68">
      <c r="L2115" s="296"/>
      <c r="M2115" s="30"/>
      <c r="N2115" s="38"/>
      <c r="O2115" s="38"/>
      <c r="P2115" s="38"/>
      <c r="Q2115" s="38"/>
      <c r="R2115" s="38"/>
      <c r="S2115" s="38"/>
      <c r="T2115" s="38"/>
      <c r="U2115" s="38"/>
      <c r="V2115" s="38"/>
      <c r="W2115" s="38"/>
      <c r="X2115" s="38"/>
      <c r="Y2115" s="49"/>
      <c r="Z2115" s="49"/>
      <c r="BP2115" s="293"/>
    </row>
    <row r="2116" spans="12:68">
      <c r="L2116" s="296"/>
      <c r="M2116" s="30"/>
      <c r="N2116" s="38"/>
      <c r="O2116" s="38"/>
      <c r="P2116" s="38"/>
      <c r="Q2116" s="38"/>
      <c r="R2116" s="38"/>
      <c r="S2116" s="38"/>
      <c r="T2116" s="38"/>
      <c r="U2116" s="38"/>
      <c r="V2116" s="38"/>
      <c r="W2116" s="38"/>
      <c r="X2116" s="38"/>
      <c r="Y2116" s="49"/>
      <c r="Z2116" s="49"/>
      <c r="BP2116" s="293"/>
    </row>
    <row r="2117" spans="12:68">
      <c r="L2117" s="296"/>
      <c r="M2117" s="30"/>
      <c r="N2117" s="38"/>
      <c r="O2117" s="38"/>
      <c r="P2117" s="38"/>
      <c r="Q2117" s="38"/>
      <c r="R2117" s="38"/>
      <c r="S2117" s="38"/>
      <c r="T2117" s="38"/>
      <c r="U2117" s="38"/>
      <c r="V2117" s="38"/>
      <c r="W2117" s="38"/>
      <c r="X2117" s="38"/>
      <c r="Y2117" s="49"/>
      <c r="Z2117" s="49"/>
      <c r="BP2117" s="293"/>
    </row>
    <row r="2118" spans="12:68">
      <c r="L2118" s="296"/>
      <c r="M2118" s="30"/>
      <c r="N2118" s="38"/>
      <c r="O2118" s="38"/>
      <c r="P2118" s="38"/>
      <c r="Q2118" s="38"/>
      <c r="R2118" s="38"/>
      <c r="S2118" s="38"/>
      <c r="T2118" s="38"/>
      <c r="U2118" s="38"/>
      <c r="V2118" s="38"/>
      <c r="W2118" s="38"/>
      <c r="X2118" s="38"/>
      <c r="Y2118" s="49"/>
      <c r="Z2118" s="49"/>
      <c r="BP2118" s="293"/>
    </row>
    <row r="2119" spans="12:68">
      <c r="L2119" s="296"/>
      <c r="M2119" s="30"/>
      <c r="N2119" s="38"/>
      <c r="O2119" s="38"/>
      <c r="P2119" s="38"/>
      <c r="Q2119" s="38"/>
      <c r="R2119" s="38"/>
      <c r="S2119" s="38"/>
      <c r="T2119" s="38"/>
      <c r="U2119" s="38"/>
      <c r="V2119" s="38"/>
      <c r="W2119" s="38"/>
      <c r="X2119" s="38"/>
      <c r="Y2119" s="49"/>
      <c r="Z2119" s="49"/>
      <c r="BP2119" s="293"/>
    </row>
    <row r="2120" spans="12:68">
      <c r="L2120" s="296"/>
      <c r="M2120" s="30"/>
      <c r="N2120" s="38"/>
      <c r="O2120" s="38"/>
      <c r="P2120" s="38"/>
      <c r="Q2120" s="38"/>
      <c r="R2120" s="38"/>
      <c r="S2120" s="38"/>
      <c r="T2120" s="38"/>
      <c r="U2120" s="38"/>
      <c r="V2120" s="38"/>
      <c r="W2120" s="38"/>
      <c r="X2120" s="38"/>
      <c r="Y2120" s="49"/>
      <c r="Z2120" s="49"/>
      <c r="BP2120" s="293"/>
    </row>
    <row r="2121" spans="12:68">
      <c r="L2121" s="296"/>
      <c r="M2121" s="30"/>
      <c r="N2121" s="38"/>
      <c r="O2121" s="38"/>
      <c r="P2121" s="38"/>
      <c r="Q2121" s="38"/>
      <c r="R2121" s="38"/>
      <c r="S2121" s="38"/>
      <c r="T2121" s="38"/>
      <c r="U2121" s="38"/>
      <c r="V2121" s="38"/>
      <c r="W2121" s="38"/>
      <c r="X2121" s="38"/>
      <c r="Y2121" s="49"/>
      <c r="Z2121" s="49"/>
      <c r="BP2121" s="293"/>
    </row>
    <row r="2122" spans="12:68">
      <c r="L2122" s="296"/>
      <c r="M2122" s="30"/>
      <c r="N2122" s="38"/>
      <c r="O2122" s="38"/>
      <c r="P2122" s="38"/>
      <c r="Q2122" s="38"/>
      <c r="R2122" s="38"/>
      <c r="S2122" s="38"/>
      <c r="T2122" s="38"/>
      <c r="U2122" s="38"/>
      <c r="V2122" s="38"/>
      <c r="W2122" s="38"/>
      <c r="X2122" s="38"/>
      <c r="Y2122" s="49"/>
      <c r="Z2122" s="49"/>
      <c r="BP2122" s="293"/>
    </row>
    <row r="2123" spans="12:68">
      <c r="L2123" s="296"/>
      <c r="M2123" s="30"/>
      <c r="N2123" s="38"/>
      <c r="O2123" s="38"/>
      <c r="P2123" s="38"/>
      <c r="Q2123" s="38"/>
      <c r="R2123" s="38"/>
      <c r="S2123" s="38"/>
      <c r="T2123" s="38"/>
      <c r="U2123" s="38"/>
      <c r="V2123" s="38"/>
      <c r="W2123" s="38"/>
      <c r="X2123" s="38"/>
      <c r="Y2123" s="49"/>
      <c r="Z2123" s="49"/>
      <c r="BP2123" s="293"/>
    </row>
    <row r="2124" spans="12:68">
      <c r="L2124" s="296"/>
      <c r="M2124" s="30"/>
      <c r="N2124" s="38"/>
      <c r="O2124" s="38"/>
      <c r="P2124" s="38"/>
      <c r="Q2124" s="38"/>
      <c r="R2124" s="38"/>
      <c r="S2124" s="38"/>
      <c r="T2124" s="38"/>
      <c r="U2124" s="38"/>
      <c r="V2124" s="38"/>
      <c r="W2124" s="38"/>
      <c r="X2124" s="38"/>
      <c r="Y2124" s="49"/>
      <c r="Z2124" s="49"/>
      <c r="BP2124" s="293"/>
    </row>
    <row r="2125" spans="12:68">
      <c r="L2125" s="296"/>
      <c r="M2125" s="30"/>
      <c r="N2125" s="38"/>
      <c r="O2125" s="38"/>
      <c r="P2125" s="38"/>
      <c r="Q2125" s="38"/>
      <c r="R2125" s="38"/>
      <c r="S2125" s="38"/>
      <c r="T2125" s="38"/>
      <c r="U2125" s="38"/>
      <c r="V2125" s="38"/>
      <c r="W2125" s="38"/>
      <c r="X2125" s="38"/>
      <c r="Y2125" s="49"/>
      <c r="Z2125" s="49"/>
      <c r="BP2125" s="293"/>
    </row>
    <row r="2126" spans="12:68">
      <c r="L2126" s="296"/>
      <c r="M2126" s="30"/>
      <c r="N2126" s="38"/>
      <c r="O2126" s="38"/>
      <c r="P2126" s="38"/>
      <c r="Q2126" s="38"/>
      <c r="R2126" s="38"/>
      <c r="S2126" s="38"/>
      <c r="T2126" s="38"/>
      <c r="U2126" s="38"/>
      <c r="V2126" s="38"/>
      <c r="W2126" s="38"/>
      <c r="X2126" s="38"/>
      <c r="Y2126" s="49"/>
      <c r="Z2126" s="49"/>
      <c r="BP2126" s="293"/>
    </row>
    <row r="2127" spans="12:68">
      <c r="L2127" s="296"/>
      <c r="M2127" s="30"/>
      <c r="N2127" s="38"/>
      <c r="O2127" s="38"/>
      <c r="P2127" s="38"/>
      <c r="Q2127" s="38"/>
      <c r="R2127" s="38"/>
      <c r="S2127" s="38"/>
      <c r="T2127" s="38"/>
      <c r="U2127" s="38"/>
      <c r="V2127" s="38"/>
      <c r="W2127" s="38"/>
      <c r="X2127" s="38"/>
      <c r="Y2127" s="49"/>
      <c r="Z2127" s="49"/>
      <c r="BP2127" s="293"/>
    </row>
    <row r="2128" spans="12:68">
      <c r="L2128" s="296"/>
      <c r="M2128" s="30"/>
      <c r="N2128" s="38"/>
      <c r="O2128" s="38"/>
      <c r="P2128" s="38"/>
      <c r="Q2128" s="38"/>
      <c r="R2128" s="38"/>
      <c r="S2128" s="38"/>
      <c r="T2128" s="38"/>
      <c r="U2128" s="38"/>
      <c r="V2128" s="38"/>
      <c r="W2128" s="38"/>
      <c r="X2128" s="38"/>
      <c r="Y2128" s="49"/>
      <c r="Z2128" s="49"/>
      <c r="BP2128" s="293"/>
    </row>
    <row r="2129" spans="12:68">
      <c r="L2129" s="296"/>
      <c r="M2129" s="30"/>
      <c r="N2129" s="38"/>
      <c r="O2129" s="38"/>
      <c r="P2129" s="38"/>
      <c r="Q2129" s="38"/>
      <c r="R2129" s="38"/>
      <c r="S2129" s="38"/>
      <c r="T2129" s="38"/>
      <c r="U2129" s="38"/>
      <c r="V2129" s="38"/>
      <c r="W2129" s="38"/>
      <c r="X2129" s="38"/>
      <c r="Y2129" s="49"/>
      <c r="Z2129" s="49"/>
      <c r="BP2129" s="293"/>
    </row>
    <row r="2130" spans="12:68">
      <c r="L2130" s="296"/>
      <c r="M2130" s="30"/>
      <c r="N2130" s="38"/>
      <c r="O2130" s="38"/>
      <c r="P2130" s="38"/>
      <c r="Q2130" s="38"/>
      <c r="R2130" s="38"/>
      <c r="S2130" s="38"/>
      <c r="T2130" s="38"/>
      <c r="U2130" s="38"/>
      <c r="V2130" s="38"/>
      <c r="W2130" s="38"/>
      <c r="X2130" s="38"/>
      <c r="Y2130" s="49"/>
      <c r="Z2130" s="49"/>
      <c r="BP2130" s="293"/>
    </row>
    <row r="2131" spans="12:68">
      <c r="L2131" s="296"/>
      <c r="M2131" s="30"/>
      <c r="N2131" s="38"/>
      <c r="O2131" s="38"/>
      <c r="P2131" s="38"/>
      <c r="Q2131" s="38"/>
      <c r="R2131" s="38"/>
      <c r="S2131" s="38"/>
      <c r="T2131" s="38"/>
      <c r="U2131" s="38"/>
      <c r="V2131" s="38"/>
      <c r="W2131" s="38"/>
      <c r="X2131" s="38"/>
      <c r="Y2131" s="49"/>
      <c r="Z2131" s="49"/>
      <c r="BP2131" s="293"/>
    </row>
    <row r="2132" spans="12:68">
      <c r="L2132" s="296"/>
      <c r="M2132" s="30"/>
      <c r="N2132" s="38"/>
      <c r="O2132" s="38"/>
      <c r="P2132" s="38"/>
      <c r="Q2132" s="38"/>
      <c r="R2132" s="38"/>
      <c r="S2132" s="38"/>
      <c r="T2132" s="38"/>
      <c r="U2132" s="38"/>
      <c r="V2132" s="38"/>
      <c r="W2132" s="38"/>
      <c r="X2132" s="38"/>
      <c r="Y2132" s="49"/>
      <c r="Z2132" s="49"/>
      <c r="BP2132" s="293"/>
    </row>
    <row r="2133" spans="12:68">
      <c r="L2133" s="296"/>
      <c r="M2133" s="30"/>
      <c r="N2133" s="38"/>
      <c r="O2133" s="38"/>
      <c r="P2133" s="38"/>
      <c r="Q2133" s="38"/>
      <c r="R2133" s="38"/>
      <c r="S2133" s="38"/>
      <c r="T2133" s="38"/>
      <c r="U2133" s="38"/>
      <c r="V2133" s="38"/>
      <c r="W2133" s="38"/>
      <c r="X2133" s="38"/>
      <c r="Y2133" s="49"/>
      <c r="Z2133" s="49"/>
      <c r="BP2133" s="293"/>
    </row>
    <row r="2134" spans="12:68">
      <c r="L2134" s="296"/>
      <c r="M2134" s="30"/>
      <c r="N2134" s="38"/>
      <c r="O2134" s="38"/>
      <c r="P2134" s="38"/>
      <c r="Q2134" s="38"/>
      <c r="R2134" s="38"/>
      <c r="S2134" s="38"/>
      <c r="T2134" s="38"/>
      <c r="U2134" s="38"/>
      <c r="V2134" s="38"/>
      <c r="W2134" s="38"/>
      <c r="X2134" s="38"/>
      <c r="Y2134" s="49"/>
      <c r="Z2134" s="49"/>
      <c r="BP2134" s="293"/>
    </row>
    <row r="2135" spans="12:68">
      <c r="L2135" s="296"/>
      <c r="M2135" s="30"/>
      <c r="N2135" s="38"/>
      <c r="O2135" s="38"/>
      <c r="P2135" s="38"/>
      <c r="Q2135" s="38"/>
      <c r="R2135" s="38"/>
      <c r="S2135" s="38"/>
      <c r="T2135" s="38"/>
      <c r="U2135" s="38"/>
      <c r="V2135" s="38"/>
      <c r="W2135" s="38"/>
      <c r="X2135" s="38"/>
      <c r="Y2135" s="49"/>
      <c r="Z2135" s="49"/>
      <c r="BP2135" s="293"/>
    </row>
    <row r="2136" spans="12:68">
      <c r="L2136" s="296"/>
      <c r="M2136" s="30"/>
      <c r="N2136" s="38"/>
      <c r="O2136" s="38"/>
      <c r="P2136" s="38"/>
      <c r="Q2136" s="38"/>
      <c r="R2136" s="38"/>
      <c r="S2136" s="38"/>
      <c r="T2136" s="38"/>
      <c r="U2136" s="38"/>
      <c r="V2136" s="38"/>
      <c r="W2136" s="38"/>
      <c r="X2136" s="38"/>
      <c r="Y2136" s="49"/>
      <c r="Z2136" s="49"/>
      <c r="BP2136" s="293"/>
    </row>
    <row r="2137" spans="12:68">
      <c r="L2137" s="296"/>
      <c r="M2137" s="30"/>
      <c r="N2137" s="38"/>
      <c r="O2137" s="38"/>
      <c r="P2137" s="38"/>
      <c r="Q2137" s="38"/>
      <c r="R2137" s="38"/>
      <c r="S2137" s="38"/>
      <c r="T2137" s="38"/>
      <c r="U2137" s="38"/>
      <c r="V2137" s="38"/>
      <c r="W2137" s="38"/>
      <c r="X2137" s="38"/>
      <c r="Y2137" s="49"/>
      <c r="Z2137" s="49"/>
      <c r="BP2137" s="293"/>
    </row>
    <row r="2138" spans="12:68">
      <c r="L2138" s="296"/>
      <c r="M2138" s="30"/>
      <c r="N2138" s="38"/>
      <c r="O2138" s="38"/>
      <c r="P2138" s="38"/>
      <c r="Q2138" s="38"/>
      <c r="R2138" s="38"/>
      <c r="S2138" s="38"/>
      <c r="T2138" s="38"/>
      <c r="U2138" s="38"/>
      <c r="V2138" s="38"/>
      <c r="W2138" s="38"/>
      <c r="X2138" s="38"/>
      <c r="Y2138" s="49"/>
      <c r="Z2138" s="49"/>
      <c r="BP2138" s="293"/>
    </row>
    <row r="2139" spans="12:68">
      <c r="L2139" s="296"/>
      <c r="M2139" s="30"/>
      <c r="N2139" s="38"/>
      <c r="O2139" s="38"/>
      <c r="P2139" s="38"/>
      <c r="Q2139" s="38"/>
      <c r="R2139" s="38"/>
      <c r="S2139" s="38"/>
      <c r="T2139" s="38"/>
      <c r="U2139" s="38"/>
      <c r="V2139" s="38"/>
      <c r="W2139" s="38"/>
      <c r="X2139" s="38"/>
      <c r="Y2139" s="49"/>
      <c r="Z2139" s="49"/>
      <c r="BP2139" s="293"/>
    </row>
    <row r="2140" spans="12:68">
      <c r="L2140" s="296"/>
      <c r="M2140" s="30"/>
      <c r="N2140" s="38"/>
      <c r="O2140" s="38"/>
      <c r="P2140" s="38"/>
      <c r="Q2140" s="38"/>
      <c r="R2140" s="38"/>
      <c r="S2140" s="38"/>
      <c r="T2140" s="38"/>
      <c r="U2140" s="38"/>
      <c r="V2140" s="38"/>
      <c r="W2140" s="38"/>
      <c r="X2140" s="38"/>
      <c r="Y2140" s="49"/>
      <c r="Z2140" s="49"/>
      <c r="BP2140" s="293"/>
    </row>
    <row r="2141" spans="12:68">
      <c r="L2141" s="296"/>
      <c r="M2141" s="30"/>
      <c r="N2141" s="38"/>
      <c r="O2141" s="38"/>
      <c r="P2141" s="38"/>
      <c r="Q2141" s="38"/>
      <c r="R2141" s="38"/>
      <c r="S2141" s="38"/>
      <c r="T2141" s="38"/>
      <c r="U2141" s="38"/>
      <c r="V2141" s="38"/>
      <c r="W2141" s="38"/>
      <c r="X2141" s="38"/>
      <c r="Y2141" s="49"/>
      <c r="Z2141" s="49"/>
      <c r="BP2141" s="293"/>
    </row>
    <row r="2142" spans="12:68">
      <c r="L2142" s="296"/>
      <c r="M2142" s="30"/>
      <c r="N2142" s="38"/>
      <c r="O2142" s="38"/>
      <c r="P2142" s="38"/>
      <c r="Q2142" s="38"/>
      <c r="R2142" s="38"/>
      <c r="S2142" s="38"/>
      <c r="T2142" s="38"/>
      <c r="U2142" s="38"/>
      <c r="V2142" s="38"/>
      <c r="W2142" s="38"/>
      <c r="X2142" s="38"/>
      <c r="Y2142" s="49"/>
      <c r="Z2142" s="49"/>
      <c r="BP2142" s="293"/>
    </row>
    <row r="2143" spans="12:68">
      <c r="L2143" s="296"/>
      <c r="M2143" s="30"/>
      <c r="N2143" s="38"/>
      <c r="O2143" s="38"/>
      <c r="P2143" s="38"/>
      <c r="Q2143" s="38"/>
      <c r="R2143" s="38"/>
      <c r="S2143" s="38"/>
      <c r="T2143" s="38"/>
      <c r="U2143" s="38"/>
      <c r="V2143" s="38"/>
      <c r="W2143" s="38"/>
      <c r="X2143" s="38"/>
      <c r="Y2143" s="49"/>
      <c r="Z2143" s="49"/>
      <c r="BP2143" s="293"/>
    </row>
    <row r="2144" spans="12:68">
      <c r="L2144" s="296"/>
      <c r="M2144" s="30"/>
      <c r="N2144" s="38"/>
      <c r="O2144" s="38"/>
      <c r="P2144" s="38"/>
      <c r="Q2144" s="38"/>
      <c r="R2144" s="38"/>
      <c r="S2144" s="38"/>
      <c r="T2144" s="38"/>
      <c r="U2144" s="38"/>
      <c r="V2144" s="38"/>
      <c r="W2144" s="38"/>
      <c r="X2144" s="38"/>
      <c r="Y2144" s="49"/>
      <c r="Z2144" s="49"/>
      <c r="BP2144" s="293"/>
    </row>
    <row r="2145" spans="12:68">
      <c r="L2145" s="296"/>
      <c r="M2145" s="30"/>
      <c r="N2145" s="38"/>
      <c r="O2145" s="38"/>
      <c r="P2145" s="38"/>
      <c r="Q2145" s="38"/>
      <c r="R2145" s="38"/>
      <c r="S2145" s="38"/>
      <c r="T2145" s="38"/>
      <c r="U2145" s="38"/>
      <c r="V2145" s="38"/>
      <c r="W2145" s="38"/>
      <c r="X2145" s="38"/>
      <c r="Y2145" s="49"/>
      <c r="Z2145" s="49"/>
      <c r="BP2145" s="293"/>
    </row>
    <row r="2146" spans="12:68">
      <c r="L2146" s="296"/>
      <c r="M2146" s="30"/>
      <c r="N2146" s="38"/>
      <c r="O2146" s="38"/>
      <c r="P2146" s="38"/>
      <c r="Q2146" s="38"/>
      <c r="R2146" s="38"/>
      <c r="S2146" s="38"/>
      <c r="T2146" s="38"/>
      <c r="U2146" s="38"/>
      <c r="V2146" s="38"/>
      <c r="W2146" s="38"/>
      <c r="X2146" s="38"/>
      <c r="Y2146" s="49"/>
      <c r="Z2146" s="49"/>
      <c r="BP2146" s="293"/>
    </row>
    <row r="2147" spans="12:68">
      <c r="L2147" s="296"/>
      <c r="M2147" s="30"/>
      <c r="N2147" s="38"/>
      <c r="O2147" s="38"/>
      <c r="P2147" s="38"/>
      <c r="Q2147" s="38"/>
      <c r="R2147" s="38"/>
      <c r="S2147" s="38"/>
      <c r="T2147" s="38"/>
      <c r="U2147" s="38"/>
      <c r="V2147" s="38"/>
      <c r="W2147" s="38"/>
      <c r="X2147" s="38"/>
      <c r="Y2147" s="49"/>
      <c r="Z2147" s="49"/>
      <c r="BP2147" s="293"/>
    </row>
    <row r="2148" spans="12:68">
      <c r="L2148" s="296"/>
      <c r="M2148" s="30"/>
      <c r="N2148" s="38"/>
      <c r="O2148" s="38"/>
      <c r="P2148" s="38"/>
      <c r="Q2148" s="38"/>
      <c r="R2148" s="38"/>
      <c r="S2148" s="38"/>
      <c r="T2148" s="38"/>
      <c r="U2148" s="38"/>
      <c r="V2148" s="38"/>
      <c r="W2148" s="38"/>
      <c r="X2148" s="38"/>
      <c r="Y2148" s="49"/>
      <c r="Z2148" s="49"/>
      <c r="BP2148" s="293"/>
    </row>
    <row r="2149" spans="12:68">
      <c r="L2149" s="296"/>
      <c r="M2149" s="30"/>
      <c r="N2149" s="38"/>
      <c r="O2149" s="38"/>
      <c r="P2149" s="38"/>
      <c r="Q2149" s="38"/>
      <c r="R2149" s="38"/>
      <c r="S2149" s="38"/>
      <c r="T2149" s="38"/>
      <c r="U2149" s="38"/>
      <c r="V2149" s="38"/>
      <c r="W2149" s="38"/>
      <c r="X2149" s="38"/>
      <c r="Y2149" s="49"/>
      <c r="Z2149" s="49"/>
      <c r="BP2149" s="293"/>
    </row>
    <row r="2150" spans="12:68">
      <c r="L2150" s="296"/>
      <c r="M2150" s="30"/>
      <c r="N2150" s="38"/>
      <c r="O2150" s="38"/>
      <c r="P2150" s="38"/>
      <c r="Q2150" s="38"/>
      <c r="R2150" s="38"/>
      <c r="S2150" s="38"/>
      <c r="T2150" s="38"/>
      <c r="U2150" s="38"/>
      <c r="V2150" s="38"/>
      <c r="W2150" s="38"/>
      <c r="X2150" s="38"/>
      <c r="Y2150" s="49"/>
      <c r="Z2150" s="49"/>
      <c r="BP2150" s="293"/>
    </row>
    <row r="2151" spans="12:68">
      <c r="L2151" s="296"/>
      <c r="M2151" s="30"/>
      <c r="N2151" s="38"/>
      <c r="O2151" s="38"/>
      <c r="P2151" s="38"/>
      <c r="Q2151" s="38"/>
      <c r="R2151" s="38"/>
      <c r="S2151" s="38"/>
      <c r="T2151" s="38"/>
      <c r="U2151" s="38"/>
      <c r="V2151" s="38"/>
      <c r="W2151" s="38"/>
      <c r="X2151" s="38"/>
      <c r="Y2151" s="49"/>
      <c r="Z2151" s="49"/>
      <c r="BP2151" s="293"/>
    </row>
    <row r="2152" spans="12:68">
      <c r="L2152" s="296"/>
      <c r="M2152" s="30"/>
      <c r="N2152" s="38"/>
      <c r="O2152" s="38"/>
      <c r="P2152" s="38"/>
      <c r="Q2152" s="38"/>
      <c r="R2152" s="38"/>
      <c r="S2152" s="38"/>
      <c r="T2152" s="38"/>
      <c r="U2152" s="38"/>
      <c r="V2152" s="38"/>
      <c r="W2152" s="38"/>
      <c r="X2152" s="38"/>
      <c r="Y2152" s="49"/>
      <c r="Z2152" s="49"/>
      <c r="BP2152" s="293"/>
    </row>
    <row r="2153" spans="12:68">
      <c r="L2153" s="296"/>
      <c r="M2153" s="30"/>
      <c r="N2153" s="38"/>
      <c r="O2153" s="38"/>
      <c r="P2153" s="38"/>
      <c r="Q2153" s="38"/>
      <c r="R2153" s="38"/>
      <c r="S2153" s="38"/>
      <c r="T2153" s="38"/>
      <c r="U2153" s="38"/>
      <c r="V2153" s="38"/>
      <c r="W2153" s="38"/>
      <c r="X2153" s="38"/>
      <c r="Y2153" s="49"/>
      <c r="Z2153" s="49"/>
      <c r="BP2153" s="293"/>
    </row>
    <row r="2154" spans="12:68">
      <c r="L2154" s="296"/>
      <c r="M2154" s="30"/>
      <c r="N2154" s="38"/>
      <c r="O2154" s="38"/>
      <c r="P2154" s="38"/>
      <c r="Q2154" s="38"/>
      <c r="R2154" s="38"/>
      <c r="S2154" s="38"/>
      <c r="T2154" s="38"/>
      <c r="U2154" s="38"/>
      <c r="V2154" s="38"/>
      <c r="W2154" s="38"/>
      <c r="X2154" s="38"/>
      <c r="Y2154" s="49"/>
      <c r="Z2154" s="49"/>
      <c r="BP2154" s="293"/>
    </row>
    <row r="2155" spans="12:68">
      <c r="L2155" s="296"/>
      <c r="M2155" s="30"/>
      <c r="N2155" s="38"/>
      <c r="O2155" s="38"/>
      <c r="P2155" s="38"/>
      <c r="Q2155" s="38"/>
      <c r="R2155" s="38"/>
      <c r="S2155" s="38"/>
      <c r="T2155" s="38"/>
      <c r="U2155" s="38"/>
      <c r="V2155" s="38"/>
      <c r="W2155" s="38"/>
      <c r="X2155" s="38"/>
      <c r="Y2155" s="49"/>
      <c r="Z2155" s="49"/>
      <c r="BP2155" s="293"/>
    </row>
    <row r="2156" spans="12:68">
      <c r="L2156" s="296"/>
      <c r="M2156" s="30"/>
      <c r="N2156" s="38"/>
      <c r="O2156" s="38"/>
      <c r="P2156" s="38"/>
      <c r="Q2156" s="38"/>
      <c r="R2156" s="38"/>
      <c r="S2156" s="38"/>
      <c r="T2156" s="38"/>
      <c r="U2156" s="38"/>
      <c r="V2156" s="38"/>
      <c r="W2156" s="38"/>
      <c r="X2156" s="38"/>
      <c r="Y2156" s="49"/>
      <c r="Z2156" s="49"/>
      <c r="BP2156" s="293"/>
    </row>
    <row r="2157" spans="12:68">
      <c r="L2157" s="296"/>
      <c r="M2157" s="30"/>
      <c r="N2157" s="38"/>
      <c r="O2157" s="38"/>
      <c r="P2157" s="38"/>
      <c r="Q2157" s="38"/>
      <c r="R2157" s="38"/>
      <c r="S2157" s="38"/>
      <c r="T2157" s="38"/>
      <c r="U2157" s="38"/>
      <c r="V2157" s="38"/>
      <c r="W2157" s="38"/>
      <c r="X2157" s="38"/>
      <c r="Y2157" s="49"/>
      <c r="Z2157" s="49"/>
      <c r="BP2157" s="293"/>
    </row>
    <row r="2158" spans="12:68">
      <c r="L2158" s="296"/>
      <c r="M2158" s="30"/>
      <c r="N2158" s="38"/>
      <c r="O2158" s="38"/>
      <c r="P2158" s="38"/>
      <c r="Q2158" s="38"/>
      <c r="R2158" s="38"/>
      <c r="S2158" s="38"/>
      <c r="T2158" s="38"/>
      <c r="U2158" s="38"/>
      <c r="V2158" s="38"/>
      <c r="W2158" s="38"/>
      <c r="X2158" s="38"/>
      <c r="Y2158" s="49"/>
      <c r="Z2158" s="49"/>
      <c r="BP2158" s="293"/>
    </row>
    <row r="2159" spans="12:68">
      <c r="L2159" s="296"/>
      <c r="M2159" s="30"/>
      <c r="N2159" s="38"/>
      <c r="O2159" s="38"/>
      <c r="P2159" s="38"/>
      <c r="Q2159" s="38"/>
      <c r="R2159" s="38"/>
      <c r="S2159" s="38"/>
      <c r="T2159" s="38"/>
      <c r="U2159" s="38"/>
      <c r="V2159" s="38"/>
      <c r="W2159" s="38"/>
      <c r="X2159" s="38"/>
      <c r="Y2159" s="49"/>
      <c r="Z2159" s="49"/>
      <c r="BP2159" s="293"/>
    </row>
    <row r="2160" spans="12:68">
      <c r="L2160" s="296"/>
      <c r="M2160" s="30"/>
      <c r="N2160" s="38"/>
      <c r="O2160" s="38"/>
      <c r="P2160" s="38"/>
      <c r="Q2160" s="38"/>
      <c r="R2160" s="38"/>
      <c r="S2160" s="38"/>
      <c r="T2160" s="38"/>
      <c r="U2160" s="38"/>
      <c r="V2160" s="38"/>
      <c r="W2160" s="38"/>
      <c r="X2160" s="38"/>
      <c r="Y2160" s="49"/>
      <c r="Z2160" s="49"/>
      <c r="BP2160" s="293"/>
    </row>
    <row r="2161" spans="12:68">
      <c r="L2161" s="296"/>
      <c r="M2161" s="30"/>
      <c r="N2161" s="38"/>
      <c r="O2161" s="38"/>
      <c r="P2161" s="38"/>
      <c r="Q2161" s="38"/>
      <c r="R2161" s="38"/>
      <c r="S2161" s="38"/>
      <c r="T2161" s="38"/>
      <c r="U2161" s="38"/>
      <c r="V2161" s="38"/>
      <c r="W2161" s="38"/>
      <c r="X2161" s="38"/>
      <c r="Y2161" s="49"/>
      <c r="Z2161" s="49"/>
      <c r="BP2161" s="293"/>
    </row>
    <row r="2162" spans="12:68">
      <c r="L2162" s="296"/>
      <c r="M2162" s="30"/>
      <c r="N2162" s="38"/>
      <c r="O2162" s="38"/>
      <c r="P2162" s="38"/>
      <c r="Q2162" s="38"/>
      <c r="R2162" s="38"/>
      <c r="S2162" s="38"/>
      <c r="T2162" s="38"/>
      <c r="U2162" s="38"/>
      <c r="V2162" s="38"/>
      <c r="W2162" s="38"/>
      <c r="X2162" s="38"/>
      <c r="Y2162" s="49"/>
      <c r="Z2162" s="49"/>
      <c r="BP2162" s="293"/>
    </row>
    <row r="2163" spans="12:68">
      <c r="L2163" s="296"/>
      <c r="M2163" s="30"/>
      <c r="N2163" s="38"/>
      <c r="O2163" s="38"/>
      <c r="P2163" s="38"/>
      <c r="Q2163" s="38"/>
      <c r="R2163" s="38"/>
      <c r="S2163" s="38"/>
      <c r="T2163" s="38"/>
      <c r="U2163" s="38"/>
      <c r="V2163" s="38"/>
      <c r="W2163" s="38"/>
      <c r="X2163" s="38"/>
      <c r="Y2163" s="49"/>
      <c r="Z2163" s="49"/>
      <c r="BP2163" s="293"/>
    </row>
    <row r="2164" spans="12:68">
      <c r="L2164" s="296"/>
      <c r="M2164" s="30"/>
      <c r="N2164" s="38"/>
      <c r="O2164" s="38"/>
      <c r="P2164" s="38"/>
      <c r="Q2164" s="38"/>
      <c r="R2164" s="38"/>
      <c r="S2164" s="38"/>
      <c r="T2164" s="38"/>
      <c r="U2164" s="38"/>
      <c r="V2164" s="38"/>
      <c r="W2164" s="38"/>
      <c r="X2164" s="38"/>
      <c r="Y2164" s="49"/>
      <c r="Z2164" s="49"/>
      <c r="BP2164" s="293"/>
    </row>
    <row r="2165" spans="12:68">
      <c r="L2165" s="296"/>
      <c r="M2165" s="30"/>
      <c r="N2165" s="38"/>
      <c r="O2165" s="38"/>
      <c r="P2165" s="38"/>
      <c r="Q2165" s="38"/>
      <c r="R2165" s="38"/>
      <c r="S2165" s="38"/>
      <c r="T2165" s="38"/>
      <c r="U2165" s="38"/>
      <c r="V2165" s="38"/>
      <c r="W2165" s="38"/>
      <c r="X2165" s="38"/>
      <c r="Y2165" s="49"/>
      <c r="Z2165" s="49"/>
      <c r="BP2165" s="293"/>
    </row>
    <row r="2166" spans="12:68">
      <c r="L2166" s="296"/>
      <c r="M2166" s="30"/>
      <c r="N2166" s="38"/>
      <c r="O2166" s="38"/>
      <c r="P2166" s="38"/>
      <c r="Q2166" s="38"/>
      <c r="R2166" s="38"/>
      <c r="S2166" s="38"/>
      <c r="T2166" s="38"/>
      <c r="U2166" s="38"/>
      <c r="V2166" s="38"/>
      <c r="W2166" s="38"/>
      <c r="X2166" s="38"/>
      <c r="Y2166" s="49"/>
      <c r="Z2166" s="49"/>
      <c r="BP2166" s="293"/>
    </row>
    <row r="2167" spans="12:68">
      <c r="L2167" s="296"/>
      <c r="M2167" s="30"/>
      <c r="N2167" s="38"/>
      <c r="O2167" s="38"/>
      <c r="P2167" s="38"/>
      <c r="Q2167" s="38"/>
      <c r="R2167" s="38"/>
      <c r="S2167" s="38"/>
      <c r="T2167" s="38"/>
      <c r="U2167" s="38"/>
      <c r="V2167" s="38"/>
      <c r="W2167" s="38"/>
      <c r="X2167" s="38"/>
      <c r="Y2167" s="49"/>
      <c r="Z2167" s="49"/>
      <c r="BP2167" s="293"/>
    </row>
    <row r="2168" spans="12:68">
      <c r="L2168" s="296"/>
      <c r="M2168" s="30"/>
      <c r="N2168" s="38"/>
      <c r="O2168" s="38"/>
      <c r="P2168" s="38"/>
      <c r="Q2168" s="38"/>
      <c r="R2168" s="38"/>
      <c r="S2168" s="38"/>
      <c r="T2168" s="38"/>
      <c r="U2168" s="38"/>
      <c r="V2168" s="38"/>
      <c r="W2168" s="38"/>
      <c r="X2168" s="38"/>
      <c r="Y2168" s="49"/>
      <c r="Z2168" s="49"/>
      <c r="BP2168" s="293"/>
    </row>
    <row r="2169" spans="12:68">
      <c r="L2169" s="296"/>
      <c r="M2169" s="30"/>
      <c r="N2169" s="38"/>
      <c r="O2169" s="38"/>
      <c r="P2169" s="38"/>
      <c r="Q2169" s="38"/>
      <c r="R2169" s="38"/>
      <c r="S2169" s="38"/>
      <c r="T2169" s="38"/>
      <c r="U2169" s="38"/>
      <c r="V2169" s="38"/>
      <c r="W2169" s="38"/>
      <c r="X2169" s="38"/>
      <c r="Y2169" s="49"/>
      <c r="Z2169" s="49"/>
      <c r="BP2169" s="293"/>
    </row>
    <row r="2170" spans="12:68">
      <c r="L2170" s="296"/>
      <c r="M2170" s="30"/>
      <c r="N2170" s="38"/>
      <c r="O2170" s="38"/>
      <c r="P2170" s="38"/>
      <c r="Q2170" s="38"/>
      <c r="R2170" s="38"/>
      <c r="S2170" s="38"/>
      <c r="T2170" s="38"/>
      <c r="U2170" s="38"/>
      <c r="V2170" s="38"/>
      <c r="W2170" s="38"/>
      <c r="X2170" s="38"/>
      <c r="Y2170" s="49"/>
      <c r="Z2170" s="49"/>
      <c r="BP2170" s="293"/>
    </row>
    <row r="2171" spans="12:68">
      <c r="L2171" s="296"/>
      <c r="M2171" s="30"/>
      <c r="N2171" s="38"/>
      <c r="O2171" s="38"/>
      <c r="P2171" s="38"/>
      <c r="Q2171" s="38"/>
      <c r="R2171" s="38"/>
      <c r="S2171" s="38"/>
      <c r="T2171" s="38"/>
      <c r="U2171" s="38"/>
      <c r="V2171" s="38"/>
      <c r="W2171" s="38"/>
      <c r="X2171" s="38"/>
      <c r="Y2171" s="49"/>
      <c r="Z2171" s="49"/>
      <c r="BP2171" s="293"/>
    </row>
    <row r="2172" spans="12:68">
      <c r="L2172" s="296"/>
      <c r="M2172" s="30"/>
      <c r="N2172" s="38"/>
      <c r="O2172" s="38"/>
      <c r="P2172" s="38"/>
      <c r="Q2172" s="38"/>
      <c r="R2172" s="38"/>
      <c r="S2172" s="38"/>
      <c r="T2172" s="38"/>
      <c r="U2172" s="38"/>
      <c r="V2172" s="38"/>
      <c r="W2172" s="38"/>
      <c r="X2172" s="38"/>
      <c r="Y2172" s="49"/>
      <c r="Z2172" s="49"/>
      <c r="BP2172" s="293"/>
    </row>
    <row r="2173" spans="12:68">
      <c r="L2173" s="296"/>
      <c r="M2173" s="30"/>
      <c r="N2173" s="38"/>
      <c r="O2173" s="38"/>
      <c r="P2173" s="38"/>
      <c r="Q2173" s="38"/>
      <c r="R2173" s="38"/>
      <c r="S2173" s="38"/>
      <c r="T2173" s="38"/>
      <c r="U2173" s="38"/>
      <c r="V2173" s="38"/>
      <c r="W2173" s="38"/>
      <c r="X2173" s="38"/>
      <c r="Y2173" s="49"/>
      <c r="Z2173" s="49"/>
      <c r="BP2173" s="293"/>
    </row>
    <row r="2174" spans="12:68">
      <c r="L2174" s="296"/>
      <c r="M2174" s="30"/>
      <c r="N2174" s="38"/>
      <c r="O2174" s="38"/>
      <c r="P2174" s="38"/>
      <c r="Q2174" s="38"/>
      <c r="R2174" s="38"/>
      <c r="S2174" s="38"/>
      <c r="T2174" s="38"/>
      <c r="U2174" s="38"/>
      <c r="V2174" s="38"/>
      <c r="W2174" s="38"/>
      <c r="X2174" s="38"/>
      <c r="Y2174" s="49"/>
      <c r="Z2174" s="49"/>
      <c r="BP2174" s="293"/>
    </row>
    <row r="2175" spans="12:68">
      <c r="L2175" s="296"/>
      <c r="M2175" s="30"/>
      <c r="N2175" s="38"/>
      <c r="O2175" s="38"/>
      <c r="P2175" s="38"/>
      <c r="Q2175" s="38"/>
      <c r="R2175" s="38"/>
      <c r="S2175" s="38"/>
      <c r="T2175" s="38"/>
      <c r="U2175" s="38"/>
      <c r="V2175" s="38"/>
      <c r="W2175" s="38"/>
      <c r="X2175" s="38"/>
      <c r="Y2175" s="49"/>
      <c r="Z2175" s="49"/>
      <c r="BP2175" s="293"/>
    </row>
    <row r="2176" spans="12:68">
      <c r="L2176" s="296"/>
      <c r="M2176" s="30"/>
      <c r="N2176" s="38"/>
      <c r="O2176" s="38"/>
      <c r="P2176" s="38"/>
      <c r="Q2176" s="38"/>
      <c r="R2176" s="38"/>
      <c r="S2176" s="38"/>
      <c r="T2176" s="38"/>
      <c r="U2176" s="38"/>
      <c r="V2176" s="38"/>
      <c r="W2176" s="38"/>
      <c r="X2176" s="38"/>
      <c r="Y2176" s="49"/>
      <c r="Z2176" s="49"/>
      <c r="BP2176" s="293"/>
    </row>
    <row r="2177" spans="12:68">
      <c r="L2177" s="296"/>
      <c r="M2177" s="30"/>
      <c r="N2177" s="38"/>
      <c r="O2177" s="38"/>
      <c r="P2177" s="38"/>
      <c r="Q2177" s="38"/>
      <c r="R2177" s="38"/>
      <c r="S2177" s="38"/>
      <c r="T2177" s="38"/>
      <c r="U2177" s="38"/>
      <c r="V2177" s="38"/>
      <c r="W2177" s="38"/>
      <c r="X2177" s="38"/>
      <c r="Y2177" s="49"/>
      <c r="Z2177" s="49"/>
      <c r="BP2177" s="293"/>
    </row>
    <row r="2178" spans="12:68">
      <c r="L2178" s="296"/>
      <c r="M2178" s="30"/>
      <c r="N2178" s="38"/>
      <c r="O2178" s="38"/>
      <c r="P2178" s="38"/>
      <c r="Q2178" s="38"/>
      <c r="R2178" s="38"/>
      <c r="S2178" s="38"/>
      <c r="T2178" s="38"/>
      <c r="U2178" s="38"/>
      <c r="V2178" s="38"/>
      <c r="W2178" s="38"/>
      <c r="X2178" s="38"/>
      <c r="Y2178" s="49"/>
      <c r="Z2178" s="49"/>
      <c r="BP2178" s="293"/>
    </row>
    <row r="2179" spans="12:68">
      <c r="L2179" s="296"/>
      <c r="M2179" s="30"/>
      <c r="N2179" s="38"/>
      <c r="O2179" s="38"/>
      <c r="P2179" s="38"/>
      <c r="Q2179" s="38"/>
      <c r="R2179" s="38"/>
      <c r="S2179" s="38"/>
      <c r="T2179" s="38"/>
      <c r="U2179" s="38"/>
      <c r="V2179" s="38"/>
      <c r="W2179" s="38"/>
      <c r="X2179" s="38"/>
      <c r="Y2179" s="49"/>
      <c r="Z2179" s="49"/>
      <c r="BP2179" s="293"/>
    </row>
    <row r="2180" spans="12:68">
      <c r="L2180" s="296"/>
      <c r="M2180" s="30"/>
      <c r="N2180" s="38"/>
      <c r="O2180" s="38"/>
      <c r="P2180" s="38"/>
      <c r="Q2180" s="38"/>
      <c r="R2180" s="38"/>
      <c r="S2180" s="38"/>
      <c r="T2180" s="38"/>
      <c r="U2180" s="38"/>
      <c r="V2180" s="38"/>
      <c r="W2180" s="38"/>
      <c r="X2180" s="38"/>
      <c r="Y2180" s="49"/>
      <c r="Z2180" s="49"/>
      <c r="BP2180" s="293"/>
    </row>
    <row r="2181" spans="12:68">
      <c r="L2181" s="296"/>
      <c r="M2181" s="30"/>
      <c r="N2181" s="38"/>
      <c r="O2181" s="38"/>
      <c r="P2181" s="38"/>
      <c r="Q2181" s="38"/>
      <c r="R2181" s="38"/>
      <c r="S2181" s="38"/>
      <c r="T2181" s="38"/>
      <c r="U2181" s="38"/>
      <c r="V2181" s="38"/>
      <c r="W2181" s="38"/>
      <c r="X2181" s="38"/>
      <c r="Y2181" s="49"/>
      <c r="Z2181" s="49"/>
      <c r="BP2181" s="293"/>
    </row>
    <row r="2182" spans="12:68">
      <c r="L2182" s="296"/>
      <c r="M2182" s="30"/>
      <c r="N2182" s="38"/>
      <c r="O2182" s="38"/>
      <c r="P2182" s="38"/>
      <c r="Q2182" s="38"/>
      <c r="R2182" s="38"/>
      <c r="S2182" s="38"/>
      <c r="T2182" s="38"/>
      <c r="U2182" s="38"/>
      <c r="V2182" s="38"/>
      <c r="W2182" s="38"/>
      <c r="X2182" s="38"/>
      <c r="Y2182" s="49"/>
      <c r="Z2182" s="49"/>
      <c r="BP2182" s="293"/>
    </row>
    <row r="2183" spans="12:68">
      <c r="L2183" s="296"/>
      <c r="M2183" s="30"/>
      <c r="N2183" s="38"/>
      <c r="O2183" s="38"/>
      <c r="P2183" s="38"/>
      <c r="Q2183" s="38"/>
      <c r="R2183" s="38"/>
      <c r="S2183" s="38"/>
      <c r="T2183" s="38"/>
      <c r="U2183" s="38"/>
      <c r="V2183" s="38"/>
      <c r="W2183" s="38"/>
      <c r="X2183" s="38"/>
      <c r="Y2183" s="49"/>
      <c r="Z2183" s="49"/>
      <c r="BP2183" s="293"/>
    </row>
    <row r="2184" spans="12:68">
      <c r="L2184" s="296"/>
      <c r="M2184" s="30"/>
      <c r="N2184" s="38"/>
      <c r="O2184" s="38"/>
      <c r="P2184" s="38"/>
      <c r="Q2184" s="38"/>
      <c r="R2184" s="38"/>
      <c r="S2184" s="38"/>
      <c r="T2184" s="38"/>
      <c r="U2184" s="38"/>
      <c r="V2184" s="38"/>
      <c r="W2184" s="38"/>
      <c r="X2184" s="38"/>
      <c r="Y2184" s="49"/>
      <c r="Z2184" s="49"/>
      <c r="BP2184" s="293"/>
    </row>
    <row r="2185" spans="12:68">
      <c r="L2185" s="296"/>
      <c r="M2185" s="30"/>
      <c r="N2185" s="38"/>
      <c r="O2185" s="38"/>
      <c r="P2185" s="38"/>
      <c r="Q2185" s="38"/>
      <c r="R2185" s="38"/>
      <c r="S2185" s="38"/>
      <c r="T2185" s="38"/>
      <c r="U2185" s="38"/>
      <c r="V2185" s="38"/>
      <c r="W2185" s="38"/>
      <c r="X2185" s="38"/>
      <c r="Y2185" s="49"/>
      <c r="Z2185" s="49"/>
      <c r="BP2185" s="293"/>
    </row>
    <row r="2186" spans="12:68">
      <c r="L2186" s="296"/>
      <c r="M2186" s="30"/>
      <c r="N2186" s="38"/>
      <c r="O2186" s="38"/>
      <c r="P2186" s="38"/>
      <c r="Q2186" s="38"/>
      <c r="R2186" s="38"/>
      <c r="S2186" s="38"/>
      <c r="T2186" s="38"/>
      <c r="U2186" s="38"/>
      <c r="V2186" s="38"/>
      <c r="W2186" s="38"/>
      <c r="X2186" s="38"/>
      <c r="Y2186" s="49"/>
      <c r="Z2186" s="49"/>
      <c r="BP2186" s="293"/>
    </row>
    <row r="2187" spans="12:68">
      <c r="L2187" s="296"/>
      <c r="M2187" s="30"/>
      <c r="N2187" s="38"/>
      <c r="O2187" s="38"/>
      <c r="P2187" s="38"/>
      <c r="Q2187" s="38"/>
      <c r="R2187" s="38"/>
      <c r="S2187" s="38"/>
      <c r="T2187" s="38"/>
      <c r="U2187" s="38"/>
      <c r="V2187" s="38"/>
      <c r="W2187" s="38"/>
      <c r="X2187" s="38"/>
      <c r="Y2187" s="49"/>
      <c r="Z2187" s="49"/>
      <c r="BP2187" s="293"/>
    </row>
    <row r="2188" spans="12:68">
      <c r="L2188" s="296"/>
      <c r="M2188" s="30"/>
      <c r="N2188" s="38"/>
      <c r="O2188" s="38"/>
      <c r="P2188" s="38"/>
      <c r="Q2188" s="38"/>
      <c r="R2188" s="38"/>
      <c r="S2188" s="38"/>
      <c r="T2188" s="38"/>
      <c r="U2188" s="38"/>
      <c r="V2188" s="38"/>
      <c r="W2188" s="38"/>
      <c r="X2188" s="38"/>
      <c r="Y2188" s="49"/>
      <c r="Z2188" s="49"/>
      <c r="BP2188" s="293"/>
    </row>
    <row r="2189" spans="12:68">
      <c r="L2189" s="296"/>
      <c r="M2189" s="30"/>
      <c r="N2189" s="38"/>
      <c r="O2189" s="38"/>
      <c r="P2189" s="38"/>
      <c r="Q2189" s="38"/>
      <c r="R2189" s="38"/>
      <c r="S2189" s="38"/>
      <c r="T2189" s="38"/>
      <c r="U2189" s="38"/>
      <c r="V2189" s="38"/>
      <c r="W2189" s="38"/>
      <c r="X2189" s="38"/>
      <c r="Y2189" s="49"/>
      <c r="Z2189" s="49"/>
      <c r="BP2189" s="293"/>
    </row>
    <row r="2190" spans="12:68">
      <c r="L2190" s="296"/>
      <c r="M2190" s="30"/>
      <c r="N2190" s="38"/>
      <c r="O2190" s="38"/>
      <c r="P2190" s="38"/>
      <c r="Q2190" s="38"/>
      <c r="R2190" s="38"/>
      <c r="S2190" s="38"/>
      <c r="T2190" s="38"/>
      <c r="U2190" s="38"/>
      <c r="V2190" s="38"/>
      <c r="W2190" s="38"/>
      <c r="X2190" s="38"/>
      <c r="Y2190" s="49"/>
      <c r="Z2190" s="49"/>
      <c r="BP2190" s="293"/>
    </row>
    <row r="2191" spans="12:68">
      <c r="L2191" s="296"/>
      <c r="M2191" s="30"/>
      <c r="N2191" s="38"/>
      <c r="O2191" s="38"/>
      <c r="P2191" s="38"/>
      <c r="Q2191" s="38"/>
      <c r="R2191" s="38"/>
      <c r="S2191" s="38"/>
      <c r="T2191" s="38"/>
      <c r="U2191" s="38"/>
      <c r="V2191" s="38"/>
      <c r="W2191" s="38"/>
      <c r="X2191" s="38"/>
      <c r="Y2191" s="49"/>
      <c r="Z2191" s="49"/>
      <c r="BP2191" s="293"/>
    </row>
    <row r="2192" spans="12:68">
      <c r="L2192" s="296"/>
      <c r="M2192" s="30"/>
      <c r="N2192" s="38"/>
      <c r="O2192" s="38"/>
      <c r="P2192" s="38"/>
      <c r="Q2192" s="38"/>
      <c r="R2192" s="38"/>
      <c r="S2192" s="38"/>
      <c r="T2192" s="38"/>
      <c r="U2192" s="38"/>
      <c r="V2192" s="38"/>
      <c r="W2192" s="38"/>
      <c r="X2192" s="38"/>
      <c r="Y2192" s="49"/>
      <c r="Z2192" s="49"/>
      <c r="BP2192" s="293"/>
    </row>
    <row r="2193" spans="12:68">
      <c r="L2193" s="296"/>
      <c r="M2193" s="30"/>
      <c r="N2193" s="38"/>
      <c r="O2193" s="38"/>
      <c r="P2193" s="38"/>
      <c r="Q2193" s="38"/>
      <c r="R2193" s="38"/>
      <c r="S2193" s="38"/>
      <c r="T2193" s="38"/>
      <c r="U2193" s="38"/>
      <c r="V2193" s="38"/>
      <c r="W2193" s="38"/>
      <c r="X2193" s="38"/>
      <c r="Y2193" s="49"/>
      <c r="Z2193" s="49"/>
      <c r="BP2193" s="293"/>
    </row>
    <row r="2194" spans="12:68">
      <c r="L2194" s="296"/>
      <c r="M2194" s="30"/>
      <c r="N2194" s="38"/>
      <c r="O2194" s="38"/>
      <c r="P2194" s="38"/>
      <c r="Q2194" s="38"/>
      <c r="R2194" s="38"/>
      <c r="S2194" s="38"/>
      <c r="T2194" s="38"/>
      <c r="U2194" s="38"/>
      <c r="V2194" s="38"/>
      <c r="W2194" s="38"/>
      <c r="X2194" s="38"/>
      <c r="Y2194" s="49"/>
      <c r="Z2194" s="49"/>
      <c r="BP2194" s="293"/>
    </row>
    <row r="2195" spans="12:68">
      <c r="L2195" s="296"/>
      <c r="M2195" s="30"/>
      <c r="N2195" s="38"/>
      <c r="O2195" s="38"/>
      <c r="P2195" s="38"/>
      <c r="Q2195" s="38"/>
      <c r="R2195" s="38"/>
      <c r="S2195" s="38"/>
      <c r="T2195" s="38"/>
      <c r="U2195" s="38"/>
      <c r="V2195" s="38"/>
      <c r="W2195" s="38"/>
      <c r="X2195" s="38"/>
      <c r="Y2195" s="49"/>
      <c r="Z2195" s="49"/>
      <c r="BP2195" s="293"/>
    </row>
    <row r="2196" spans="12:68">
      <c r="L2196" s="296"/>
      <c r="M2196" s="30"/>
      <c r="N2196" s="38"/>
      <c r="O2196" s="38"/>
      <c r="P2196" s="38"/>
      <c r="Q2196" s="38"/>
      <c r="R2196" s="38"/>
      <c r="S2196" s="38"/>
      <c r="T2196" s="38"/>
      <c r="U2196" s="38"/>
      <c r="V2196" s="38"/>
      <c r="W2196" s="38"/>
      <c r="X2196" s="38"/>
      <c r="Y2196" s="49"/>
      <c r="Z2196" s="49"/>
      <c r="BP2196" s="293"/>
    </row>
    <row r="2197" spans="12:68">
      <c r="L2197" s="296"/>
      <c r="M2197" s="30"/>
      <c r="N2197" s="38"/>
      <c r="O2197" s="38"/>
      <c r="P2197" s="38"/>
      <c r="Q2197" s="38"/>
      <c r="R2197" s="38"/>
      <c r="S2197" s="38"/>
      <c r="T2197" s="38"/>
      <c r="U2197" s="38"/>
      <c r="V2197" s="38"/>
      <c r="W2197" s="38"/>
      <c r="X2197" s="38"/>
      <c r="Y2197" s="49"/>
      <c r="Z2197" s="49"/>
      <c r="BP2197" s="293"/>
    </row>
    <row r="2198" spans="12:68">
      <c r="L2198" s="296"/>
      <c r="M2198" s="30"/>
      <c r="N2198" s="38"/>
      <c r="O2198" s="38"/>
      <c r="P2198" s="38"/>
      <c r="Q2198" s="38"/>
      <c r="R2198" s="38"/>
      <c r="S2198" s="38"/>
      <c r="T2198" s="38"/>
      <c r="U2198" s="38"/>
      <c r="V2198" s="38"/>
      <c r="W2198" s="38"/>
      <c r="X2198" s="38"/>
      <c r="Y2198" s="49"/>
      <c r="Z2198" s="49"/>
      <c r="BP2198" s="293"/>
    </row>
    <row r="2199" spans="12:68">
      <c r="L2199" s="296"/>
      <c r="M2199" s="30"/>
      <c r="N2199" s="38"/>
      <c r="O2199" s="38"/>
      <c r="P2199" s="38"/>
      <c r="Q2199" s="38"/>
      <c r="R2199" s="38"/>
      <c r="S2199" s="38"/>
      <c r="T2199" s="38"/>
      <c r="U2199" s="38"/>
      <c r="V2199" s="38"/>
      <c r="W2199" s="38"/>
      <c r="X2199" s="38"/>
      <c r="Y2199" s="49"/>
      <c r="Z2199" s="49"/>
      <c r="BP2199" s="293"/>
    </row>
    <row r="2200" spans="12:68">
      <c r="L2200" s="296"/>
      <c r="M2200" s="30"/>
      <c r="N2200" s="38"/>
      <c r="O2200" s="38"/>
      <c r="P2200" s="38"/>
      <c r="Q2200" s="38"/>
      <c r="R2200" s="38"/>
      <c r="S2200" s="38"/>
      <c r="T2200" s="38"/>
      <c r="U2200" s="38"/>
      <c r="V2200" s="38"/>
      <c r="W2200" s="38"/>
      <c r="X2200" s="38"/>
      <c r="Y2200" s="49"/>
      <c r="Z2200" s="49"/>
      <c r="BP2200" s="293"/>
    </row>
    <row r="2201" spans="12:68">
      <c r="L2201" s="296"/>
      <c r="M2201" s="30"/>
      <c r="N2201" s="38"/>
      <c r="O2201" s="38"/>
      <c r="P2201" s="38"/>
      <c r="Q2201" s="38"/>
      <c r="R2201" s="38"/>
      <c r="S2201" s="38"/>
      <c r="T2201" s="38"/>
      <c r="U2201" s="38"/>
      <c r="V2201" s="38"/>
      <c r="W2201" s="38"/>
      <c r="X2201" s="38"/>
      <c r="Y2201" s="49"/>
      <c r="Z2201" s="49"/>
      <c r="BP2201" s="293"/>
    </row>
    <row r="2202" spans="12:68">
      <c r="L2202" s="296"/>
      <c r="M2202" s="30"/>
      <c r="N2202" s="38"/>
      <c r="O2202" s="38"/>
      <c r="P2202" s="38"/>
      <c r="Q2202" s="38"/>
      <c r="R2202" s="38"/>
      <c r="S2202" s="38"/>
      <c r="T2202" s="38"/>
      <c r="U2202" s="38"/>
      <c r="V2202" s="38"/>
      <c r="W2202" s="38"/>
      <c r="X2202" s="38"/>
      <c r="Y2202" s="49"/>
      <c r="Z2202" s="49"/>
      <c r="BP2202" s="293"/>
    </row>
    <row r="2203" spans="12:68">
      <c r="L2203" s="296"/>
      <c r="M2203" s="30"/>
      <c r="N2203" s="38"/>
      <c r="O2203" s="38"/>
      <c r="P2203" s="38"/>
      <c r="Q2203" s="38"/>
      <c r="R2203" s="38"/>
      <c r="S2203" s="38"/>
      <c r="T2203" s="38"/>
      <c r="U2203" s="38"/>
      <c r="V2203" s="38"/>
      <c r="W2203" s="38"/>
      <c r="X2203" s="38"/>
      <c r="Y2203" s="49"/>
      <c r="Z2203" s="49"/>
      <c r="BP2203" s="293"/>
    </row>
    <row r="2204" spans="12:68">
      <c r="L2204" s="296"/>
      <c r="M2204" s="30"/>
      <c r="N2204" s="38"/>
      <c r="O2204" s="38"/>
      <c r="P2204" s="38"/>
      <c r="Q2204" s="38"/>
      <c r="R2204" s="38"/>
      <c r="S2204" s="38"/>
      <c r="T2204" s="38"/>
      <c r="U2204" s="38"/>
      <c r="V2204" s="38"/>
      <c r="W2204" s="38"/>
      <c r="X2204" s="38"/>
      <c r="Y2204" s="49"/>
      <c r="Z2204" s="49"/>
      <c r="BP2204" s="293"/>
    </row>
    <row r="2205" spans="12:68">
      <c r="L2205" s="296"/>
      <c r="M2205" s="30"/>
      <c r="N2205" s="38"/>
      <c r="O2205" s="38"/>
      <c r="P2205" s="38"/>
      <c r="Q2205" s="38"/>
      <c r="R2205" s="38"/>
      <c r="S2205" s="38"/>
      <c r="T2205" s="38"/>
      <c r="U2205" s="38"/>
      <c r="V2205" s="38"/>
      <c r="W2205" s="38"/>
      <c r="X2205" s="38"/>
      <c r="Y2205" s="49"/>
      <c r="Z2205" s="49"/>
      <c r="BP2205" s="293"/>
    </row>
    <row r="2206" spans="12:68">
      <c r="L2206" s="296"/>
      <c r="M2206" s="30"/>
      <c r="N2206" s="38"/>
      <c r="O2206" s="38"/>
      <c r="P2206" s="38"/>
      <c r="Q2206" s="38"/>
      <c r="R2206" s="38"/>
      <c r="S2206" s="38"/>
      <c r="T2206" s="38"/>
      <c r="U2206" s="38"/>
      <c r="V2206" s="38"/>
      <c r="W2206" s="38"/>
      <c r="X2206" s="38"/>
      <c r="Y2206" s="49"/>
      <c r="Z2206" s="49"/>
      <c r="BP2206" s="293"/>
    </row>
    <row r="2207" spans="12:68">
      <c r="L2207" s="296"/>
      <c r="M2207" s="30"/>
      <c r="N2207" s="38"/>
      <c r="O2207" s="38"/>
      <c r="P2207" s="38"/>
      <c r="Q2207" s="38"/>
      <c r="R2207" s="38"/>
      <c r="S2207" s="38"/>
      <c r="T2207" s="38"/>
      <c r="U2207" s="38"/>
      <c r="V2207" s="38"/>
      <c r="W2207" s="38"/>
      <c r="X2207" s="38"/>
      <c r="Y2207" s="49"/>
      <c r="Z2207" s="49"/>
      <c r="BP2207" s="293"/>
    </row>
    <row r="2208" spans="12:68">
      <c r="L2208" s="296"/>
      <c r="M2208" s="30"/>
      <c r="N2208" s="38"/>
      <c r="O2208" s="38"/>
      <c r="P2208" s="38"/>
      <c r="Q2208" s="38"/>
      <c r="R2208" s="38"/>
      <c r="S2208" s="38"/>
      <c r="T2208" s="38"/>
      <c r="U2208" s="38"/>
      <c r="V2208" s="38"/>
      <c r="W2208" s="38"/>
      <c r="X2208" s="38"/>
      <c r="Y2208" s="49"/>
      <c r="Z2208" s="49"/>
      <c r="BP2208" s="293"/>
    </row>
    <row r="2209" spans="12:68">
      <c r="L2209" s="296"/>
      <c r="M2209" s="30"/>
      <c r="N2209" s="38"/>
      <c r="O2209" s="38"/>
      <c r="P2209" s="38"/>
      <c r="Q2209" s="38"/>
      <c r="R2209" s="38"/>
      <c r="S2209" s="38"/>
      <c r="T2209" s="38"/>
      <c r="U2209" s="38"/>
      <c r="V2209" s="38"/>
      <c r="W2209" s="38"/>
      <c r="X2209" s="38"/>
      <c r="Y2209" s="49"/>
      <c r="Z2209" s="49"/>
      <c r="BP2209" s="293"/>
    </row>
    <row r="2210" spans="12:68">
      <c r="L2210" s="296"/>
      <c r="M2210" s="30"/>
      <c r="N2210" s="38"/>
      <c r="O2210" s="38"/>
      <c r="P2210" s="38"/>
      <c r="Q2210" s="38"/>
      <c r="R2210" s="38"/>
      <c r="S2210" s="38"/>
      <c r="T2210" s="38"/>
      <c r="U2210" s="38"/>
      <c r="V2210" s="38"/>
      <c r="W2210" s="38"/>
      <c r="X2210" s="38"/>
      <c r="Y2210" s="49"/>
      <c r="Z2210" s="49"/>
      <c r="BP2210" s="293"/>
    </row>
    <row r="2211" spans="12:68">
      <c r="L2211" s="296"/>
      <c r="M2211" s="30"/>
      <c r="N2211" s="38"/>
      <c r="O2211" s="38"/>
      <c r="P2211" s="38"/>
      <c r="Q2211" s="38"/>
      <c r="R2211" s="38"/>
      <c r="S2211" s="38"/>
      <c r="T2211" s="38"/>
      <c r="U2211" s="38"/>
      <c r="V2211" s="38"/>
      <c r="W2211" s="38"/>
      <c r="X2211" s="38"/>
      <c r="Y2211" s="49"/>
      <c r="Z2211" s="49"/>
      <c r="BP2211" s="293"/>
    </row>
    <row r="2212" spans="12:68">
      <c r="L2212" s="296"/>
      <c r="M2212" s="30"/>
      <c r="N2212" s="38"/>
      <c r="O2212" s="38"/>
      <c r="P2212" s="38"/>
      <c r="Q2212" s="38"/>
      <c r="R2212" s="38"/>
      <c r="S2212" s="38"/>
      <c r="T2212" s="38"/>
      <c r="U2212" s="38"/>
      <c r="V2212" s="38"/>
      <c r="W2212" s="38"/>
      <c r="X2212" s="38"/>
      <c r="Y2212" s="49"/>
      <c r="Z2212" s="49"/>
      <c r="BP2212" s="293"/>
    </row>
    <row r="2213" spans="12:68">
      <c r="L2213" s="296"/>
      <c r="M2213" s="30"/>
      <c r="N2213" s="38"/>
      <c r="O2213" s="38"/>
      <c r="P2213" s="38"/>
      <c r="Q2213" s="38"/>
      <c r="R2213" s="38"/>
      <c r="S2213" s="38"/>
      <c r="T2213" s="38"/>
      <c r="U2213" s="38"/>
      <c r="V2213" s="38"/>
      <c r="W2213" s="38"/>
      <c r="X2213" s="38"/>
      <c r="Y2213" s="49"/>
      <c r="Z2213" s="49"/>
      <c r="BP2213" s="293"/>
    </row>
    <row r="2214" spans="12:68">
      <c r="L2214" s="296"/>
      <c r="M2214" s="30"/>
      <c r="N2214" s="38"/>
      <c r="O2214" s="38"/>
      <c r="P2214" s="38"/>
      <c r="Q2214" s="38"/>
      <c r="R2214" s="38"/>
      <c r="S2214" s="38"/>
      <c r="T2214" s="38"/>
      <c r="U2214" s="38"/>
      <c r="V2214" s="38"/>
      <c r="W2214" s="38"/>
      <c r="X2214" s="38"/>
      <c r="Y2214" s="49"/>
      <c r="Z2214" s="49"/>
      <c r="BP2214" s="293"/>
    </row>
    <row r="2215" spans="12:68">
      <c r="L2215" s="296"/>
      <c r="M2215" s="30"/>
      <c r="N2215" s="38"/>
      <c r="O2215" s="38"/>
      <c r="P2215" s="38"/>
      <c r="Q2215" s="38"/>
      <c r="R2215" s="38"/>
      <c r="S2215" s="38"/>
      <c r="T2215" s="38"/>
      <c r="U2215" s="38"/>
      <c r="V2215" s="38"/>
      <c r="W2215" s="38"/>
      <c r="X2215" s="38"/>
      <c r="Y2215" s="49"/>
      <c r="Z2215" s="49"/>
      <c r="BP2215" s="293"/>
    </row>
    <row r="2216" spans="12:68">
      <c r="L2216" s="296"/>
      <c r="M2216" s="30"/>
      <c r="N2216" s="38"/>
      <c r="O2216" s="38"/>
      <c r="P2216" s="38"/>
      <c r="Q2216" s="38"/>
      <c r="R2216" s="38"/>
      <c r="S2216" s="38"/>
      <c r="T2216" s="38"/>
      <c r="U2216" s="38"/>
      <c r="V2216" s="38"/>
      <c r="W2216" s="38"/>
      <c r="X2216" s="38"/>
      <c r="Y2216" s="49"/>
      <c r="Z2216" s="49"/>
      <c r="BP2216" s="293"/>
    </row>
    <row r="2217" spans="12:68">
      <c r="L2217" s="296"/>
      <c r="M2217" s="30"/>
      <c r="N2217" s="38"/>
      <c r="O2217" s="38"/>
      <c r="P2217" s="38"/>
      <c r="Q2217" s="38"/>
      <c r="R2217" s="38"/>
      <c r="S2217" s="38"/>
      <c r="T2217" s="38"/>
      <c r="U2217" s="38"/>
      <c r="V2217" s="38"/>
      <c r="W2217" s="38"/>
      <c r="X2217" s="38"/>
      <c r="Y2217" s="49"/>
      <c r="Z2217" s="49"/>
      <c r="BP2217" s="293"/>
    </row>
    <row r="2218" spans="12:68">
      <c r="L2218" s="296"/>
      <c r="M2218" s="30"/>
      <c r="N2218" s="38"/>
      <c r="O2218" s="38"/>
      <c r="P2218" s="38"/>
      <c r="Q2218" s="38"/>
      <c r="R2218" s="38"/>
      <c r="S2218" s="38"/>
      <c r="T2218" s="38"/>
      <c r="U2218" s="38"/>
      <c r="V2218" s="38"/>
      <c r="W2218" s="38"/>
      <c r="X2218" s="38"/>
      <c r="Y2218" s="49"/>
      <c r="Z2218" s="49"/>
      <c r="BP2218" s="293"/>
    </row>
    <row r="2219" spans="12:68">
      <c r="L2219" s="296"/>
      <c r="M2219" s="30"/>
      <c r="N2219" s="38"/>
      <c r="O2219" s="38"/>
      <c r="P2219" s="38"/>
      <c r="Q2219" s="38"/>
      <c r="R2219" s="38"/>
      <c r="S2219" s="38"/>
      <c r="T2219" s="38"/>
      <c r="U2219" s="38"/>
      <c r="V2219" s="38"/>
      <c r="W2219" s="38"/>
      <c r="X2219" s="38"/>
      <c r="Y2219" s="49"/>
      <c r="Z2219" s="49"/>
      <c r="BP2219" s="293"/>
    </row>
    <row r="2220" spans="12:68">
      <c r="L2220" s="296"/>
      <c r="M2220" s="30"/>
      <c r="N2220" s="38"/>
      <c r="O2220" s="38"/>
      <c r="P2220" s="38"/>
      <c r="Q2220" s="38"/>
      <c r="R2220" s="38"/>
      <c r="S2220" s="38"/>
      <c r="T2220" s="38"/>
      <c r="U2220" s="38"/>
      <c r="V2220" s="38"/>
      <c r="W2220" s="38"/>
      <c r="X2220" s="38"/>
      <c r="Y2220" s="49"/>
      <c r="Z2220" s="49"/>
      <c r="BP2220" s="293"/>
    </row>
    <row r="2221" spans="12:68">
      <c r="L2221" s="296"/>
      <c r="M2221" s="30"/>
      <c r="N2221" s="38"/>
      <c r="O2221" s="38"/>
      <c r="P2221" s="38"/>
      <c r="Q2221" s="38"/>
      <c r="R2221" s="38"/>
      <c r="S2221" s="38"/>
      <c r="T2221" s="38"/>
      <c r="U2221" s="38"/>
      <c r="V2221" s="38"/>
      <c r="W2221" s="38"/>
      <c r="X2221" s="38"/>
      <c r="Y2221" s="49"/>
      <c r="Z2221" s="49"/>
      <c r="BP2221" s="293"/>
    </row>
    <row r="2222" spans="12:68">
      <c r="L2222" s="296"/>
      <c r="M2222" s="30"/>
      <c r="N2222" s="38"/>
      <c r="O2222" s="38"/>
      <c r="P2222" s="38"/>
      <c r="Q2222" s="38"/>
      <c r="R2222" s="38"/>
      <c r="S2222" s="38"/>
      <c r="T2222" s="38"/>
      <c r="U2222" s="38"/>
      <c r="V2222" s="38"/>
      <c r="W2222" s="38"/>
      <c r="X2222" s="38"/>
      <c r="Y2222" s="49"/>
      <c r="Z2222" s="49"/>
      <c r="BP2222" s="293"/>
    </row>
    <row r="2223" spans="12:68">
      <c r="L2223" s="296"/>
      <c r="M2223" s="30"/>
      <c r="N2223" s="38"/>
      <c r="O2223" s="38"/>
      <c r="P2223" s="38"/>
      <c r="Q2223" s="38"/>
      <c r="R2223" s="38"/>
      <c r="S2223" s="38"/>
      <c r="T2223" s="38"/>
      <c r="U2223" s="38"/>
      <c r="V2223" s="38"/>
      <c r="W2223" s="38"/>
      <c r="X2223" s="38"/>
      <c r="Y2223" s="49"/>
      <c r="Z2223" s="49"/>
      <c r="BP2223" s="293"/>
    </row>
    <row r="2224" spans="12:68">
      <c r="L2224" s="296"/>
      <c r="M2224" s="30"/>
      <c r="N2224" s="38"/>
      <c r="O2224" s="38"/>
      <c r="P2224" s="38"/>
      <c r="Q2224" s="38"/>
      <c r="R2224" s="38"/>
      <c r="S2224" s="38"/>
      <c r="T2224" s="38"/>
      <c r="U2224" s="38"/>
      <c r="V2224" s="38"/>
      <c r="W2224" s="38"/>
      <c r="X2224" s="38"/>
      <c r="Y2224" s="49"/>
      <c r="Z2224" s="49"/>
      <c r="BP2224" s="293"/>
    </row>
    <row r="2225" spans="12:68">
      <c r="L2225" s="296"/>
      <c r="M2225" s="30"/>
      <c r="N2225" s="38"/>
      <c r="O2225" s="38"/>
      <c r="P2225" s="38"/>
      <c r="Q2225" s="38"/>
      <c r="R2225" s="38"/>
      <c r="S2225" s="38"/>
      <c r="T2225" s="38"/>
      <c r="U2225" s="38"/>
      <c r="V2225" s="38"/>
      <c r="W2225" s="38"/>
      <c r="X2225" s="38"/>
      <c r="Y2225" s="49"/>
      <c r="Z2225" s="49"/>
      <c r="BP2225" s="293"/>
    </row>
    <row r="2226" spans="12:68">
      <c r="L2226" s="296"/>
      <c r="M2226" s="30"/>
      <c r="N2226" s="38"/>
      <c r="O2226" s="38"/>
      <c r="P2226" s="38"/>
      <c r="Q2226" s="38"/>
      <c r="R2226" s="38"/>
      <c r="S2226" s="38"/>
      <c r="T2226" s="38"/>
      <c r="U2226" s="38"/>
      <c r="V2226" s="38"/>
      <c r="W2226" s="38"/>
      <c r="X2226" s="38"/>
      <c r="Y2226" s="49"/>
      <c r="Z2226" s="49"/>
      <c r="BP2226" s="293"/>
    </row>
    <row r="2227" spans="12:68">
      <c r="L2227" s="296"/>
      <c r="M2227" s="30"/>
      <c r="N2227" s="38"/>
      <c r="O2227" s="38"/>
      <c r="P2227" s="38"/>
      <c r="Q2227" s="38"/>
      <c r="R2227" s="38"/>
      <c r="S2227" s="38"/>
      <c r="T2227" s="38"/>
      <c r="U2227" s="38"/>
      <c r="V2227" s="38"/>
      <c r="W2227" s="38"/>
      <c r="X2227" s="38"/>
      <c r="Y2227" s="49"/>
      <c r="Z2227" s="49"/>
      <c r="BP2227" s="293"/>
    </row>
    <row r="2228" spans="12:68">
      <c r="L2228" s="296"/>
      <c r="M2228" s="30"/>
      <c r="N2228" s="38"/>
      <c r="O2228" s="38"/>
      <c r="P2228" s="38"/>
      <c r="Q2228" s="38"/>
      <c r="R2228" s="38"/>
      <c r="S2228" s="38"/>
      <c r="T2228" s="38"/>
      <c r="U2228" s="38"/>
      <c r="V2228" s="38"/>
      <c r="W2228" s="38"/>
      <c r="X2228" s="38"/>
      <c r="Y2228" s="49"/>
      <c r="Z2228" s="49"/>
      <c r="BP2228" s="293"/>
    </row>
    <row r="2229" spans="12:68">
      <c r="L2229" s="296"/>
      <c r="M2229" s="30"/>
      <c r="N2229" s="38"/>
      <c r="O2229" s="38"/>
      <c r="P2229" s="38"/>
      <c r="Q2229" s="38"/>
      <c r="R2229" s="38"/>
      <c r="S2229" s="38"/>
      <c r="T2229" s="38"/>
      <c r="U2229" s="38"/>
      <c r="V2229" s="38"/>
      <c r="W2229" s="38"/>
      <c r="X2229" s="38"/>
      <c r="Y2229" s="49"/>
      <c r="Z2229" s="49"/>
      <c r="BP2229" s="293"/>
    </row>
    <row r="2230" spans="12:68">
      <c r="L2230" s="296"/>
      <c r="M2230" s="30"/>
      <c r="N2230" s="38"/>
      <c r="O2230" s="38"/>
      <c r="P2230" s="38"/>
      <c r="Q2230" s="38"/>
      <c r="R2230" s="38"/>
      <c r="S2230" s="38"/>
      <c r="T2230" s="38"/>
      <c r="U2230" s="38"/>
      <c r="V2230" s="38"/>
      <c r="W2230" s="38"/>
      <c r="X2230" s="38"/>
      <c r="Y2230" s="49"/>
      <c r="Z2230" s="49"/>
      <c r="BP2230" s="293"/>
    </row>
    <row r="2231" spans="12:68">
      <c r="L2231" s="296"/>
      <c r="M2231" s="30"/>
      <c r="N2231" s="38"/>
      <c r="O2231" s="38"/>
      <c r="P2231" s="38"/>
      <c r="Q2231" s="38"/>
      <c r="R2231" s="38"/>
      <c r="S2231" s="38"/>
      <c r="T2231" s="38"/>
      <c r="U2231" s="38"/>
      <c r="V2231" s="38"/>
      <c r="W2231" s="38"/>
      <c r="X2231" s="38"/>
      <c r="Y2231" s="49"/>
      <c r="Z2231" s="49"/>
      <c r="BP2231" s="293"/>
    </row>
    <row r="2232" spans="12:68">
      <c r="L2232" s="296"/>
      <c r="M2232" s="30"/>
      <c r="N2232" s="38"/>
      <c r="O2232" s="38"/>
      <c r="P2232" s="38"/>
      <c r="Q2232" s="38"/>
      <c r="R2232" s="38"/>
      <c r="S2232" s="38"/>
      <c r="T2232" s="38"/>
      <c r="U2232" s="38"/>
      <c r="V2232" s="38"/>
      <c r="W2232" s="38"/>
      <c r="X2232" s="38"/>
      <c r="Y2232" s="49"/>
      <c r="Z2232" s="49"/>
      <c r="BP2232" s="293"/>
    </row>
    <row r="2233" spans="12:68">
      <c r="L2233" s="296"/>
      <c r="M2233" s="30"/>
      <c r="N2233" s="38"/>
      <c r="O2233" s="38"/>
      <c r="P2233" s="38"/>
      <c r="Q2233" s="38"/>
      <c r="R2233" s="38"/>
      <c r="S2233" s="38"/>
      <c r="T2233" s="38"/>
      <c r="U2233" s="38"/>
      <c r="V2233" s="38"/>
      <c r="W2233" s="38"/>
      <c r="X2233" s="38"/>
      <c r="Y2233" s="49"/>
      <c r="Z2233" s="49"/>
      <c r="BP2233" s="293"/>
    </row>
    <row r="2234" spans="12:68">
      <c r="L2234" s="296"/>
      <c r="M2234" s="30"/>
      <c r="N2234" s="38"/>
      <c r="O2234" s="38"/>
      <c r="P2234" s="38"/>
      <c r="Q2234" s="38"/>
      <c r="R2234" s="38"/>
      <c r="S2234" s="38"/>
      <c r="T2234" s="38"/>
      <c r="U2234" s="38"/>
      <c r="V2234" s="38"/>
      <c r="W2234" s="38"/>
      <c r="X2234" s="38"/>
      <c r="Y2234" s="49"/>
      <c r="Z2234" s="49"/>
      <c r="BP2234" s="293"/>
    </row>
    <row r="2235" spans="12:68">
      <c r="L2235" s="296"/>
      <c r="M2235" s="30"/>
      <c r="N2235" s="38"/>
      <c r="O2235" s="38"/>
      <c r="P2235" s="38"/>
      <c r="Q2235" s="38"/>
      <c r="R2235" s="38"/>
      <c r="S2235" s="38"/>
      <c r="T2235" s="38"/>
      <c r="U2235" s="38"/>
      <c r="V2235" s="38"/>
      <c r="W2235" s="38"/>
      <c r="X2235" s="38"/>
      <c r="Y2235" s="49"/>
      <c r="Z2235" s="49"/>
      <c r="BP2235" s="293"/>
    </row>
    <row r="2236" spans="12:68">
      <c r="L2236" s="296"/>
      <c r="M2236" s="30"/>
      <c r="N2236" s="38"/>
      <c r="O2236" s="38"/>
      <c r="P2236" s="38"/>
      <c r="Q2236" s="38"/>
      <c r="R2236" s="38"/>
      <c r="S2236" s="38"/>
      <c r="T2236" s="38"/>
      <c r="U2236" s="38"/>
      <c r="V2236" s="38"/>
      <c r="W2236" s="38"/>
      <c r="X2236" s="38"/>
      <c r="Y2236" s="49"/>
      <c r="Z2236" s="49"/>
      <c r="BP2236" s="293"/>
    </row>
    <row r="2237" spans="12:68">
      <c r="L2237" s="296"/>
      <c r="M2237" s="30"/>
      <c r="N2237" s="38"/>
      <c r="O2237" s="38"/>
      <c r="P2237" s="38"/>
      <c r="Q2237" s="38"/>
      <c r="R2237" s="38"/>
      <c r="S2237" s="38"/>
      <c r="T2237" s="38"/>
      <c r="U2237" s="38"/>
      <c r="V2237" s="38"/>
      <c r="W2237" s="38"/>
      <c r="X2237" s="38"/>
      <c r="Y2237" s="49"/>
      <c r="Z2237" s="49"/>
      <c r="BP2237" s="293"/>
    </row>
    <row r="2238" spans="12:68">
      <c r="L2238" s="296"/>
      <c r="M2238" s="30"/>
      <c r="N2238" s="38"/>
      <c r="O2238" s="38"/>
      <c r="P2238" s="38"/>
      <c r="Q2238" s="38"/>
      <c r="R2238" s="38"/>
      <c r="S2238" s="38"/>
      <c r="T2238" s="38"/>
      <c r="U2238" s="38"/>
      <c r="V2238" s="38"/>
      <c r="W2238" s="38"/>
      <c r="X2238" s="38"/>
      <c r="Y2238" s="49"/>
      <c r="Z2238" s="49"/>
      <c r="BP2238" s="293"/>
    </row>
    <row r="2239" spans="12:68">
      <c r="L2239" s="296"/>
      <c r="M2239" s="30"/>
      <c r="N2239" s="38"/>
      <c r="O2239" s="38"/>
      <c r="P2239" s="38"/>
      <c r="Q2239" s="38"/>
      <c r="R2239" s="38"/>
      <c r="S2239" s="38"/>
      <c r="T2239" s="38"/>
      <c r="U2239" s="38"/>
      <c r="V2239" s="38"/>
      <c r="W2239" s="38"/>
      <c r="X2239" s="38"/>
      <c r="Y2239" s="49"/>
      <c r="Z2239" s="49"/>
      <c r="BP2239" s="293"/>
    </row>
    <row r="2240" spans="12:68">
      <c r="L2240" s="296"/>
      <c r="M2240" s="30"/>
      <c r="N2240" s="38"/>
      <c r="O2240" s="38"/>
      <c r="P2240" s="38"/>
      <c r="Q2240" s="38"/>
      <c r="R2240" s="38"/>
      <c r="S2240" s="38"/>
      <c r="T2240" s="38"/>
      <c r="U2240" s="38"/>
      <c r="V2240" s="38"/>
      <c r="W2240" s="38"/>
      <c r="X2240" s="38"/>
      <c r="Y2240" s="49"/>
      <c r="Z2240" s="49"/>
      <c r="BP2240" s="293"/>
    </row>
    <row r="2241" spans="12:68">
      <c r="L2241" s="296"/>
      <c r="M2241" s="30"/>
      <c r="N2241" s="38"/>
      <c r="O2241" s="38"/>
      <c r="P2241" s="38"/>
      <c r="Q2241" s="38"/>
      <c r="R2241" s="38"/>
      <c r="S2241" s="38"/>
      <c r="T2241" s="38"/>
      <c r="U2241" s="38"/>
      <c r="V2241" s="38"/>
      <c r="W2241" s="38"/>
      <c r="X2241" s="38"/>
      <c r="Y2241" s="49"/>
      <c r="Z2241" s="49"/>
      <c r="BP2241" s="293"/>
    </row>
    <row r="2242" spans="12:68">
      <c r="L2242" s="296"/>
      <c r="M2242" s="30"/>
      <c r="N2242" s="38"/>
      <c r="O2242" s="38"/>
      <c r="P2242" s="38"/>
      <c r="Q2242" s="38"/>
      <c r="R2242" s="38"/>
      <c r="S2242" s="38"/>
      <c r="T2242" s="38"/>
      <c r="U2242" s="38"/>
      <c r="V2242" s="38"/>
      <c r="W2242" s="38"/>
      <c r="X2242" s="38"/>
      <c r="Y2242" s="49"/>
      <c r="Z2242" s="49"/>
      <c r="BP2242" s="293"/>
    </row>
    <row r="2243" spans="12:68">
      <c r="L2243" s="296"/>
      <c r="M2243" s="30"/>
      <c r="N2243" s="38"/>
      <c r="O2243" s="38"/>
      <c r="P2243" s="38"/>
      <c r="Q2243" s="38"/>
      <c r="R2243" s="38"/>
      <c r="S2243" s="38"/>
      <c r="T2243" s="38"/>
      <c r="U2243" s="38"/>
      <c r="V2243" s="38"/>
      <c r="W2243" s="38"/>
      <c r="X2243" s="38"/>
      <c r="Y2243" s="49"/>
      <c r="Z2243" s="49"/>
      <c r="BP2243" s="293"/>
    </row>
    <row r="2244" spans="12:68">
      <c r="L2244" s="296"/>
      <c r="M2244" s="30"/>
      <c r="N2244" s="38"/>
      <c r="O2244" s="38"/>
      <c r="P2244" s="38"/>
      <c r="Q2244" s="38"/>
      <c r="R2244" s="38"/>
      <c r="S2244" s="38"/>
      <c r="T2244" s="38"/>
      <c r="U2244" s="38"/>
      <c r="V2244" s="38"/>
      <c r="W2244" s="38"/>
      <c r="X2244" s="38"/>
      <c r="Y2244" s="49"/>
      <c r="Z2244" s="49"/>
      <c r="BP2244" s="293"/>
    </row>
    <row r="2245" spans="12:68">
      <c r="L2245" s="296"/>
      <c r="M2245" s="30"/>
      <c r="N2245" s="38"/>
      <c r="O2245" s="38"/>
      <c r="P2245" s="38"/>
      <c r="Q2245" s="38"/>
      <c r="R2245" s="38"/>
      <c r="S2245" s="38"/>
      <c r="T2245" s="38"/>
      <c r="U2245" s="38"/>
      <c r="V2245" s="38"/>
      <c r="W2245" s="38"/>
      <c r="X2245" s="38"/>
      <c r="Y2245" s="49"/>
      <c r="Z2245" s="49"/>
      <c r="BP2245" s="293"/>
    </row>
    <row r="2246" spans="12:68">
      <c r="L2246" s="296"/>
      <c r="M2246" s="30"/>
      <c r="N2246" s="38"/>
      <c r="O2246" s="38"/>
      <c r="P2246" s="38"/>
      <c r="Q2246" s="38"/>
      <c r="R2246" s="38"/>
      <c r="S2246" s="38"/>
      <c r="T2246" s="38"/>
      <c r="U2246" s="38"/>
      <c r="V2246" s="38"/>
      <c r="W2246" s="38"/>
      <c r="X2246" s="38"/>
      <c r="Y2246" s="49"/>
      <c r="Z2246" s="49"/>
      <c r="BP2246" s="293"/>
    </row>
    <row r="2247" spans="12:68">
      <c r="L2247" s="296"/>
      <c r="M2247" s="30"/>
      <c r="N2247" s="38"/>
      <c r="O2247" s="38"/>
      <c r="P2247" s="38"/>
      <c r="Q2247" s="38"/>
      <c r="R2247" s="38"/>
      <c r="S2247" s="38"/>
      <c r="T2247" s="38"/>
      <c r="U2247" s="38"/>
      <c r="V2247" s="38"/>
      <c r="W2247" s="38"/>
      <c r="X2247" s="38"/>
      <c r="Y2247" s="49"/>
      <c r="Z2247" s="49"/>
      <c r="BP2247" s="293"/>
    </row>
    <row r="2248" spans="12:68">
      <c r="L2248" s="296"/>
      <c r="M2248" s="30"/>
      <c r="N2248" s="38"/>
      <c r="O2248" s="38"/>
      <c r="P2248" s="38"/>
      <c r="Q2248" s="38"/>
      <c r="R2248" s="38"/>
      <c r="S2248" s="38"/>
      <c r="T2248" s="38"/>
      <c r="U2248" s="38"/>
      <c r="V2248" s="38"/>
      <c r="W2248" s="38"/>
      <c r="X2248" s="38"/>
      <c r="Y2248" s="49"/>
      <c r="Z2248" s="49"/>
      <c r="BP2248" s="293"/>
    </row>
    <row r="2249" spans="12:68">
      <c r="L2249" s="296"/>
      <c r="M2249" s="30"/>
      <c r="N2249" s="38"/>
      <c r="O2249" s="38"/>
      <c r="P2249" s="38"/>
      <c r="Q2249" s="38"/>
      <c r="R2249" s="38"/>
      <c r="S2249" s="38"/>
      <c r="T2249" s="38"/>
      <c r="U2249" s="38"/>
      <c r="V2249" s="38"/>
      <c r="W2249" s="38"/>
      <c r="X2249" s="38"/>
      <c r="Y2249" s="49"/>
      <c r="Z2249" s="49"/>
      <c r="BP2249" s="293"/>
    </row>
    <row r="2250" spans="12:68">
      <c r="L2250" s="296"/>
      <c r="M2250" s="30"/>
      <c r="N2250" s="38"/>
      <c r="O2250" s="38"/>
      <c r="P2250" s="38"/>
      <c r="Q2250" s="38"/>
      <c r="R2250" s="38"/>
      <c r="S2250" s="38"/>
      <c r="T2250" s="38"/>
      <c r="U2250" s="38"/>
      <c r="V2250" s="38"/>
      <c r="W2250" s="38"/>
      <c r="X2250" s="38"/>
      <c r="Y2250" s="49"/>
      <c r="Z2250" s="49"/>
      <c r="BP2250" s="293"/>
    </row>
    <row r="2251" spans="12:68">
      <c r="L2251" s="296"/>
      <c r="M2251" s="30"/>
      <c r="N2251" s="38"/>
      <c r="O2251" s="38"/>
      <c r="P2251" s="38"/>
      <c r="Q2251" s="38"/>
      <c r="R2251" s="38"/>
      <c r="S2251" s="38"/>
      <c r="T2251" s="38"/>
      <c r="U2251" s="38"/>
      <c r="V2251" s="38"/>
      <c r="W2251" s="38"/>
      <c r="X2251" s="38"/>
      <c r="Y2251" s="49"/>
      <c r="Z2251" s="49"/>
      <c r="BP2251" s="293"/>
    </row>
    <row r="2252" spans="12:68">
      <c r="L2252" s="296"/>
      <c r="M2252" s="30"/>
      <c r="N2252" s="38"/>
      <c r="O2252" s="38"/>
      <c r="P2252" s="38"/>
      <c r="Q2252" s="38"/>
      <c r="R2252" s="38"/>
      <c r="S2252" s="38"/>
      <c r="T2252" s="38"/>
      <c r="U2252" s="38"/>
      <c r="V2252" s="38"/>
      <c r="W2252" s="38"/>
      <c r="X2252" s="38"/>
      <c r="Y2252" s="49"/>
      <c r="Z2252" s="49"/>
      <c r="BP2252" s="293"/>
    </row>
    <row r="2253" spans="12:68">
      <c r="L2253" s="296"/>
      <c r="M2253" s="30"/>
      <c r="N2253" s="38"/>
      <c r="O2253" s="38"/>
      <c r="P2253" s="38"/>
      <c r="Q2253" s="38"/>
      <c r="R2253" s="38"/>
      <c r="S2253" s="38"/>
      <c r="T2253" s="38"/>
      <c r="U2253" s="38"/>
      <c r="V2253" s="38"/>
      <c r="W2253" s="38"/>
      <c r="X2253" s="38"/>
      <c r="Y2253" s="49"/>
      <c r="Z2253" s="49"/>
      <c r="BP2253" s="293"/>
    </row>
    <row r="2254" spans="12:68">
      <c r="L2254" s="296"/>
      <c r="M2254" s="30"/>
      <c r="N2254" s="38"/>
      <c r="O2254" s="38"/>
      <c r="P2254" s="38"/>
      <c r="Q2254" s="38"/>
      <c r="R2254" s="38"/>
      <c r="S2254" s="38"/>
      <c r="T2254" s="38"/>
      <c r="U2254" s="38"/>
      <c r="V2254" s="38"/>
      <c r="W2254" s="38"/>
      <c r="X2254" s="38"/>
      <c r="Y2254" s="49"/>
      <c r="Z2254" s="49"/>
      <c r="BP2254" s="293"/>
    </row>
    <row r="2255" spans="12:68">
      <c r="L2255" s="296"/>
      <c r="M2255" s="30"/>
      <c r="N2255" s="38"/>
      <c r="O2255" s="38"/>
      <c r="P2255" s="38"/>
      <c r="Q2255" s="38"/>
      <c r="R2255" s="38"/>
      <c r="S2255" s="38"/>
      <c r="T2255" s="38"/>
      <c r="U2255" s="38"/>
      <c r="V2255" s="38"/>
      <c r="W2255" s="38"/>
      <c r="X2255" s="38"/>
      <c r="Y2255" s="49"/>
      <c r="Z2255" s="49"/>
      <c r="BP2255" s="293"/>
    </row>
    <row r="2256" spans="12:68">
      <c r="L2256" s="296"/>
      <c r="M2256" s="30"/>
      <c r="N2256" s="38"/>
      <c r="O2256" s="38"/>
      <c r="P2256" s="38"/>
      <c r="Q2256" s="38"/>
      <c r="R2256" s="38"/>
      <c r="S2256" s="38"/>
      <c r="T2256" s="38"/>
      <c r="U2256" s="38"/>
      <c r="V2256" s="38"/>
      <c r="W2256" s="38"/>
      <c r="X2256" s="38"/>
      <c r="Y2256" s="49"/>
      <c r="Z2256" s="49"/>
      <c r="BP2256" s="293"/>
    </row>
    <row r="2257" spans="12:68">
      <c r="L2257" s="296"/>
      <c r="M2257" s="30"/>
      <c r="N2257" s="38"/>
      <c r="O2257" s="38"/>
      <c r="P2257" s="38"/>
      <c r="Q2257" s="38"/>
      <c r="R2257" s="38"/>
      <c r="S2257" s="38"/>
      <c r="T2257" s="38"/>
      <c r="U2257" s="38"/>
      <c r="V2257" s="38"/>
      <c r="W2257" s="38"/>
      <c r="X2257" s="38"/>
      <c r="Y2257" s="49"/>
      <c r="Z2257" s="49"/>
      <c r="BP2257" s="293"/>
    </row>
    <row r="2258" spans="12:68">
      <c r="L2258" s="296"/>
      <c r="M2258" s="30"/>
      <c r="N2258" s="38"/>
      <c r="O2258" s="38"/>
      <c r="P2258" s="38"/>
      <c r="Q2258" s="38"/>
      <c r="R2258" s="38"/>
      <c r="S2258" s="38"/>
      <c r="T2258" s="38"/>
      <c r="U2258" s="38"/>
      <c r="V2258" s="38"/>
      <c r="W2258" s="38"/>
      <c r="X2258" s="38"/>
      <c r="Y2258" s="49"/>
      <c r="Z2258" s="49"/>
      <c r="BP2258" s="293"/>
    </row>
    <row r="2259" spans="12:68">
      <c r="L2259" s="296"/>
      <c r="M2259" s="30"/>
      <c r="N2259" s="38"/>
      <c r="O2259" s="38"/>
      <c r="P2259" s="38"/>
      <c r="Q2259" s="38"/>
      <c r="R2259" s="38"/>
      <c r="S2259" s="38"/>
      <c r="T2259" s="38"/>
      <c r="U2259" s="38"/>
      <c r="V2259" s="38"/>
      <c r="W2259" s="38"/>
      <c r="X2259" s="38"/>
      <c r="Y2259" s="49"/>
      <c r="Z2259" s="49"/>
      <c r="BP2259" s="293"/>
    </row>
    <row r="2260" spans="12:68">
      <c r="L2260" s="296"/>
      <c r="M2260" s="30"/>
      <c r="N2260" s="38"/>
      <c r="O2260" s="38"/>
      <c r="P2260" s="38"/>
      <c r="Q2260" s="38"/>
      <c r="R2260" s="38"/>
      <c r="S2260" s="38"/>
      <c r="T2260" s="38"/>
      <c r="U2260" s="38"/>
      <c r="V2260" s="38"/>
      <c r="W2260" s="38"/>
      <c r="X2260" s="38"/>
      <c r="Y2260" s="49"/>
      <c r="Z2260" s="49"/>
      <c r="BP2260" s="293"/>
    </row>
    <row r="2261" spans="12:68">
      <c r="L2261" s="296"/>
      <c r="M2261" s="30"/>
      <c r="N2261" s="38"/>
      <c r="O2261" s="38"/>
      <c r="P2261" s="38"/>
      <c r="Q2261" s="38"/>
      <c r="R2261" s="38"/>
      <c r="S2261" s="38"/>
      <c r="T2261" s="38"/>
      <c r="U2261" s="38"/>
      <c r="V2261" s="38"/>
      <c r="W2261" s="38"/>
      <c r="X2261" s="38"/>
      <c r="Y2261" s="49"/>
      <c r="Z2261" s="49"/>
      <c r="BP2261" s="293"/>
    </row>
    <row r="2262" spans="12:68">
      <c r="L2262" s="296"/>
      <c r="M2262" s="30"/>
      <c r="N2262" s="38"/>
      <c r="O2262" s="38"/>
      <c r="P2262" s="38"/>
      <c r="Q2262" s="38"/>
      <c r="R2262" s="38"/>
      <c r="S2262" s="38"/>
      <c r="T2262" s="38"/>
      <c r="U2262" s="38"/>
      <c r="V2262" s="38"/>
      <c r="W2262" s="38"/>
      <c r="X2262" s="38"/>
      <c r="Y2262" s="49"/>
      <c r="Z2262" s="49"/>
      <c r="BP2262" s="293"/>
    </row>
    <row r="2263" spans="12:68">
      <c r="L2263" s="296"/>
      <c r="M2263" s="30"/>
      <c r="N2263" s="38"/>
      <c r="O2263" s="38"/>
      <c r="P2263" s="38"/>
      <c r="Q2263" s="38"/>
      <c r="R2263" s="38"/>
      <c r="S2263" s="38"/>
      <c r="T2263" s="38"/>
      <c r="U2263" s="38"/>
      <c r="V2263" s="38"/>
      <c r="W2263" s="38"/>
      <c r="X2263" s="38"/>
      <c r="Y2263" s="49"/>
      <c r="Z2263" s="49"/>
      <c r="BP2263" s="293"/>
    </row>
    <row r="2264" spans="12:68">
      <c r="L2264" s="296"/>
      <c r="M2264" s="30"/>
      <c r="N2264" s="38"/>
      <c r="O2264" s="38"/>
      <c r="P2264" s="38"/>
      <c r="Q2264" s="38"/>
      <c r="R2264" s="38"/>
      <c r="S2264" s="38"/>
      <c r="T2264" s="38"/>
      <c r="U2264" s="38"/>
      <c r="V2264" s="38"/>
      <c r="W2264" s="38"/>
      <c r="X2264" s="38"/>
      <c r="Y2264" s="49"/>
      <c r="Z2264" s="49"/>
      <c r="BP2264" s="293"/>
    </row>
    <row r="2265" spans="12:68">
      <c r="L2265" s="296"/>
      <c r="M2265" s="30"/>
      <c r="N2265" s="38"/>
      <c r="O2265" s="38"/>
      <c r="P2265" s="38"/>
      <c r="Q2265" s="38"/>
      <c r="R2265" s="38"/>
      <c r="S2265" s="38"/>
      <c r="T2265" s="38"/>
      <c r="U2265" s="38"/>
      <c r="V2265" s="38"/>
      <c r="W2265" s="38"/>
      <c r="X2265" s="38"/>
      <c r="Y2265" s="49"/>
      <c r="Z2265" s="49"/>
      <c r="BP2265" s="293"/>
    </row>
    <row r="2266" spans="12:68">
      <c r="L2266" s="296"/>
      <c r="M2266" s="30"/>
      <c r="N2266" s="38"/>
      <c r="O2266" s="38"/>
      <c r="P2266" s="38"/>
      <c r="Q2266" s="38"/>
      <c r="R2266" s="38"/>
      <c r="S2266" s="38"/>
      <c r="T2266" s="38"/>
      <c r="U2266" s="38"/>
      <c r="V2266" s="38"/>
      <c r="W2266" s="38"/>
      <c r="X2266" s="38"/>
      <c r="Y2266" s="49"/>
      <c r="Z2266" s="49"/>
      <c r="BP2266" s="293"/>
    </row>
    <row r="2267" spans="12:68">
      <c r="L2267" s="296"/>
      <c r="M2267" s="30"/>
      <c r="N2267" s="38"/>
      <c r="O2267" s="38"/>
      <c r="P2267" s="38"/>
      <c r="Q2267" s="38"/>
      <c r="R2267" s="38"/>
      <c r="S2267" s="38"/>
      <c r="T2267" s="38"/>
      <c r="U2267" s="38"/>
      <c r="V2267" s="38"/>
      <c r="W2267" s="38"/>
      <c r="X2267" s="38"/>
      <c r="Y2267" s="49"/>
      <c r="Z2267" s="49"/>
      <c r="BP2267" s="293"/>
    </row>
    <row r="2268" spans="12:68">
      <c r="L2268" s="296"/>
      <c r="M2268" s="30"/>
      <c r="N2268" s="38"/>
      <c r="O2268" s="38"/>
      <c r="P2268" s="38"/>
      <c r="Q2268" s="38"/>
      <c r="R2268" s="38"/>
      <c r="S2268" s="38"/>
      <c r="T2268" s="38"/>
      <c r="U2268" s="38"/>
      <c r="V2268" s="38"/>
      <c r="W2268" s="38"/>
      <c r="X2268" s="38"/>
      <c r="Y2268" s="49"/>
      <c r="Z2268" s="49"/>
      <c r="BP2268" s="293"/>
    </row>
    <row r="2269" spans="12:68">
      <c r="L2269" s="296"/>
      <c r="M2269" s="30"/>
      <c r="N2269" s="38"/>
      <c r="O2269" s="38"/>
      <c r="P2269" s="38"/>
      <c r="Q2269" s="38"/>
      <c r="R2269" s="38"/>
      <c r="S2269" s="38"/>
      <c r="T2269" s="38"/>
      <c r="U2269" s="38"/>
      <c r="V2269" s="38"/>
      <c r="W2269" s="38"/>
      <c r="X2269" s="38"/>
      <c r="Y2269" s="49"/>
      <c r="Z2269" s="49"/>
      <c r="BP2269" s="293"/>
    </row>
    <row r="2270" spans="12:68">
      <c r="L2270" s="296"/>
      <c r="M2270" s="30"/>
      <c r="N2270" s="38"/>
      <c r="O2270" s="38"/>
      <c r="P2270" s="38"/>
      <c r="Q2270" s="38"/>
      <c r="R2270" s="38"/>
      <c r="S2270" s="38"/>
      <c r="T2270" s="38"/>
      <c r="U2270" s="38"/>
      <c r="V2270" s="38"/>
      <c r="W2270" s="38"/>
      <c r="X2270" s="38"/>
      <c r="Y2270" s="49"/>
      <c r="Z2270" s="49"/>
      <c r="BP2270" s="293"/>
    </row>
    <row r="2271" spans="12:68">
      <c r="L2271" s="296"/>
      <c r="M2271" s="30"/>
      <c r="N2271" s="38"/>
      <c r="O2271" s="38"/>
      <c r="P2271" s="38"/>
      <c r="Q2271" s="38"/>
      <c r="R2271" s="38"/>
      <c r="S2271" s="38"/>
      <c r="T2271" s="38"/>
      <c r="U2271" s="38"/>
      <c r="V2271" s="38"/>
      <c r="W2271" s="38"/>
      <c r="X2271" s="38"/>
      <c r="Y2271" s="49"/>
      <c r="Z2271" s="49"/>
      <c r="BP2271" s="293"/>
    </row>
    <row r="2272" spans="12:68">
      <c r="L2272" s="296"/>
      <c r="M2272" s="30"/>
      <c r="N2272" s="38"/>
      <c r="O2272" s="38"/>
      <c r="P2272" s="38"/>
      <c r="Q2272" s="38"/>
      <c r="R2272" s="38"/>
      <c r="S2272" s="38"/>
      <c r="T2272" s="38"/>
      <c r="U2272" s="38"/>
      <c r="V2272" s="38"/>
      <c r="W2272" s="38"/>
      <c r="X2272" s="38"/>
      <c r="Y2272" s="49"/>
      <c r="Z2272" s="49"/>
      <c r="BP2272" s="293"/>
    </row>
    <row r="2273" spans="12:68">
      <c r="L2273" s="296"/>
      <c r="M2273" s="30"/>
      <c r="N2273" s="38"/>
      <c r="O2273" s="38"/>
      <c r="P2273" s="38"/>
      <c r="Q2273" s="38"/>
      <c r="R2273" s="38"/>
      <c r="S2273" s="38"/>
      <c r="T2273" s="38"/>
      <c r="U2273" s="38"/>
      <c r="V2273" s="38"/>
      <c r="W2273" s="38"/>
      <c r="X2273" s="38"/>
      <c r="Y2273" s="49"/>
      <c r="Z2273" s="49"/>
      <c r="BP2273" s="293"/>
    </row>
    <row r="2274" spans="12:68">
      <c r="L2274" s="296"/>
      <c r="M2274" s="30"/>
      <c r="N2274" s="38"/>
      <c r="O2274" s="38"/>
      <c r="P2274" s="38"/>
      <c r="Q2274" s="38"/>
      <c r="R2274" s="38"/>
      <c r="S2274" s="38"/>
      <c r="T2274" s="38"/>
      <c r="U2274" s="38"/>
      <c r="V2274" s="38"/>
      <c r="W2274" s="38"/>
      <c r="X2274" s="38"/>
      <c r="Y2274" s="49"/>
      <c r="Z2274" s="49"/>
      <c r="BP2274" s="293"/>
    </row>
    <row r="2275" spans="12:68">
      <c r="L2275" s="296"/>
      <c r="M2275" s="30"/>
      <c r="N2275" s="38"/>
      <c r="O2275" s="38"/>
      <c r="P2275" s="38"/>
      <c r="Q2275" s="38"/>
      <c r="R2275" s="38"/>
      <c r="S2275" s="38"/>
      <c r="T2275" s="38"/>
      <c r="U2275" s="38"/>
      <c r="V2275" s="38"/>
      <c r="W2275" s="38"/>
      <c r="X2275" s="38"/>
      <c r="Y2275" s="49"/>
      <c r="Z2275" s="49"/>
      <c r="BP2275" s="293"/>
    </row>
    <row r="2276" spans="12:68">
      <c r="L2276" s="296"/>
      <c r="M2276" s="30"/>
      <c r="N2276" s="38"/>
      <c r="O2276" s="38"/>
      <c r="P2276" s="38"/>
      <c r="Q2276" s="38"/>
      <c r="R2276" s="38"/>
      <c r="S2276" s="38"/>
      <c r="T2276" s="38"/>
      <c r="U2276" s="38"/>
      <c r="V2276" s="38"/>
      <c r="W2276" s="38"/>
      <c r="X2276" s="38"/>
      <c r="Y2276" s="49"/>
      <c r="Z2276" s="49"/>
      <c r="BP2276" s="293"/>
    </row>
    <row r="2277" spans="12:68">
      <c r="L2277" s="296"/>
      <c r="M2277" s="30"/>
      <c r="N2277" s="38"/>
      <c r="O2277" s="38"/>
      <c r="P2277" s="38"/>
      <c r="Q2277" s="38"/>
      <c r="R2277" s="38"/>
      <c r="S2277" s="38"/>
      <c r="T2277" s="38"/>
      <c r="U2277" s="38"/>
      <c r="V2277" s="38"/>
      <c r="W2277" s="38"/>
      <c r="X2277" s="38"/>
      <c r="Y2277" s="49"/>
      <c r="Z2277" s="49"/>
      <c r="BP2277" s="293"/>
    </row>
    <row r="2278" spans="12:68">
      <c r="L2278" s="296"/>
      <c r="M2278" s="30"/>
      <c r="N2278" s="38"/>
      <c r="O2278" s="38"/>
      <c r="P2278" s="38"/>
      <c r="Q2278" s="38"/>
      <c r="R2278" s="38"/>
      <c r="S2278" s="38"/>
      <c r="T2278" s="38"/>
      <c r="U2278" s="38"/>
      <c r="V2278" s="38"/>
      <c r="W2278" s="38"/>
      <c r="X2278" s="38"/>
      <c r="Y2278" s="49"/>
      <c r="Z2278" s="49"/>
      <c r="BP2278" s="293"/>
    </row>
    <row r="2279" spans="12:68">
      <c r="L2279" s="296"/>
      <c r="M2279" s="30"/>
      <c r="N2279" s="38"/>
      <c r="O2279" s="38"/>
      <c r="P2279" s="38"/>
      <c r="Q2279" s="38"/>
      <c r="R2279" s="38"/>
      <c r="S2279" s="38"/>
      <c r="T2279" s="38"/>
      <c r="U2279" s="38"/>
      <c r="V2279" s="38"/>
      <c r="W2279" s="38"/>
      <c r="X2279" s="38"/>
      <c r="Y2279" s="49"/>
      <c r="Z2279" s="49"/>
      <c r="BP2279" s="293"/>
    </row>
    <row r="2280" spans="12:68">
      <c r="L2280" s="296"/>
      <c r="M2280" s="30"/>
      <c r="N2280" s="38"/>
      <c r="O2280" s="38"/>
      <c r="P2280" s="38"/>
      <c r="Q2280" s="38"/>
      <c r="R2280" s="38"/>
      <c r="S2280" s="38"/>
      <c r="T2280" s="38"/>
      <c r="U2280" s="38"/>
      <c r="V2280" s="38"/>
      <c r="W2280" s="38"/>
      <c r="X2280" s="38"/>
      <c r="Y2280" s="49"/>
      <c r="Z2280" s="49"/>
      <c r="BP2280" s="293"/>
    </row>
    <row r="2281" spans="12:68">
      <c r="L2281" s="296"/>
      <c r="M2281" s="30"/>
      <c r="N2281" s="38"/>
      <c r="O2281" s="38"/>
      <c r="P2281" s="38"/>
      <c r="Q2281" s="38"/>
      <c r="R2281" s="38"/>
      <c r="S2281" s="38"/>
      <c r="T2281" s="38"/>
      <c r="U2281" s="38"/>
      <c r="V2281" s="38"/>
      <c r="W2281" s="38"/>
      <c r="X2281" s="38"/>
      <c r="Y2281" s="49"/>
      <c r="Z2281" s="49"/>
      <c r="BP2281" s="293"/>
    </row>
    <row r="2282" spans="12:68">
      <c r="L2282" s="296"/>
      <c r="M2282" s="30"/>
      <c r="N2282" s="38"/>
      <c r="O2282" s="38"/>
      <c r="P2282" s="38"/>
      <c r="Q2282" s="38"/>
      <c r="R2282" s="38"/>
      <c r="S2282" s="38"/>
      <c r="T2282" s="38"/>
      <c r="U2282" s="38"/>
      <c r="V2282" s="38"/>
      <c r="W2282" s="38"/>
      <c r="X2282" s="38"/>
      <c r="Y2282" s="49"/>
      <c r="Z2282" s="49"/>
      <c r="BP2282" s="293"/>
    </row>
    <row r="2283" spans="12:68">
      <c r="L2283" s="296"/>
      <c r="M2283" s="30"/>
      <c r="N2283" s="38"/>
      <c r="O2283" s="38"/>
      <c r="P2283" s="38"/>
      <c r="Q2283" s="38"/>
      <c r="R2283" s="38"/>
      <c r="S2283" s="38"/>
      <c r="T2283" s="38"/>
      <c r="U2283" s="38"/>
      <c r="V2283" s="38"/>
      <c r="W2283" s="38"/>
      <c r="X2283" s="38"/>
      <c r="Y2283" s="49"/>
      <c r="Z2283" s="49"/>
      <c r="BP2283" s="293"/>
    </row>
    <row r="2284" spans="12:68">
      <c r="L2284" s="296"/>
      <c r="M2284" s="30"/>
      <c r="N2284" s="38"/>
      <c r="O2284" s="38"/>
      <c r="P2284" s="38"/>
      <c r="Q2284" s="38"/>
      <c r="R2284" s="38"/>
      <c r="S2284" s="38"/>
      <c r="T2284" s="38"/>
      <c r="U2284" s="38"/>
      <c r="V2284" s="38"/>
      <c r="W2284" s="38"/>
      <c r="X2284" s="38"/>
      <c r="Y2284" s="49"/>
      <c r="Z2284" s="49"/>
      <c r="BP2284" s="293"/>
    </row>
    <row r="2285" spans="12:68">
      <c r="L2285" s="296"/>
      <c r="M2285" s="30"/>
      <c r="N2285" s="38"/>
      <c r="O2285" s="38"/>
      <c r="P2285" s="38"/>
      <c r="Q2285" s="38"/>
      <c r="R2285" s="38"/>
      <c r="S2285" s="38"/>
      <c r="T2285" s="38"/>
      <c r="U2285" s="38"/>
      <c r="V2285" s="38"/>
      <c r="W2285" s="38"/>
      <c r="X2285" s="38"/>
      <c r="Y2285" s="49"/>
      <c r="Z2285" s="49"/>
      <c r="BP2285" s="293"/>
    </row>
    <row r="2286" spans="12:68">
      <c r="L2286" s="296"/>
      <c r="M2286" s="30"/>
      <c r="N2286" s="38"/>
      <c r="O2286" s="38"/>
      <c r="P2286" s="38"/>
      <c r="Q2286" s="38"/>
      <c r="R2286" s="38"/>
      <c r="S2286" s="38"/>
      <c r="T2286" s="38"/>
      <c r="U2286" s="38"/>
      <c r="V2286" s="38"/>
      <c r="W2286" s="38"/>
      <c r="X2286" s="38"/>
      <c r="Y2286" s="49"/>
      <c r="Z2286" s="49"/>
      <c r="BP2286" s="293"/>
    </row>
    <row r="2287" spans="12:68">
      <c r="L2287" s="296"/>
      <c r="M2287" s="30"/>
      <c r="N2287" s="38"/>
      <c r="O2287" s="38"/>
      <c r="P2287" s="38"/>
      <c r="Q2287" s="38"/>
      <c r="R2287" s="38"/>
      <c r="S2287" s="38"/>
      <c r="T2287" s="38"/>
      <c r="U2287" s="38"/>
      <c r="V2287" s="38"/>
      <c r="W2287" s="38"/>
      <c r="X2287" s="38"/>
      <c r="Y2287" s="49"/>
      <c r="Z2287" s="49"/>
      <c r="BP2287" s="293"/>
    </row>
    <row r="2288" spans="12:68">
      <c r="L2288" s="296"/>
      <c r="M2288" s="30"/>
      <c r="N2288" s="38"/>
      <c r="O2288" s="38"/>
      <c r="P2288" s="38"/>
      <c r="Q2288" s="38"/>
      <c r="R2288" s="38"/>
      <c r="S2288" s="38"/>
      <c r="T2288" s="38"/>
      <c r="U2288" s="38"/>
      <c r="V2288" s="38"/>
      <c r="W2288" s="38"/>
      <c r="X2288" s="38"/>
      <c r="Y2288" s="49"/>
      <c r="Z2288" s="49"/>
      <c r="BP2288" s="293"/>
    </row>
    <row r="2289" spans="12:68">
      <c r="L2289" s="296"/>
      <c r="M2289" s="30"/>
      <c r="N2289" s="38"/>
      <c r="O2289" s="38"/>
      <c r="P2289" s="38"/>
      <c r="Q2289" s="38"/>
      <c r="R2289" s="38"/>
      <c r="S2289" s="38"/>
      <c r="T2289" s="38"/>
      <c r="U2289" s="38"/>
      <c r="V2289" s="38"/>
      <c r="W2289" s="38"/>
      <c r="X2289" s="38"/>
      <c r="Y2289" s="49"/>
      <c r="Z2289" s="49"/>
      <c r="BP2289" s="293"/>
    </row>
    <row r="2290" spans="12:68">
      <c r="L2290" s="296"/>
      <c r="M2290" s="30"/>
      <c r="N2290" s="38"/>
      <c r="O2290" s="38"/>
      <c r="P2290" s="38"/>
      <c r="Q2290" s="38"/>
      <c r="R2290" s="38"/>
      <c r="S2290" s="38"/>
      <c r="T2290" s="38"/>
      <c r="U2290" s="38"/>
      <c r="V2290" s="38"/>
      <c r="W2290" s="38"/>
      <c r="X2290" s="38"/>
      <c r="Y2290" s="49"/>
      <c r="Z2290" s="49"/>
      <c r="BP2290" s="293"/>
    </row>
    <row r="2291" spans="12:68">
      <c r="L2291" s="296"/>
      <c r="M2291" s="30"/>
      <c r="N2291" s="38"/>
      <c r="O2291" s="38"/>
      <c r="P2291" s="38"/>
      <c r="Q2291" s="38"/>
      <c r="R2291" s="38"/>
      <c r="S2291" s="38"/>
      <c r="T2291" s="38"/>
      <c r="U2291" s="38"/>
      <c r="V2291" s="38"/>
      <c r="W2291" s="38"/>
      <c r="X2291" s="38"/>
      <c r="Y2291" s="49"/>
      <c r="Z2291" s="49"/>
      <c r="BP2291" s="293"/>
    </row>
    <row r="2292" spans="12:68">
      <c r="L2292" s="296"/>
      <c r="M2292" s="30"/>
      <c r="N2292" s="38"/>
      <c r="O2292" s="38"/>
      <c r="P2292" s="38"/>
      <c r="Q2292" s="38"/>
      <c r="R2292" s="38"/>
      <c r="S2292" s="38"/>
      <c r="T2292" s="38"/>
      <c r="U2292" s="38"/>
      <c r="V2292" s="38"/>
      <c r="W2292" s="38"/>
      <c r="X2292" s="38"/>
      <c r="Y2292" s="49"/>
      <c r="Z2292" s="49"/>
      <c r="BP2292" s="293"/>
    </row>
    <row r="2293" spans="12:68">
      <c r="L2293" s="296"/>
      <c r="M2293" s="30"/>
      <c r="N2293" s="38"/>
      <c r="O2293" s="38"/>
      <c r="P2293" s="38"/>
      <c r="Q2293" s="38"/>
      <c r="R2293" s="38"/>
      <c r="S2293" s="38"/>
      <c r="T2293" s="38"/>
      <c r="U2293" s="38"/>
      <c r="V2293" s="38"/>
      <c r="W2293" s="38"/>
      <c r="X2293" s="38"/>
      <c r="Y2293" s="49"/>
      <c r="Z2293" s="49"/>
      <c r="BP2293" s="293"/>
    </row>
    <row r="2294" spans="12:68">
      <c r="L2294" s="296"/>
      <c r="M2294" s="30"/>
      <c r="N2294" s="38"/>
      <c r="O2294" s="38"/>
      <c r="P2294" s="38"/>
      <c r="Q2294" s="38"/>
      <c r="R2294" s="38"/>
      <c r="S2294" s="38"/>
      <c r="T2294" s="38"/>
      <c r="U2294" s="38"/>
      <c r="V2294" s="38"/>
      <c r="W2294" s="38"/>
      <c r="X2294" s="38"/>
      <c r="Y2294" s="49"/>
      <c r="Z2294" s="49"/>
      <c r="BP2294" s="293"/>
    </row>
    <row r="2295" spans="12:68">
      <c r="L2295" s="296"/>
      <c r="M2295" s="30"/>
      <c r="N2295" s="38"/>
      <c r="O2295" s="38"/>
      <c r="P2295" s="38"/>
      <c r="Q2295" s="38"/>
      <c r="R2295" s="38"/>
      <c r="S2295" s="38"/>
      <c r="T2295" s="38"/>
      <c r="U2295" s="38"/>
      <c r="V2295" s="38"/>
      <c r="W2295" s="38"/>
      <c r="X2295" s="38"/>
      <c r="Y2295" s="49"/>
      <c r="Z2295" s="49"/>
      <c r="BP2295" s="293"/>
    </row>
    <row r="2296" spans="12:68">
      <c r="L2296" s="296"/>
      <c r="M2296" s="30"/>
      <c r="N2296" s="38"/>
      <c r="O2296" s="38"/>
      <c r="P2296" s="38"/>
      <c r="Q2296" s="38"/>
      <c r="R2296" s="38"/>
      <c r="S2296" s="38"/>
      <c r="T2296" s="38"/>
      <c r="U2296" s="38"/>
      <c r="V2296" s="38"/>
      <c r="W2296" s="38"/>
      <c r="X2296" s="38"/>
      <c r="Y2296" s="49"/>
      <c r="Z2296" s="49"/>
      <c r="BP2296" s="293"/>
    </row>
    <row r="2297" spans="12:68">
      <c r="L2297" s="296"/>
      <c r="M2297" s="30"/>
      <c r="N2297" s="38"/>
      <c r="O2297" s="38"/>
      <c r="P2297" s="38"/>
      <c r="Q2297" s="38"/>
      <c r="R2297" s="38"/>
      <c r="S2297" s="38"/>
      <c r="T2297" s="38"/>
      <c r="U2297" s="38"/>
      <c r="V2297" s="38"/>
      <c r="W2297" s="38"/>
      <c r="X2297" s="38"/>
      <c r="Y2297" s="49"/>
      <c r="Z2297" s="49"/>
      <c r="BP2297" s="293"/>
    </row>
    <row r="2298" spans="12:68">
      <c r="L2298" s="296"/>
      <c r="M2298" s="30"/>
      <c r="N2298" s="38"/>
      <c r="O2298" s="38"/>
      <c r="P2298" s="38"/>
      <c r="Q2298" s="38"/>
      <c r="R2298" s="38"/>
      <c r="S2298" s="38"/>
      <c r="T2298" s="38"/>
      <c r="U2298" s="38"/>
      <c r="V2298" s="38"/>
      <c r="W2298" s="38"/>
      <c r="X2298" s="38"/>
      <c r="Y2298" s="49"/>
      <c r="Z2298" s="49"/>
      <c r="BP2298" s="293"/>
    </row>
    <row r="2299" spans="12:68">
      <c r="L2299" s="296"/>
      <c r="M2299" s="30"/>
      <c r="N2299" s="38"/>
      <c r="O2299" s="38"/>
      <c r="P2299" s="38"/>
      <c r="Q2299" s="38"/>
      <c r="R2299" s="38"/>
      <c r="S2299" s="38"/>
      <c r="T2299" s="38"/>
      <c r="U2299" s="38"/>
      <c r="V2299" s="38"/>
      <c r="W2299" s="38"/>
      <c r="X2299" s="38"/>
      <c r="Y2299" s="49"/>
      <c r="Z2299" s="49"/>
      <c r="BP2299" s="293"/>
    </row>
    <row r="2300" spans="12:68">
      <c r="L2300" s="296"/>
      <c r="M2300" s="30"/>
      <c r="N2300" s="38"/>
      <c r="O2300" s="38"/>
      <c r="P2300" s="38"/>
      <c r="Q2300" s="38"/>
      <c r="R2300" s="38"/>
      <c r="S2300" s="38"/>
      <c r="T2300" s="38"/>
      <c r="U2300" s="38"/>
      <c r="V2300" s="38"/>
      <c r="W2300" s="38"/>
      <c r="X2300" s="38"/>
      <c r="Y2300" s="49"/>
      <c r="Z2300" s="49"/>
      <c r="BP2300" s="293"/>
    </row>
    <row r="2301" spans="12:68">
      <c r="L2301" s="296"/>
      <c r="M2301" s="30"/>
      <c r="N2301" s="38"/>
      <c r="O2301" s="38"/>
      <c r="P2301" s="38"/>
      <c r="Q2301" s="38"/>
      <c r="R2301" s="38"/>
      <c r="S2301" s="38"/>
      <c r="T2301" s="38"/>
      <c r="U2301" s="38"/>
      <c r="V2301" s="38"/>
      <c r="W2301" s="38"/>
      <c r="X2301" s="38"/>
      <c r="Y2301" s="49"/>
      <c r="Z2301" s="49"/>
      <c r="BP2301" s="293"/>
    </row>
    <row r="2302" spans="12:68">
      <c r="L2302" s="296"/>
      <c r="M2302" s="30"/>
      <c r="N2302" s="38"/>
      <c r="O2302" s="38"/>
      <c r="P2302" s="38"/>
      <c r="Q2302" s="38"/>
      <c r="R2302" s="38"/>
      <c r="S2302" s="38"/>
      <c r="T2302" s="38"/>
      <c r="U2302" s="38"/>
      <c r="V2302" s="38"/>
      <c r="W2302" s="38"/>
      <c r="X2302" s="38"/>
      <c r="Y2302" s="49"/>
      <c r="Z2302" s="49"/>
      <c r="BP2302" s="293"/>
    </row>
    <row r="2303" spans="12:68">
      <c r="L2303" s="296"/>
      <c r="M2303" s="30"/>
      <c r="N2303" s="38"/>
      <c r="O2303" s="38"/>
      <c r="P2303" s="38"/>
      <c r="Q2303" s="38"/>
      <c r="R2303" s="38"/>
      <c r="S2303" s="38"/>
      <c r="T2303" s="38"/>
      <c r="U2303" s="38"/>
      <c r="V2303" s="38"/>
      <c r="W2303" s="38"/>
      <c r="X2303" s="38"/>
      <c r="Y2303" s="49"/>
      <c r="Z2303" s="49"/>
      <c r="BP2303" s="293"/>
    </row>
    <row r="2304" spans="12:68">
      <c r="L2304" s="296"/>
      <c r="M2304" s="30"/>
      <c r="N2304" s="38"/>
      <c r="O2304" s="38"/>
      <c r="P2304" s="38"/>
      <c r="Q2304" s="38"/>
      <c r="R2304" s="38"/>
      <c r="S2304" s="38"/>
      <c r="T2304" s="38"/>
      <c r="U2304" s="38"/>
      <c r="V2304" s="38"/>
      <c r="W2304" s="38"/>
      <c r="X2304" s="38"/>
      <c r="Y2304" s="49"/>
      <c r="Z2304" s="49"/>
      <c r="BP2304" s="293"/>
    </row>
    <row r="2305" spans="12:68">
      <c r="L2305" s="296"/>
      <c r="M2305" s="30"/>
      <c r="N2305" s="38"/>
      <c r="O2305" s="38"/>
      <c r="P2305" s="38"/>
      <c r="Q2305" s="38"/>
      <c r="R2305" s="38"/>
      <c r="S2305" s="38"/>
      <c r="T2305" s="38"/>
      <c r="U2305" s="38"/>
      <c r="V2305" s="38"/>
      <c r="W2305" s="38"/>
      <c r="X2305" s="38"/>
      <c r="Y2305" s="49"/>
      <c r="Z2305" s="49"/>
      <c r="BP2305" s="293"/>
    </row>
    <row r="2306" spans="12:68">
      <c r="L2306" s="296"/>
      <c r="M2306" s="30"/>
      <c r="N2306" s="38"/>
      <c r="O2306" s="38"/>
      <c r="P2306" s="38"/>
      <c r="Q2306" s="38"/>
      <c r="R2306" s="38"/>
      <c r="S2306" s="38"/>
      <c r="T2306" s="38"/>
      <c r="U2306" s="38"/>
      <c r="V2306" s="38"/>
      <c r="W2306" s="38"/>
      <c r="X2306" s="38"/>
      <c r="Y2306" s="49"/>
      <c r="Z2306" s="49"/>
      <c r="BP2306" s="293"/>
    </row>
    <row r="2307" spans="12:68">
      <c r="L2307" s="296"/>
      <c r="M2307" s="30"/>
      <c r="N2307" s="38"/>
      <c r="O2307" s="38"/>
      <c r="P2307" s="38"/>
      <c r="Q2307" s="38"/>
      <c r="R2307" s="38"/>
      <c r="S2307" s="38"/>
      <c r="T2307" s="38"/>
      <c r="U2307" s="38"/>
      <c r="V2307" s="38"/>
      <c r="W2307" s="38"/>
      <c r="X2307" s="38"/>
      <c r="Y2307" s="49"/>
      <c r="Z2307" s="49"/>
      <c r="BP2307" s="293"/>
    </row>
    <row r="2308" spans="12:68">
      <c r="L2308" s="296"/>
      <c r="M2308" s="30"/>
      <c r="N2308" s="38"/>
      <c r="O2308" s="38"/>
      <c r="P2308" s="38"/>
      <c r="Q2308" s="38"/>
      <c r="R2308" s="38"/>
      <c r="S2308" s="38"/>
      <c r="T2308" s="38"/>
      <c r="U2308" s="38"/>
      <c r="V2308" s="38"/>
      <c r="W2308" s="38"/>
      <c r="X2308" s="38"/>
      <c r="Y2308" s="49"/>
      <c r="Z2308" s="49"/>
      <c r="BP2308" s="293"/>
    </row>
    <row r="2309" spans="12:68">
      <c r="L2309" s="296"/>
      <c r="M2309" s="30"/>
      <c r="N2309" s="38"/>
      <c r="O2309" s="38"/>
      <c r="P2309" s="38"/>
      <c r="Q2309" s="38"/>
      <c r="R2309" s="38"/>
      <c r="S2309" s="38"/>
      <c r="T2309" s="38"/>
      <c r="U2309" s="38"/>
      <c r="V2309" s="38"/>
      <c r="W2309" s="38"/>
      <c r="X2309" s="38"/>
      <c r="Y2309" s="49"/>
      <c r="Z2309" s="49"/>
      <c r="BP2309" s="293"/>
    </row>
    <row r="2310" spans="12:68">
      <c r="L2310" s="296"/>
      <c r="M2310" s="30"/>
      <c r="N2310" s="38"/>
      <c r="O2310" s="38"/>
      <c r="P2310" s="38"/>
      <c r="Q2310" s="38"/>
      <c r="R2310" s="38"/>
      <c r="S2310" s="38"/>
      <c r="T2310" s="38"/>
      <c r="U2310" s="38"/>
      <c r="V2310" s="38"/>
      <c r="W2310" s="38"/>
      <c r="X2310" s="38"/>
      <c r="Y2310" s="49"/>
      <c r="Z2310" s="49"/>
      <c r="BP2310" s="293"/>
    </row>
    <row r="2311" spans="12:68">
      <c r="L2311" s="296"/>
      <c r="M2311" s="30"/>
      <c r="N2311" s="38"/>
      <c r="O2311" s="38"/>
      <c r="P2311" s="38"/>
      <c r="Q2311" s="38"/>
      <c r="R2311" s="38"/>
      <c r="S2311" s="38"/>
      <c r="T2311" s="38"/>
      <c r="U2311" s="38"/>
      <c r="V2311" s="38"/>
      <c r="W2311" s="38"/>
      <c r="X2311" s="38"/>
      <c r="Y2311" s="49"/>
      <c r="Z2311" s="49"/>
      <c r="BP2311" s="293"/>
    </row>
    <row r="2312" spans="12:68">
      <c r="L2312" s="296"/>
      <c r="M2312" s="30"/>
      <c r="N2312" s="38"/>
      <c r="O2312" s="38"/>
      <c r="P2312" s="38"/>
      <c r="Q2312" s="38"/>
      <c r="R2312" s="38"/>
      <c r="S2312" s="38"/>
      <c r="T2312" s="38"/>
      <c r="U2312" s="38"/>
      <c r="V2312" s="38"/>
      <c r="W2312" s="38"/>
      <c r="X2312" s="38"/>
      <c r="Y2312" s="49"/>
      <c r="Z2312" s="49"/>
      <c r="BP2312" s="293"/>
    </row>
    <row r="2313" spans="12:68">
      <c r="L2313" s="296"/>
      <c r="M2313" s="30"/>
      <c r="N2313" s="38"/>
      <c r="O2313" s="38"/>
      <c r="P2313" s="38"/>
      <c r="Q2313" s="38"/>
      <c r="R2313" s="38"/>
      <c r="S2313" s="38"/>
      <c r="T2313" s="38"/>
      <c r="U2313" s="38"/>
      <c r="V2313" s="38"/>
      <c r="W2313" s="38"/>
      <c r="X2313" s="38"/>
      <c r="Y2313" s="49"/>
      <c r="Z2313" s="49"/>
      <c r="BP2313" s="293"/>
    </row>
    <row r="2314" spans="12:68">
      <c r="L2314" s="296"/>
      <c r="M2314" s="30"/>
      <c r="N2314" s="38"/>
      <c r="O2314" s="38"/>
      <c r="P2314" s="38"/>
      <c r="Q2314" s="38"/>
      <c r="R2314" s="38"/>
      <c r="S2314" s="38"/>
      <c r="T2314" s="38"/>
      <c r="U2314" s="38"/>
      <c r="V2314" s="38"/>
      <c r="W2314" s="38"/>
      <c r="X2314" s="38"/>
      <c r="Y2314" s="49"/>
      <c r="Z2314" s="49"/>
      <c r="BP2314" s="293"/>
    </row>
    <row r="2315" spans="12:68">
      <c r="L2315" s="296"/>
      <c r="M2315" s="30"/>
      <c r="N2315" s="38"/>
      <c r="O2315" s="38"/>
      <c r="P2315" s="38"/>
      <c r="Q2315" s="38"/>
      <c r="R2315" s="38"/>
      <c r="S2315" s="38"/>
      <c r="T2315" s="38"/>
      <c r="U2315" s="38"/>
      <c r="V2315" s="38"/>
      <c r="W2315" s="38"/>
      <c r="X2315" s="38"/>
      <c r="Y2315" s="49"/>
      <c r="Z2315" s="49"/>
      <c r="BP2315" s="293"/>
    </row>
    <row r="2316" spans="12:68">
      <c r="L2316" s="296"/>
      <c r="M2316" s="30"/>
      <c r="N2316" s="38"/>
      <c r="O2316" s="38"/>
      <c r="P2316" s="38"/>
      <c r="Q2316" s="38"/>
      <c r="R2316" s="38"/>
      <c r="S2316" s="38"/>
      <c r="T2316" s="38"/>
      <c r="U2316" s="38"/>
      <c r="V2316" s="38"/>
      <c r="W2316" s="38"/>
      <c r="X2316" s="38"/>
      <c r="Y2316" s="49"/>
      <c r="Z2316" s="49"/>
      <c r="BP2316" s="293"/>
    </row>
    <row r="2317" spans="12:68">
      <c r="L2317" s="296"/>
      <c r="M2317" s="30"/>
      <c r="N2317" s="38"/>
      <c r="O2317" s="38"/>
      <c r="P2317" s="38"/>
      <c r="Q2317" s="38"/>
      <c r="R2317" s="38"/>
      <c r="S2317" s="38"/>
      <c r="T2317" s="38"/>
      <c r="U2317" s="38"/>
      <c r="V2317" s="38"/>
      <c r="W2317" s="38"/>
      <c r="X2317" s="38"/>
      <c r="Y2317" s="49"/>
      <c r="Z2317" s="49"/>
      <c r="BP2317" s="293"/>
    </row>
    <row r="2318" spans="12:68">
      <c r="L2318" s="296"/>
      <c r="M2318" s="30"/>
      <c r="N2318" s="38"/>
      <c r="O2318" s="38"/>
      <c r="P2318" s="38"/>
      <c r="Q2318" s="38"/>
      <c r="R2318" s="38"/>
      <c r="S2318" s="38"/>
      <c r="T2318" s="38"/>
      <c r="U2318" s="38"/>
      <c r="V2318" s="38"/>
      <c r="W2318" s="38"/>
      <c r="X2318" s="38"/>
      <c r="Y2318" s="49"/>
      <c r="Z2318" s="49"/>
      <c r="BP2318" s="293"/>
    </row>
    <row r="2319" spans="12:68">
      <c r="L2319" s="296"/>
      <c r="M2319" s="30"/>
      <c r="N2319" s="38"/>
      <c r="O2319" s="38"/>
      <c r="P2319" s="38"/>
      <c r="Q2319" s="38"/>
      <c r="R2319" s="38"/>
      <c r="S2319" s="38"/>
      <c r="T2319" s="38"/>
      <c r="U2319" s="38"/>
      <c r="V2319" s="38"/>
      <c r="W2319" s="38"/>
      <c r="X2319" s="38"/>
      <c r="Y2319" s="49"/>
      <c r="Z2319" s="49"/>
      <c r="BP2319" s="293"/>
    </row>
    <row r="2320" spans="12:68">
      <c r="L2320" s="296"/>
      <c r="M2320" s="30"/>
      <c r="N2320" s="38"/>
      <c r="O2320" s="38"/>
      <c r="P2320" s="38"/>
      <c r="Q2320" s="38"/>
      <c r="R2320" s="38"/>
      <c r="S2320" s="38"/>
      <c r="T2320" s="38"/>
      <c r="U2320" s="38"/>
      <c r="V2320" s="38"/>
      <c r="W2320" s="38"/>
      <c r="X2320" s="38"/>
      <c r="Y2320" s="49"/>
      <c r="Z2320" s="49"/>
      <c r="BP2320" s="293"/>
    </row>
    <row r="2321" spans="12:68">
      <c r="L2321" s="296"/>
      <c r="M2321" s="30"/>
      <c r="N2321" s="38"/>
      <c r="O2321" s="38"/>
      <c r="P2321" s="38"/>
      <c r="Q2321" s="38"/>
      <c r="R2321" s="38"/>
      <c r="S2321" s="38"/>
      <c r="T2321" s="38"/>
      <c r="U2321" s="38"/>
      <c r="V2321" s="38"/>
      <c r="W2321" s="38"/>
      <c r="X2321" s="38"/>
      <c r="Y2321" s="49"/>
      <c r="Z2321" s="49"/>
      <c r="BP2321" s="293"/>
    </row>
    <row r="2322" spans="12:68">
      <c r="L2322" s="296"/>
      <c r="M2322" s="30"/>
      <c r="N2322" s="38"/>
      <c r="O2322" s="38"/>
      <c r="P2322" s="38"/>
      <c r="Q2322" s="38"/>
      <c r="R2322" s="38"/>
      <c r="S2322" s="38"/>
      <c r="T2322" s="38"/>
      <c r="U2322" s="38"/>
      <c r="V2322" s="38"/>
      <c r="W2322" s="38"/>
      <c r="X2322" s="38"/>
      <c r="Y2322" s="49"/>
      <c r="Z2322" s="49"/>
      <c r="BP2322" s="293"/>
    </row>
    <row r="2323" spans="12:68">
      <c r="L2323" s="296"/>
      <c r="M2323" s="30"/>
      <c r="N2323" s="38"/>
      <c r="O2323" s="38"/>
      <c r="P2323" s="38"/>
      <c r="Q2323" s="38"/>
      <c r="R2323" s="38"/>
      <c r="S2323" s="38"/>
      <c r="T2323" s="38"/>
      <c r="U2323" s="38"/>
      <c r="V2323" s="38"/>
      <c r="W2323" s="38"/>
      <c r="X2323" s="38"/>
      <c r="Y2323" s="49"/>
      <c r="Z2323" s="49"/>
      <c r="BP2323" s="293"/>
    </row>
    <row r="2324" spans="12:68">
      <c r="L2324" s="296"/>
      <c r="M2324" s="30"/>
      <c r="N2324" s="38"/>
      <c r="O2324" s="38"/>
      <c r="P2324" s="38"/>
      <c r="Q2324" s="38"/>
      <c r="R2324" s="38"/>
      <c r="S2324" s="38"/>
      <c r="T2324" s="38"/>
      <c r="U2324" s="38"/>
      <c r="V2324" s="38"/>
      <c r="W2324" s="38"/>
      <c r="X2324" s="38"/>
      <c r="Y2324" s="49"/>
      <c r="Z2324" s="49"/>
      <c r="BP2324" s="293"/>
    </row>
    <row r="2325" spans="12:68">
      <c r="L2325" s="296"/>
      <c r="M2325" s="30"/>
      <c r="N2325" s="38"/>
      <c r="O2325" s="38"/>
      <c r="P2325" s="38"/>
      <c r="Q2325" s="38"/>
      <c r="R2325" s="38"/>
      <c r="S2325" s="38"/>
      <c r="T2325" s="38"/>
      <c r="U2325" s="38"/>
      <c r="V2325" s="38"/>
      <c r="W2325" s="38"/>
      <c r="X2325" s="38"/>
      <c r="Y2325" s="49"/>
      <c r="Z2325" s="49"/>
      <c r="BP2325" s="293"/>
    </row>
    <row r="2326" spans="12:68">
      <c r="L2326" s="296"/>
      <c r="M2326" s="30"/>
      <c r="N2326" s="38"/>
      <c r="O2326" s="38"/>
      <c r="P2326" s="38"/>
      <c r="Q2326" s="38"/>
      <c r="R2326" s="38"/>
      <c r="S2326" s="38"/>
      <c r="T2326" s="38"/>
      <c r="U2326" s="38"/>
      <c r="V2326" s="38"/>
      <c r="W2326" s="38"/>
      <c r="X2326" s="38"/>
      <c r="Y2326" s="49"/>
      <c r="Z2326" s="49"/>
      <c r="BP2326" s="293"/>
    </row>
    <row r="2327" spans="12:68">
      <c r="L2327" s="296"/>
      <c r="M2327" s="30"/>
      <c r="N2327" s="38"/>
      <c r="O2327" s="38"/>
      <c r="P2327" s="38"/>
      <c r="Q2327" s="38"/>
      <c r="R2327" s="38"/>
      <c r="S2327" s="38"/>
      <c r="T2327" s="38"/>
      <c r="U2327" s="38"/>
      <c r="V2327" s="38"/>
      <c r="W2327" s="38"/>
      <c r="X2327" s="38"/>
      <c r="Y2327" s="49"/>
      <c r="Z2327" s="49"/>
      <c r="BP2327" s="293"/>
    </row>
    <row r="2328" spans="12:68">
      <c r="L2328" s="296"/>
      <c r="M2328" s="30"/>
      <c r="N2328" s="38"/>
      <c r="O2328" s="38"/>
      <c r="P2328" s="38"/>
      <c r="Q2328" s="38"/>
      <c r="R2328" s="38"/>
      <c r="S2328" s="38"/>
      <c r="T2328" s="38"/>
      <c r="U2328" s="38"/>
      <c r="V2328" s="38"/>
      <c r="W2328" s="38"/>
      <c r="X2328" s="38"/>
      <c r="Y2328" s="49"/>
      <c r="Z2328" s="49"/>
      <c r="BP2328" s="293"/>
    </row>
    <row r="2329" spans="12:68">
      <c r="L2329" s="296"/>
      <c r="M2329" s="30"/>
      <c r="N2329" s="38"/>
      <c r="O2329" s="38"/>
      <c r="P2329" s="38"/>
      <c r="Q2329" s="38"/>
      <c r="R2329" s="38"/>
      <c r="S2329" s="38"/>
      <c r="T2329" s="38"/>
      <c r="U2329" s="38"/>
      <c r="V2329" s="38"/>
      <c r="W2329" s="38"/>
      <c r="X2329" s="38"/>
      <c r="Y2329" s="49"/>
      <c r="Z2329" s="49"/>
      <c r="BP2329" s="293"/>
    </row>
    <row r="2330" spans="12:68">
      <c r="L2330" s="296"/>
      <c r="M2330" s="30"/>
      <c r="N2330" s="38"/>
      <c r="O2330" s="38"/>
      <c r="P2330" s="38"/>
      <c r="Q2330" s="38"/>
      <c r="R2330" s="38"/>
      <c r="S2330" s="38"/>
      <c r="T2330" s="38"/>
      <c r="U2330" s="38"/>
      <c r="V2330" s="38"/>
      <c r="W2330" s="38"/>
      <c r="X2330" s="38"/>
      <c r="Y2330" s="49"/>
      <c r="Z2330" s="49"/>
      <c r="BP2330" s="293"/>
    </row>
    <row r="2331" spans="12:68">
      <c r="L2331" s="296"/>
      <c r="M2331" s="30"/>
      <c r="N2331" s="38"/>
      <c r="O2331" s="38"/>
      <c r="P2331" s="38"/>
      <c r="Q2331" s="38"/>
      <c r="R2331" s="38"/>
      <c r="S2331" s="38"/>
      <c r="T2331" s="38"/>
      <c r="U2331" s="38"/>
      <c r="V2331" s="38"/>
      <c r="W2331" s="38"/>
      <c r="X2331" s="38"/>
      <c r="Y2331" s="49"/>
      <c r="Z2331" s="49"/>
      <c r="BP2331" s="293"/>
    </row>
    <row r="2332" spans="12:68">
      <c r="L2332" s="296"/>
      <c r="M2332" s="30"/>
      <c r="N2332" s="38"/>
      <c r="O2332" s="38"/>
      <c r="P2332" s="38"/>
      <c r="Q2332" s="38"/>
      <c r="R2332" s="38"/>
      <c r="S2332" s="38"/>
      <c r="T2332" s="38"/>
      <c r="U2332" s="38"/>
      <c r="V2332" s="38"/>
      <c r="W2332" s="38"/>
      <c r="X2332" s="38"/>
      <c r="Y2332" s="49"/>
      <c r="Z2332" s="49"/>
      <c r="BP2332" s="293"/>
    </row>
    <row r="2333" spans="12:68">
      <c r="L2333" s="296"/>
      <c r="M2333" s="30"/>
      <c r="N2333" s="38"/>
      <c r="O2333" s="38"/>
      <c r="P2333" s="38"/>
      <c r="Q2333" s="38"/>
      <c r="R2333" s="38"/>
      <c r="S2333" s="38"/>
      <c r="T2333" s="38"/>
      <c r="U2333" s="38"/>
      <c r="V2333" s="38"/>
      <c r="W2333" s="38"/>
      <c r="X2333" s="38"/>
      <c r="Y2333" s="49"/>
      <c r="Z2333" s="49"/>
      <c r="BP2333" s="293"/>
    </row>
    <row r="2334" spans="12:68">
      <c r="L2334" s="296"/>
      <c r="M2334" s="30"/>
      <c r="N2334" s="38"/>
      <c r="O2334" s="38"/>
      <c r="P2334" s="38"/>
      <c r="Q2334" s="38"/>
      <c r="R2334" s="38"/>
      <c r="S2334" s="38"/>
      <c r="T2334" s="38"/>
      <c r="U2334" s="38"/>
      <c r="V2334" s="38"/>
      <c r="W2334" s="38"/>
      <c r="X2334" s="38"/>
      <c r="Y2334" s="49"/>
      <c r="Z2334" s="49"/>
      <c r="BP2334" s="293"/>
    </row>
    <row r="2335" spans="12:68">
      <c r="L2335" s="296"/>
      <c r="M2335" s="30"/>
      <c r="N2335" s="38"/>
      <c r="O2335" s="38"/>
      <c r="P2335" s="38"/>
      <c r="Q2335" s="38"/>
      <c r="R2335" s="38"/>
      <c r="S2335" s="38"/>
      <c r="T2335" s="38"/>
      <c r="U2335" s="38"/>
      <c r="V2335" s="38"/>
      <c r="W2335" s="38"/>
      <c r="X2335" s="38"/>
      <c r="Y2335" s="49"/>
      <c r="Z2335" s="49"/>
      <c r="BP2335" s="293"/>
    </row>
    <row r="2336" spans="12:68">
      <c r="L2336" s="296"/>
      <c r="M2336" s="30"/>
      <c r="N2336" s="38"/>
      <c r="O2336" s="38"/>
      <c r="P2336" s="38"/>
      <c r="Q2336" s="38"/>
      <c r="R2336" s="38"/>
      <c r="S2336" s="38"/>
      <c r="T2336" s="38"/>
      <c r="U2336" s="38"/>
      <c r="V2336" s="38"/>
      <c r="W2336" s="38"/>
      <c r="X2336" s="38"/>
      <c r="Y2336" s="49"/>
      <c r="Z2336" s="49"/>
      <c r="BP2336" s="293"/>
    </row>
    <row r="2337" spans="12:68">
      <c r="L2337" s="296"/>
      <c r="M2337" s="30"/>
      <c r="N2337" s="38"/>
      <c r="O2337" s="38"/>
      <c r="P2337" s="38"/>
      <c r="Q2337" s="38"/>
      <c r="R2337" s="38"/>
      <c r="S2337" s="38"/>
      <c r="T2337" s="38"/>
      <c r="U2337" s="38"/>
      <c r="V2337" s="38"/>
      <c r="W2337" s="38"/>
      <c r="X2337" s="38"/>
      <c r="Y2337" s="49"/>
      <c r="Z2337" s="49"/>
      <c r="BP2337" s="293"/>
    </row>
    <row r="2338" spans="12:68">
      <c r="L2338" s="296"/>
      <c r="M2338" s="30"/>
      <c r="N2338" s="38"/>
      <c r="O2338" s="38"/>
      <c r="P2338" s="38"/>
      <c r="Q2338" s="38"/>
      <c r="R2338" s="38"/>
      <c r="S2338" s="38"/>
      <c r="T2338" s="38"/>
      <c r="U2338" s="38"/>
      <c r="V2338" s="38"/>
      <c r="W2338" s="38"/>
      <c r="X2338" s="38"/>
      <c r="Y2338" s="49"/>
      <c r="Z2338" s="49"/>
      <c r="BP2338" s="293"/>
    </row>
    <row r="2339" spans="12:68">
      <c r="L2339" s="296"/>
      <c r="M2339" s="30"/>
      <c r="N2339" s="38"/>
      <c r="O2339" s="38"/>
      <c r="P2339" s="38"/>
      <c r="Q2339" s="38"/>
      <c r="R2339" s="38"/>
      <c r="S2339" s="38"/>
      <c r="T2339" s="38"/>
      <c r="U2339" s="38"/>
      <c r="V2339" s="38"/>
      <c r="W2339" s="38"/>
      <c r="X2339" s="38"/>
      <c r="Y2339" s="49"/>
      <c r="Z2339" s="49"/>
      <c r="BP2339" s="293"/>
    </row>
    <row r="2340" spans="12:68">
      <c r="L2340" s="296"/>
      <c r="M2340" s="30"/>
      <c r="N2340" s="38"/>
      <c r="O2340" s="38"/>
      <c r="P2340" s="38"/>
      <c r="Q2340" s="38"/>
      <c r="R2340" s="38"/>
      <c r="S2340" s="38"/>
      <c r="T2340" s="38"/>
      <c r="U2340" s="38"/>
      <c r="V2340" s="38"/>
      <c r="W2340" s="38"/>
      <c r="X2340" s="38"/>
      <c r="Y2340" s="49"/>
      <c r="Z2340" s="49"/>
      <c r="BP2340" s="293"/>
    </row>
    <row r="2341" spans="12:68">
      <c r="L2341" s="296"/>
      <c r="M2341" s="30"/>
      <c r="N2341" s="38"/>
      <c r="O2341" s="38"/>
      <c r="P2341" s="38"/>
      <c r="Q2341" s="38"/>
      <c r="R2341" s="38"/>
      <c r="S2341" s="38"/>
      <c r="T2341" s="38"/>
      <c r="U2341" s="38"/>
      <c r="V2341" s="38"/>
      <c r="W2341" s="38"/>
      <c r="X2341" s="38"/>
      <c r="Y2341" s="49"/>
      <c r="Z2341" s="49"/>
      <c r="BP2341" s="293"/>
    </row>
    <row r="2342" spans="12:68">
      <c r="L2342" s="296"/>
      <c r="M2342" s="30"/>
      <c r="N2342" s="38"/>
      <c r="O2342" s="38"/>
      <c r="P2342" s="38"/>
      <c r="Q2342" s="38"/>
      <c r="R2342" s="38"/>
      <c r="S2342" s="38"/>
      <c r="T2342" s="38"/>
      <c r="U2342" s="38"/>
      <c r="V2342" s="38"/>
      <c r="W2342" s="38"/>
      <c r="X2342" s="38"/>
      <c r="Y2342" s="49"/>
      <c r="Z2342" s="49"/>
      <c r="BP2342" s="293"/>
    </row>
    <row r="2343" spans="12:68">
      <c r="L2343" s="296"/>
      <c r="M2343" s="30"/>
      <c r="N2343" s="38"/>
      <c r="O2343" s="38"/>
      <c r="P2343" s="38"/>
      <c r="Q2343" s="38"/>
      <c r="R2343" s="38"/>
      <c r="S2343" s="38"/>
      <c r="T2343" s="38"/>
      <c r="U2343" s="38"/>
      <c r="V2343" s="38"/>
      <c r="W2343" s="38"/>
      <c r="X2343" s="38"/>
      <c r="Y2343" s="49"/>
      <c r="Z2343" s="49"/>
      <c r="BP2343" s="293"/>
    </row>
    <row r="2344" spans="12:68">
      <c r="L2344" s="296"/>
      <c r="M2344" s="30"/>
      <c r="N2344" s="38"/>
      <c r="O2344" s="38"/>
      <c r="P2344" s="38"/>
      <c r="Q2344" s="38"/>
      <c r="R2344" s="38"/>
      <c r="S2344" s="38"/>
      <c r="T2344" s="38"/>
      <c r="U2344" s="38"/>
      <c r="V2344" s="38"/>
      <c r="W2344" s="38"/>
      <c r="X2344" s="38"/>
      <c r="Y2344" s="49"/>
      <c r="Z2344" s="49"/>
      <c r="BP2344" s="293"/>
    </row>
    <row r="2345" spans="12:68">
      <c r="L2345" s="296"/>
      <c r="M2345" s="30"/>
      <c r="N2345" s="38"/>
      <c r="O2345" s="38"/>
      <c r="P2345" s="38"/>
      <c r="Q2345" s="38"/>
      <c r="R2345" s="38"/>
      <c r="S2345" s="38"/>
      <c r="T2345" s="38"/>
      <c r="U2345" s="38"/>
      <c r="V2345" s="38"/>
      <c r="W2345" s="38"/>
      <c r="X2345" s="38"/>
      <c r="Y2345" s="49"/>
      <c r="Z2345" s="49"/>
      <c r="BP2345" s="293"/>
    </row>
    <row r="2346" spans="12:68">
      <c r="L2346" s="296"/>
      <c r="M2346" s="30"/>
      <c r="N2346" s="38"/>
      <c r="O2346" s="38"/>
      <c r="P2346" s="38"/>
      <c r="Q2346" s="38"/>
      <c r="R2346" s="38"/>
      <c r="S2346" s="38"/>
      <c r="T2346" s="38"/>
      <c r="U2346" s="38"/>
      <c r="V2346" s="38"/>
      <c r="W2346" s="38"/>
      <c r="X2346" s="38"/>
      <c r="Y2346" s="49"/>
      <c r="Z2346" s="49"/>
      <c r="BP2346" s="293"/>
    </row>
    <row r="2347" spans="12:68">
      <c r="L2347" s="296"/>
      <c r="M2347" s="30"/>
      <c r="N2347" s="38"/>
      <c r="O2347" s="38"/>
      <c r="P2347" s="38"/>
      <c r="Q2347" s="38"/>
      <c r="R2347" s="38"/>
      <c r="S2347" s="38"/>
      <c r="T2347" s="38"/>
      <c r="U2347" s="38"/>
      <c r="V2347" s="38"/>
      <c r="W2347" s="38"/>
      <c r="X2347" s="38"/>
      <c r="Y2347" s="49"/>
      <c r="Z2347" s="49"/>
      <c r="BP2347" s="293"/>
    </row>
    <row r="2348" spans="12:68">
      <c r="L2348" s="296"/>
      <c r="M2348" s="30"/>
      <c r="N2348" s="38"/>
      <c r="O2348" s="38"/>
      <c r="P2348" s="38"/>
      <c r="Q2348" s="38"/>
      <c r="R2348" s="38"/>
      <c r="S2348" s="38"/>
      <c r="T2348" s="38"/>
      <c r="U2348" s="38"/>
      <c r="V2348" s="38"/>
      <c r="W2348" s="38"/>
      <c r="X2348" s="38"/>
      <c r="Y2348" s="49"/>
      <c r="Z2348" s="49"/>
      <c r="BP2348" s="293"/>
    </row>
    <row r="2349" spans="12:68">
      <c r="L2349" s="296"/>
      <c r="M2349" s="30"/>
      <c r="N2349" s="38"/>
      <c r="O2349" s="38"/>
      <c r="P2349" s="38"/>
      <c r="Q2349" s="38"/>
      <c r="R2349" s="38"/>
      <c r="S2349" s="38"/>
      <c r="T2349" s="38"/>
      <c r="U2349" s="38"/>
      <c r="V2349" s="38"/>
      <c r="W2349" s="38"/>
      <c r="X2349" s="38"/>
      <c r="Y2349" s="49"/>
      <c r="Z2349" s="49"/>
      <c r="BP2349" s="293"/>
    </row>
    <row r="2350" spans="12:68">
      <c r="L2350" s="296"/>
      <c r="M2350" s="30"/>
      <c r="N2350" s="38"/>
      <c r="O2350" s="38"/>
      <c r="P2350" s="38"/>
      <c r="Q2350" s="38"/>
      <c r="R2350" s="38"/>
      <c r="S2350" s="38"/>
      <c r="T2350" s="38"/>
      <c r="U2350" s="38"/>
      <c r="V2350" s="38"/>
      <c r="W2350" s="38"/>
      <c r="X2350" s="38"/>
      <c r="Y2350" s="49"/>
      <c r="Z2350" s="49"/>
      <c r="BP2350" s="293"/>
    </row>
    <row r="2351" spans="12:68">
      <c r="L2351" s="296"/>
      <c r="M2351" s="30"/>
      <c r="N2351" s="38"/>
      <c r="O2351" s="38"/>
      <c r="P2351" s="38"/>
      <c r="Q2351" s="38"/>
      <c r="R2351" s="38"/>
      <c r="S2351" s="38"/>
      <c r="T2351" s="38"/>
      <c r="U2351" s="38"/>
      <c r="V2351" s="38"/>
      <c r="W2351" s="38"/>
      <c r="X2351" s="38"/>
      <c r="Y2351" s="49"/>
      <c r="Z2351" s="49"/>
      <c r="BP2351" s="293"/>
    </row>
    <row r="2352" spans="12:68">
      <c r="L2352" s="296"/>
      <c r="M2352" s="30"/>
      <c r="N2352" s="38"/>
      <c r="O2352" s="38"/>
      <c r="P2352" s="38"/>
      <c r="Q2352" s="38"/>
      <c r="R2352" s="38"/>
      <c r="S2352" s="38"/>
      <c r="T2352" s="38"/>
      <c r="U2352" s="38"/>
      <c r="V2352" s="38"/>
      <c r="W2352" s="38"/>
      <c r="X2352" s="38"/>
      <c r="Y2352" s="49"/>
      <c r="Z2352" s="49"/>
      <c r="BP2352" s="293"/>
    </row>
    <row r="2353" spans="12:68">
      <c r="L2353" s="296"/>
      <c r="M2353" s="30"/>
      <c r="N2353" s="38"/>
      <c r="O2353" s="38"/>
      <c r="P2353" s="38"/>
      <c r="Q2353" s="38"/>
      <c r="R2353" s="38"/>
      <c r="S2353" s="38"/>
      <c r="T2353" s="38"/>
      <c r="U2353" s="38"/>
      <c r="V2353" s="38"/>
      <c r="W2353" s="38"/>
      <c r="X2353" s="38"/>
      <c r="Y2353" s="49"/>
      <c r="Z2353" s="49"/>
      <c r="BP2353" s="293"/>
    </row>
    <row r="2354" spans="12:68">
      <c r="L2354" s="296"/>
      <c r="M2354" s="30"/>
      <c r="N2354" s="38"/>
      <c r="O2354" s="38"/>
      <c r="P2354" s="38"/>
      <c r="Q2354" s="38"/>
      <c r="R2354" s="38"/>
      <c r="S2354" s="38"/>
      <c r="T2354" s="38"/>
      <c r="U2354" s="38"/>
      <c r="V2354" s="38"/>
      <c r="W2354" s="38"/>
      <c r="X2354" s="38"/>
      <c r="Y2354" s="49"/>
      <c r="Z2354" s="49"/>
      <c r="BP2354" s="293"/>
    </row>
    <row r="2355" spans="12:68">
      <c r="L2355" s="296"/>
      <c r="M2355" s="30"/>
      <c r="N2355" s="38"/>
      <c r="O2355" s="38"/>
      <c r="P2355" s="38"/>
      <c r="Q2355" s="38"/>
      <c r="R2355" s="38"/>
      <c r="S2355" s="38"/>
      <c r="T2355" s="38"/>
      <c r="U2355" s="38"/>
      <c r="V2355" s="38"/>
      <c r="W2355" s="38"/>
      <c r="X2355" s="38"/>
      <c r="Y2355" s="49"/>
      <c r="Z2355" s="49"/>
      <c r="BP2355" s="293"/>
    </row>
    <row r="2356" spans="12:68">
      <c r="L2356" s="296"/>
      <c r="M2356" s="30"/>
      <c r="N2356" s="38"/>
      <c r="O2356" s="38"/>
      <c r="P2356" s="38"/>
      <c r="Q2356" s="38"/>
      <c r="R2356" s="38"/>
      <c r="S2356" s="38"/>
      <c r="T2356" s="38"/>
      <c r="U2356" s="38"/>
      <c r="V2356" s="38"/>
      <c r="W2356" s="38"/>
      <c r="X2356" s="38"/>
      <c r="Y2356" s="49"/>
      <c r="Z2356" s="49"/>
      <c r="BP2356" s="293"/>
    </row>
    <row r="2357" spans="12:68">
      <c r="L2357" s="296"/>
      <c r="M2357" s="30"/>
      <c r="N2357" s="38"/>
      <c r="O2357" s="38"/>
      <c r="P2357" s="38"/>
      <c r="Q2357" s="38"/>
      <c r="R2357" s="38"/>
      <c r="S2357" s="38"/>
      <c r="T2357" s="38"/>
      <c r="U2357" s="38"/>
      <c r="V2357" s="38"/>
      <c r="W2357" s="38"/>
      <c r="X2357" s="38"/>
      <c r="Y2357" s="49"/>
      <c r="Z2357" s="49"/>
      <c r="BP2357" s="293"/>
    </row>
    <row r="2358" spans="12:68">
      <c r="L2358" s="296"/>
      <c r="M2358" s="30"/>
      <c r="N2358" s="38"/>
      <c r="O2358" s="38"/>
      <c r="P2358" s="38"/>
      <c r="Q2358" s="38"/>
      <c r="R2358" s="38"/>
      <c r="S2358" s="38"/>
      <c r="T2358" s="38"/>
      <c r="U2358" s="38"/>
      <c r="V2358" s="38"/>
      <c r="W2358" s="38"/>
      <c r="X2358" s="38"/>
      <c r="Y2358" s="49"/>
      <c r="Z2358" s="49"/>
      <c r="BP2358" s="293"/>
    </row>
    <row r="2359" spans="12:68">
      <c r="L2359" s="296"/>
      <c r="M2359" s="30"/>
      <c r="N2359" s="38"/>
      <c r="O2359" s="38"/>
      <c r="P2359" s="38"/>
      <c r="Q2359" s="38"/>
      <c r="R2359" s="38"/>
      <c r="S2359" s="38"/>
      <c r="T2359" s="38"/>
      <c r="U2359" s="38"/>
      <c r="V2359" s="38"/>
      <c r="W2359" s="38"/>
      <c r="X2359" s="38"/>
      <c r="Y2359" s="49"/>
      <c r="Z2359" s="49"/>
      <c r="BP2359" s="293"/>
    </row>
    <row r="2360" spans="12:68">
      <c r="L2360" s="296"/>
      <c r="M2360" s="30"/>
      <c r="N2360" s="38"/>
      <c r="O2360" s="38"/>
      <c r="P2360" s="38"/>
      <c r="Q2360" s="38"/>
      <c r="R2360" s="38"/>
      <c r="S2360" s="38"/>
      <c r="T2360" s="38"/>
      <c r="U2360" s="38"/>
      <c r="V2360" s="38"/>
      <c r="W2360" s="38"/>
      <c r="X2360" s="38"/>
      <c r="Y2360" s="49"/>
      <c r="Z2360" s="49"/>
      <c r="BP2360" s="293"/>
    </row>
    <row r="2361" spans="12:68">
      <c r="L2361" s="296"/>
      <c r="M2361" s="30"/>
      <c r="N2361" s="38"/>
      <c r="O2361" s="38"/>
      <c r="P2361" s="38"/>
      <c r="Q2361" s="38"/>
      <c r="R2361" s="38"/>
      <c r="S2361" s="38"/>
      <c r="T2361" s="38"/>
      <c r="U2361" s="38"/>
      <c r="V2361" s="38"/>
      <c r="W2361" s="38"/>
      <c r="X2361" s="38"/>
      <c r="Y2361" s="49"/>
      <c r="Z2361" s="49"/>
      <c r="BP2361" s="293"/>
    </row>
    <row r="2362" spans="12:68">
      <c r="L2362" s="296"/>
      <c r="M2362" s="30"/>
      <c r="N2362" s="38"/>
      <c r="O2362" s="38"/>
      <c r="P2362" s="38"/>
      <c r="Q2362" s="38"/>
      <c r="R2362" s="38"/>
      <c r="S2362" s="38"/>
      <c r="T2362" s="38"/>
      <c r="U2362" s="38"/>
      <c r="V2362" s="38"/>
      <c r="W2362" s="38"/>
      <c r="X2362" s="38"/>
      <c r="Y2362" s="49"/>
      <c r="Z2362" s="49"/>
      <c r="BP2362" s="293"/>
    </row>
    <row r="2363" spans="12:68">
      <c r="L2363" s="296"/>
      <c r="M2363" s="30"/>
      <c r="N2363" s="38"/>
      <c r="O2363" s="38"/>
      <c r="P2363" s="38"/>
      <c r="Q2363" s="38"/>
      <c r="R2363" s="38"/>
      <c r="S2363" s="38"/>
      <c r="T2363" s="38"/>
      <c r="U2363" s="38"/>
      <c r="V2363" s="38"/>
      <c r="W2363" s="38"/>
      <c r="X2363" s="38"/>
      <c r="Y2363" s="49"/>
      <c r="Z2363" s="49"/>
      <c r="BP2363" s="293"/>
    </row>
    <row r="2364" spans="12:68">
      <c r="L2364" s="296"/>
      <c r="M2364" s="30"/>
      <c r="N2364" s="38"/>
      <c r="O2364" s="38"/>
      <c r="P2364" s="38"/>
      <c r="Q2364" s="38"/>
      <c r="R2364" s="38"/>
      <c r="S2364" s="38"/>
      <c r="T2364" s="38"/>
      <c r="U2364" s="38"/>
      <c r="V2364" s="38"/>
      <c r="W2364" s="38"/>
      <c r="X2364" s="38"/>
      <c r="Y2364" s="49"/>
      <c r="Z2364" s="49"/>
      <c r="BP2364" s="293"/>
    </row>
    <row r="2365" spans="12:68">
      <c r="L2365" s="296"/>
      <c r="M2365" s="30"/>
      <c r="N2365" s="38"/>
      <c r="O2365" s="38"/>
      <c r="P2365" s="38"/>
      <c r="Q2365" s="38"/>
      <c r="R2365" s="38"/>
      <c r="S2365" s="38"/>
      <c r="T2365" s="38"/>
      <c r="U2365" s="38"/>
      <c r="V2365" s="38"/>
      <c r="W2365" s="38"/>
      <c r="X2365" s="38"/>
      <c r="Y2365" s="49"/>
      <c r="Z2365" s="49"/>
      <c r="BP2365" s="293"/>
    </row>
    <row r="2366" spans="12:68">
      <c r="L2366" s="296"/>
      <c r="M2366" s="30"/>
      <c r="N2366" s="38"/>
      <c r="O2366" s="38"/>
      <c r="P2366" s="38"/>
      <c r="Q2366" s="38"/>
      <c r="R2366" s="38"/>
      <c r="S2366" s="38"/>
      <c r="T2366" s="38"/>
      <c r="U2366" s="38"/>
      <c r="V2366" s="38"/>
      <c r="W2366" s="38"/>
      <c r="X2366" s="38"/>
      <c r="Y2366" s="49"/>
      <c r="Z2366" s="49"/>
      <c r="BP2366" s="293"/>
    </row>
    <row r="2367" spans="12:68">
      <c r="L2367" s="296"/>
      <c r="M2367" s="30"/>
      <c r="N2367" s="38"/>
      <c r="O2367" s="38"/>
      <c r="P2367" s="38"/>
      <c r="Q2367" s="38"/>
      <c r="R2367" s="38"/>
      <c r="S2367" s="38"/>
      <c r="T2367" s="38"/>
      <c r="U2367" s="38"/>
      <c r="V2367" s="38"/>
      <c r="W2367" s="38"/>
      <c r="X2367" s="38"/>
      <c r="Y2367" s="49"/>
      <c r="Z2367" s="49"/>
      <c r="BP2367" s="293"/>
    </row>
    <row r="2368" spans="12:68">
      <c r="L2368" s="296"/>
      <c r="M2368" s="30"/>
      <c r="N2368" s="38"/>
      <c r="O2368" s="38"/>
      <c r="P2368" s="38"/>
      <c r="Q2368" s="38"/>
      <c r="R2368" s="38"/>
      <c r="S2368" s="38"/>
      <c r="T2368" s="38"/>
      <c r="U2368" s="38"/>
      <c r="V2368" s="38"/>
      <c r="W2368" s="38"/>
      <c r="X2368" s="38"/>
      <c r="Y2368" s="49"/>
      <c r="Z2368" s="49"/>
      <c r="BP2368" s="293"/>
    </row>
    <row r="2369" spans="12:68">
      <c r="L2369" s="296"/>
      <c r="M2369" s="30"/>
      <c r="N2369" s="38"/>
      <c r="O2369" s="38"/>
      <c r="P2369" s="38"/>
      <c r="Q2369" s="38"/>
      <c r="R2369" s="38"/>
      <c r="S2369" s="38"/>
      <c r="T2369" s="38"/>
      <c r="U2369" s="38"/>
      <c r="V2369" s="38"/>
      <c r="W2369" s="38"/>
      <c r="X2369" s="38"/>
      <c r="Y2369" s="49"/>
      <c r="Z2369" s="49"/>
      <c r="BP2369" s="293"/>
    </row>
    <row r="2370" spans="12:68">
      <c r="L2370" s="296"/>
      <c r="M2370" s="30"/>
      <c r="N2370" s="38"/>
      <c r="O2370" s="38"/>
      <c r="P2370" s="38"/>
      <c r="Q2370" s="38"/>
      <c r="R2370" s="38"/>
      <c r="S2370" s="38"/>
      <c r="T2370" s="38"/>
      <c r="U2370" s="38"/>
      <c r="V2370" s="38"/>
      <c r="W2370" s="38"/>
      <c r="X2370" s="38"/>
      <c r="Y2370" s="49"/>
      <c r="Z2370" s="49"/>
      <c r="BP2370" s="293"/>
    </row>
    <row r="2371" spans="12:68">
      <c r="L2371" s="296"/>
      <c r="M2371" s="30"/>
      <c r="N2371" s="38"/>
      <c r="O2371" s="38"/>
      <c r="P2371" s="38"/>
      <c r="Q2371" s="38"/>
      <c r="R2371" s="38"/>
      <c r="S2371" s="38"/>
      <c r="T2371" s="38"/>
      <c r="U2371" s="38"/>
      <c r="V2371" s="38"/>
      <c r="W2371" s="38"/>
      <c r="X2371" s="38"/>
      <c r="Y2371" s="49"/>
      <c r="Z2371" s="49"/>
      <c r="BP2371" s="293"/>
    </row>
    <row r="2372" spans="12:68">
      <c r="L2372" s="296"/>
      <c r="M2372" s="30"/>
      <c r="N2372" s="38"/>
      <c r="O2372" s="38"/>
      <c r="P2372" s="38"/>
      <c r="Q2372" s="38"/>
      <c r="R2372" s="38"/>
      <c r="S2372" s="38"/>
      <c r="T2372" s="38"/>
      <c r="U2372" s="38"/>
      <c r="V2372" s="38"/>
      <c r="W2372" s="38"/>
      <c r="X2372" s="38"/>
      <c r="Y2372" s="49"/>
      <c r="Z2372" s="49"/>
      <c r="BP2372" s="293"/>
    </row>
    <row r="2373" spans="12:68">
      <c r="L2373" s="296"/>
      <c r="M2373" s="30"/>
      <c r="N2373" s="38"/>
      <c r="O2373" s="38"/>
      <c r="P2373" s="38"/>
      <c r="Q2373" s="38"/>
      <c r="R2373" s="38"/>
      <c r="S2373" s="38"/>
      <c r="T2373" s="38"/>
      <c r="U2373" s="38"/>
      <c r="V2373" s="38"/>
      <c r="W2373" s="38"/>
      <c r="X2373" s="38"/>
      <c r="Y2373" s="49"/>
      <c r="Z2373" s="49"/>
      <c r="BP2373" s="293"/>
    </row>
    <row r="2374" spans="12:68">
      <c r="L2374" s="296"/>
      <c r="M2374" s="30"/>
      <c r="N2374" s="38"/>
      <c r="O2374" s="38"/>
      <c r="P2374" s="38"/>
      <c r="Q2374" s="38"/>
      <c r="R2374" s="38"/>
      <c r="S2374" s="38"/>
      <c r="T2374" s="38"/>
      <c r="U2374" s="38"/>
      <c r="V2374" s="38"/>
      <c r="W2374" s="38"/>
      <c r="X2374" s="38"/>
      <c r="Y2374" s="49"/>
      <c r="Z2374" s="49"/>
      <c r="BP2374" s="293"/>
    </row>
    <row r="2375" spans="12:68">
      <c r="L2375" s="296"/>
      <c r="M2375" s="30"/>
      <c r="N2375" s="38"/>
      <c r="O2375" s="38"/>
      <c r="P2375" s="38"/>
      <c r="Q2375" s="38"/>
      <c r="R2375" s="38"/>
      <c r="S2375" s="38"/>
      <c r="T2375" s="38"/>
      <c r="U2375" s="38"/>
      <c r="V2375" s="38"/>
      <c r="W2375" s="38"/>
      <c r="X2375" s="38"/>
      <c r="Y2375" s="49"/>
      <c r="Z2375" s="49"/>
      <c r="BP2375" s="293"/>
    </row>
    <row r="2376" spans="12:68">
      <c r="L2376" s="296"/>
      <c r="M2376" s="30"/>
      <c r="N2376" s="38"/>
      <c r="O2376" s="38"/>
      <c r="P2376" s="38"/>
      <c r="Q2376" s="38"/>
      <c r="R2376" s="38"/>
      <c r="S2376" s="38"/>
      <c r="T2376" s="38"/>
      <c r="U2376" s="38"/>
      <c r="V2376" s="38"/>
      <c r="W2376" s="38"/>
      <c r="X2376" s="38"/>
      <c r="Y2376" s="49"/>
      <c r="Z2376" s="49"/>
      <c r="BP2376" s="293"/>
    </row>
    <row r="2377" spans="12:68">
      <c r="L2377" s="296"/>
      <c r="M2377" s="30"/>
      <c r="N2377" s="38"/>
      <c r="O2377" s="38"/>
      <c r="P2377" s="38"/>
      <c r="Q2377" s="38"/>
      <c r="R2377" s="38"/>
      <c r="S2377" s="38"/>
      <c r="T2377" s="38"/>
      <c r="U2377" s="38"/>
      <c r="V2377" s="38"/>
      <c r="W2377" s="38"/>
      <c r="X2377" s="38"/>
      <c r="Y2377" s="49"/>
      <c r="Z2377" s="49"/>
      <c r="BP2377" s="293"/>
    </row>
    <row r="2378" spans="12:68">
      <c r="L2378" s="296"/>
      <c r="M2378" s="30"/>
      <c r="N2378" s="38"/>
      <c r="O2378" s="38"/>
      <c r="P2378" s="38"/>
      <c r="Q2378" s="38"/>
      <c r="R2378" s="38"/>
      <c r="S2378" s="38"/>
      <c r="T2378" s="38"/>
      <c r="U2378" s="38"/>
      <c r="V2378" s="38"/>
      <c r="W2378" s="38"/>
      <c r="X2378" s="38"/>
      <c r="Y2378" s="49"/>
      <c r="Z2378" s="49"/>
      <c r="BP2378" s="293"/>
    </row>
    <row r="2379" spans="12:68">
      <c r="L2379" s="296"/>
      <c r="M2379" s="30"/>
      <c r="N2379" s="38"/>
      <c r="O2379" s="38"/>
      <c r="P2379" s="38"/>
      <c r="Q2379" s="38"/>
      <c r="R2379" s="38"/>
      <c r="S2379" s="38"/>
      <c r="T2379" s="38"/>
      <c r="U2379" s="38"/>
      <c r="V2379" s="38"/>
      <c r="W2379" s="38"/>
      <c r="X2379" s="38"/>
      <c r="Y2379" s="49"/>
      <c r="Z2379" s="49"/>
      <c r="BP2379" s="293"/>
    </row>
    <row r="2380" spans="12:68">
      <c r="L2380" s="296"/>
      <c r="M2380" s="30"/>
      <c r="N2380" s="38"/>
      <c r="O2380" s="38"/>
      <c r="P2380" s="38"/>
      <c r="Q2380" s="38"/>
      <c r="R2380" s="38"/>
      <c r="S2380" s="38"/>
      <c r="T2380" s="38"/>
      <c r="U2380" s="38"/>
      <c r="V2380" s="38"/>
      <c r="W2380" s="38"/>
      <c r="X2380" s="38"/>
      <c r="Y2380" s="49"/>
      <c r="Z2380" s="49"/>
      <c r="BP2380" s="293"/>
    </row>
    <row r="2381" spans="12:68">
      <c r="L2381" s="296"/>
      <c r="M2381" s="30"/>
      <c r="N2381" s="38"/>
      <c r="O2381" s="38"/>
      <c r="P2381" s="38"/>
      <c r="Q2381" s="38"/>
      <c r="R2381" s="38"/>
      <c r="S2381" s="38"/>
      <c r="T2381" s="38"/>
      <c r="U2381" s="38"/>
      <c r="V2381" s="38"/>
      <c r="W2381" s="38"/>
      <c r="X2381" s="38"/>
      <c r="Y2381" s="49"/>
      <c r="Z2381" s="49"/>
      <c r="BP2381" s="293"/>
    </row>
    <row r="2382" spans="12:68">
      <c r="L2382" s="296"/>
      <c r="M2382" s="30"/>
      <c r="N2382" s="38"/>
      <c r="O2382" s="38"/>
      <c r="P2382" s="38"/>
      <c r="Q2382" s="38"/>
      <c r="R2382" s="38"/>
      <c r="S2382" s="38"/>
      <c r="T2382" s="38"/>
      <c r="U2382" s="38"/>
      <c r="V2382" s="38"/>
      <c r="W2382" s="38"/>
      <c r="X2382" s="38"/>
      <c r="Y2382" s="49"/>
      <c r="Z2382" s="49"/>
      <c r="BP2382" s="293"/>
    </row>
    <row r="2383" spans="12:68">
      <c r="L2383" s="296"/>
      <c r="M2383" s="30"/>
      <c r="N2383" s="38"/>
      <c r="O2383" s="38"/>
      <c r="P2383" s="38"/>
      <c r="Q2383" s="38"/>
      <c r="R2383" s="38"/>
      <c r="S2383" s="38"/>
      <c r="T2383" s="38"/>
      <c r="U2383" s="38"/>
      <c r="V2383" s="38"/>
      <c r="W2383" s="38"/>
      <c r="X2383" s="38"/>
      <c r="Y2383" s="49"/>
      <c r="Z2383" s="49"/>
      <c r="BP2383" s="293"/>
    </row>
    <row r="2384" spans="12:68">
      <c r="L2384" s="296"/>
      <c r="M2384" s="30"/>
      <c r="N2384" s="38"/>
      <c r="O2384" s="38"/>
      <c r="P2384" s="38"/>
      <c r="Q2384" s="38"/>
      <c r="R2384" s="38"/>
      <c r="S2384" s="38"/>
      <c r="T2384" s="38"/>
      <c r="U2384" s="38"/>
      <c r="V2384" s="38"/>
      <c r="W2384" s="38"/>
      <c r="X2384" s="38"/>
      <c r="Y2384" s="49"/>
      <c r="Z2384" s="49"/>
      <c r="BP2384" s="293"/>
    </row>
    <row r="2385" spans="12:68">
      <c r="L2385" s="296"/>
      <c r="M2385" s="30"/>
      <c r="N2385" s="38"/>
      <c r="O2385" s="38"/>
      <c r="P2385" s="38"/>
      <c r="Q2385" s="38"/>
      <c r="R2385" s="38"/>
      <c r="S2385" s="38"/>
      <c r="T2385" s="38"/>
      <c r="U2385" s="38"/>
      <c r="V2385" s="38"/>
      <c r="W2385" s="38"/>
      <c r="X2385" s="38"/>
      <c r="Y2385" s="49"/>
      <c r="Z2385" s="49"/>
      <c r="BP2385" s="293"/>
    </row>
    <row r="2386" spans="12:68">
      <c r="L2386" s="296"/>
      <c r="M2386" s="30"/>
      <c r="N2386" s="38"/>
      <c r="O2386" s="38"/>
      <c r="P2386" s="38"/>
      <c r="Q2386" s="38"/>
      <c r="R2386" s="38"/>
      <c r="S2386" s="38"/>
      <c r="T2386" s="38"/>
      <c r="U2386" s="38"/>
      <c r="V2386" s="38"/>
      <c r="W2386" s="38"/>
      <c r="X2386" s="38"/>
      <c r="Y2386" s="49"/>
      <c r="Z2386" s="49"/>
      <c r="BP2386" s="293"/>
    </row>
    <row r="2387" spans="12:68">
      <c r="L2387" s="296"/>
      <c r="M2387" s="30"/>
      <c r="N2387" s="38"/>
      <c r="O2387" s="38"/>
      <c r="P2387" s="38"/>
      <c r="Q2387" s="38"/>
      <c r="R2387" s="38"/>
      <c r="S2387" s="38"/>
      <c r="T2387" s="38"/>
      <c r="U2387" s="38"/>
      <c r="V2387" s="38"/>
      <c r="W2387" s="38"/>
      <c r="X2387" s="38"/>
      <c r="Y2387" s="49"/>
      <c r="Z2387" s="49"/>
      <c r="BP2387" s="293"/>
    </row>
    <row r="2388" spans="12:68">
      <c r="L2388" s="296"/>
      <c r="M2388" s="30"/>
      <c r="N2388" s="38"/>
      <c r="O2388" s="38"/>
      <c r="P2388" s="38"/>
      <c r="Q2388" s="38"/>
      <c r="R2388" s="38"/>
      <c r="S2388" s="38"/>
      <c r="T2388" s="38"/>
      <c r="U2388" s="38"/>
      <c r="V2388" s="38"/>
      <c r="W2388" s="38"/>
      <c r="X2388" s="38"/>
      <c r="Y2388" s="49"/>
      <c r="Z2388" s="49"/>
      <c r="BP2388" s="293"/>
    </row>
    <row r="2389" spans="12:68">
      <c r="L2389" s="296"/>
      <c r="M2389" s="30"/>
      <c r="N2389" s="38"/>
      <c r="O2389" s="38"/>
      <c r="P2389" s="38"/>
      <c r="Q2389" s="38"/>
      <c r="R2389" s="38"/>
      <c r="S2389" s="38"/>
      <c r="T2389" s="38"/>
      <c r="U2389" s="38"/>
      <c r="V2389" s="38"/>
      <c r="W2389" s="38"/>
      <c r="X2389" s="38"/>
      <c r="Y2389" s="49"/>
      <c r="Z2389" s="49"/>
      <c r="BP2389" s="293"/>
    </row>
    <row r="2390" spans="12:68">
      <c r="L2390" s="296"/>
      <c r="M2390" s="30"/>
      <c r="N2390" s="38"/>
      <c r="O2390" s="38"/>
      <c r="P2390" s="38"/>
      <c r="Q2390" s="38"/>
      <c r="R2390" s="38"/>
      <c r="S2390" s="38"/>
      <c r="T2390" s="38"/>
      <c r="U2390" s="38"/>
      <c r="V2390" s="38"/>
      <c r="W2390" s="38"/>
      <c r="X2390" s="38"/>
      <c r="Y2390" s="49"/>
      <c r="Z2390" s="49"/>
      <c r="BP2390" s="293"/>
    </row>
    <row r="2391" spans="12:68">
      <c r="L2391" s="296"/>
      <c r="M2391" s="30"/>
      <c r="N2391" s="38"/>
      <c r="O2391" s="38"/>
      <c r="P2391" s="38"/>
      <c r="Q2391" s="38"/>
      <c r="R2391" s="38"/>
      <c r="S2391" s="38"/>
      <c r="T2391" s="38"/>
      <c r="U2391" s="38"/>
      <c r="V2391" s="38"/>
      <c r="W2391" s="38"/>
      <c r="X2391" s="38"/>
      <c r="Y2391" s="49"/>
      <c r="Z2391" s="49"/>
      <c r="BP2391" s="293"/>
    </row>
    <row r="2392" spans="12:68">
      <c r="L2392" s="296"/>
      <c r="M2392" s="30"/>
      <c r="N2392" s="38"/>
      <c r="O2392" s="38"/>
      <c r="P2392" s="38"/>
      <c r="Q2392" s="38"/>
      <c r="R2392" s="38"/>
      <c r="S2392" s="38"/>
      <c r="T2392" s="38"/>
      <c r="U2392" s="38"/>
      <c r="V2392" s="38"/>
      <c r="W2392" s="38"/>
      <c r="X2392" s="38"/>
      <c r="Y2392" s="49"/>
      <c r="Z2392" s="49"/>
      <c r="BP2392" s="293"/>
    </row>
    <row r="2393" spans="12:68">
      <c r="L2393" s="296"/>
      <c r="M2393" s="30"/>
      <c r="N2393" s="38"/>
      <c r="O2393" s="38"/>
      <c r="P2393" s="38"/>
      <c r="Q2393" s="38"/>
      <c r="R2393" s="38"/>
      <c r="S2393" s="38"/>
      <c r="T2393" s="38"/>
      <c r="U2393" s="38"/>
      <c r="V2393" s="38"/>
      <c r="W2393" s="38"/>
      <c r="X2393" s="38"/>
      <c r="Y2393" s="49"/>
      <c r="Z2393" s="49"/>
      <c r="BP2393" s="293"/>
    </row>
    <row r="2394" spans="12:68">
      <c r="L2394" s="296"/>
      <c r="M2394" s="30"/>
      <c r="N2394" s="38"/>
      <c r="O2394" s="38"/>
      <c r="P2394" s="38"/>
      <c r="Q2394" s="38"/>
      <c r="R2394" s="38"/>
      <c r="S2394" s="38"/>
      <c r="T2394" s="38"/>
      <c r="U2394" s="38"/>
      <c r="V2394" s="38"/>
      <c r="W2394" s="38"/>
      <c r="X2394" s="38"/>
      <c r="Y2394" s="49"/>
      <c r="Z2394" s="49"/>
      <c r="BP2394" s="293"/>
    </row>
    <row r="2395" spans="12:68">
      <c r="L2395" s="296"/>
      <c r="M2395" s="30"/>
      <c r="N2395" s="38"/>
      <c r="O2395" s="38"/>
      <c r="P2395" s="38"/>
      <c r="Q2395" s="38"/>
      <c r="R2395" s="38"/>
      <c r="S2395" s="38"/>
      <c r="T2395" s="38"/>
      <c r="U2395" s="38"/>
      <c r="V2395" s="38"/>
      <c r="W2395" s="38"/>
      <c r="X2395" s="38"/>
      <c r="Y2395" s="49"/>
      <c r="Z2395" s="49"/>
      <c r="BP2395" s="293"/>
    </row>
    <row r="2396" spans="12:68">
      <c r="L2396" s="296"/>
      <c r="M2396" s="30"/>
      <c r="N2396" s="38"/>
      <c r="O2396" s="38"/>
      <c r="P2396" s="38"/>
      <c r="Q2396" s="38"/>
      <c r="R2396" s="38"/>
      <c r="S2396" s="38"/>
      <c r="T2396" s="38"/>
      <c r="U2396" s="38"/>
      <c r="V2396" s="38"/>
      <c r="W2396" s="38"/>
      <c r="X2396" s="38"/>
      <c r="Y2396" s="49"/>
      <c r="Z2396" s="49"/>
      <c r="BP2396" s="293"/>
    </row>
    <row r="2397" spans="12:68">
      <c r="L2397" s="296"/>
      <c r="M2397" s="30"/>
      <c r="N2397" s="38"/>
      <c r="O2397" s="38"/>
      <c r="P2397" s="38"/>
      <c r="Q2397" s="38"/>
      <c r="R2397" s="38"/>
      <c r="S2397" s="38"/>
      <c r="T2397" s="38"/>
      <c r="U2397" s="38"/>
      <c r="V2397" s="38"/>
      <c r="W2397" s="38"/>
      <c r="X2397" s="38"/>
      <c r="Y2397" s="49"/>
      <c r="Z2397" s="49"/>
      <c r="BP2397" s="293"/>
    </row>
    <row r="2398" spans="12:68">
      <c r="L2398" s="296"/>
      <c r="M2398" s="30"/>
      <c r="N2398" s="38"/>
      <c r="O2398" s="38"/>
      <c r="P2398" s="38"/>
      <c r="Q2398" s="38"/>
      <c r="R2398" s="38"/>
      <c r="S2398" s="38"/>
      <c r="T2398" s="38"/>
      <c r="U2398" s="38"/>
      <c r="V2398" s="38"/>
      <c r="W2398" s="38"/>
      <c r="X2398" s="38"/>
      <c r="Y2398" s="49"/>
      <c r="Z2398" s="49"/>
      <c r="BP2398" s="293"/>
    </row>
    <row r="2399" spans="12:68">
      <c r="L2399" s="296"/>
      <c r="M2399" s="30"/>
      <c r="N2399" s="38"/>
      <c r="O2399" s="38"/>
      <c r="P2399" s="38"/>
      <c r="Q2399" s="38"/>
      <c r="R2399" s="38"/>
      <c r="S2399" s="38"/>
      <c r="T2399" s="38"/>
      <c r="U2399" s="38"/>
      <c r="V2399" s="38"/>
      <c r="W2399" s="38"/>
      <c r="X2399" s="38"/>
      <c r="Y2399" s="49"/>
      <c r="Z2399" s="49"/>
      <c r="BP2399" s="293"/>
    </row>
    <row r="2400" spans="12:68">
      <c r="L2400" s="296"/>
      <c r="M2400" s="30"/>
      <c r="N2400" s="38"/>
      <c r="O2400" s="38"/>
      <c r="P2400" s="38"/>
      <c r="Q2400" s="38"/>
      <c r="R2400" s="38"/>
      <c r="S2400" s="38"/>
      <c r="T2400" s="38"/>
      <c r="U2400" s="38"/>
      <c r="V2400" s="38"/>
      <c r="W2400" s="38"/>
      <c r="X2400" s="38"/>
      <c r="Y2400" s="49"/>
      <c r="Z2400" s="49"/>
      <c r="BP2400" s="293"/>
    </row>
    <row r="2401" spans="12:68">
      <c r="L2401" s="296"/>
      <c r="M2401" s="30"/>
      <c r="N2401" s="38"/>
      <c r="O2401" s="38"/>
      <c r="P2401" s="38"/>
      <c r="Q2401" s="38"/>
      <c r="R2401" s="38"/>
      <c r="S2401" s="38"/>
      <c r="T2401" s="38"/>
      <c r="U2401" s="38"/>
      <c r="V2401" s="38"/>
      <c r="W2401" s="38"/>
      <c r="X2401" s="38"/>
      <c r="Y2401" s="49"/>
      <c r="Z2401" s="49"/>
      <c r="BP2401" s="293"/>
    </row>
    <row r="2402" spans="12:68">
      <c r="L2402" s="296"/>
      <c r="M2402" s="30"/>
      <c r="N2402" s="38"/>
      <c r="O2402" s="38"/>
      <c r="P2402" s="38"/>
      <c r="Q2402" s="38"/>
      <c r="R2402" s="38"/>
      <c r="S2402" s="38"/>
      <c r="T2402" s="38"/>
      <c r="U2402" s="38"/>
      <c r="V2402" s="38"/>
      <c r="W2402" s="38"/>
      <c r="X2402" s="38"/>
      <c r="Y2402" s="49"/>
      <c r="Z2402" s="49"/>
      <c r="BP2402" s="293"/>
    </row>
    <row r="2403" spans="12:68">
      <c r="L2403" s="296"/>
      <c r="M2403" s="30"/>
      <c r="N2403" s="38"/>
      <c r="O2403" s="38"/>
      <c r="P2403" s="38"/>
      <c r="Q2403" s="38"/>
      <c r="R2403" s="38"/>
      <c r="S2403" s="38"/>
      <c r="T2403" s="38"/>
      <c r="U2403" s="38"/>
      <c r="V2403" s="38"/>
      <c r="W2403" s="38"/>
      <c r="X2403" s="38"/>
      <c r="Y2403" s="49"/>
      <c r="Z2403" s="49"/>
      <c r="BP2403" s="293"/>
    </row>
    <row r="2404" spans="12:68">
      <c r="L2404" s="296"/>
      <c r="M2404" s="30"/>
      <c r="N2404" s="38"/>
      <c r="O2404" s="38"/>
      <c r="P2404" s="38"/>
      <c r="Q2404" s="38"/>
      <c r="R2404" s="38"/>
      <c r="S2404" s="38"/>
      <c r="T2404" s="38"/>
      <c r="U2404" s="38"/>
      <c r="V2404" s="38"/>
      <c r="W2404" s="38"/>
      <c r="X2404" s="38"/>
      <c r="Y2404" s="49"/>
      <c r="Z2404" s="49"/>
      <c r="BP2404" s="293"/>
    </row>
    <row r="2405" spans="12:68">
      <c r="L2405" s="296"/>
      <c r="M2405" s="30"/>
      <c r="N2405" s="38"/>
      <c r="O2405" s="38"/>
      <c r="P2405" s="38"/>
      <c r="Q2405" s="38"/>
      <c r="R2405" s="38"/>
      <c r="S2405" s="38"/>
      <c r="T2405" s="38"/>
      <c r="U2405" s="38"/>
      <c r="V2405" s="38"/>
      <c r="W2405" s="38"/>
      <c r="X2405" s="38"/>
      <c r="Y2405" s="49"/>
      <c r="Z2405" s="49"/>
      <c r="BP2405" s="293"/>
    </row>
    <row r="2406" spans="12:68">
      <c r="L2406" s="296"/>
      <c r="M2406" s="30"/>
      <c r="N2406" s="38"/>
      <c r="O2406" s="38"/>
      <c r="P2406" s="38"/>
      <c r="Q2406" s="38"/>
      <c r="R2406" s="38"/>
      <c r="S2406" s="38"/>
      <c r="T2406" s="38"/>
      <c r="U2406" s="38"/>
      <c r="V2406" s="38"/>
      <c r="W2406" s="38"/>
      <c r="X2406" s="38"/>
      <c r="Y2406" s="49"/>
      <c r="Z2406" s="49"/>
      <c r="BP2406" s="293"/>
    </row>
    <row r="2407" spans="12:68">
      <c r="L2407" s="296"/>
      <c r="M2407" s="30"/>
      <c r="N2407" s="38"/>
      <c r="O2407" s="38"/>
      <c r="P2407" s="38"/>
      <c r="Q2407" s="38"/>
      <c r="R2407" s="38"/>
      <c r="S2407" s="38"/>
      <c r="T2407" s="38"/>
      <c r="U2407" s="38"/>
      <c r="V2407" s="38"/>
      <c r="W2407" s="38"/>
      <c r="X2407" s="38"/>
      <c r="Y2407" s="49"/>
      <c r="Z2407" s="49"/>
      <c r="BP2407" s="293"/>
    </row>
    <row r="2408" spans="12:68">
      <c r="L2408" s="296"/>
      <c r="M2408" s="30"/>
      <c r="N2408" s="38"/>
      <c r="O2408" s="38"/>
      <c r="P2408" s="38"/>
      <c r="Q2408" s="38"/>
      <c r="R2408" s="38"/>
      <c r="S2408" s="38"/>
      <c r="T2408" s="38"/>
      <c r="U2408" s="38"/>
      <c r="V2408" s="38"/>
      <c r="W2408" s="38"/>
      <c r="X2408" s="38"/>
      <c r="Y2408" s="49"/>
      <c r="Z2408" s="49"/>
      <c r="BP2408" s="293"/>
    </row>
    <row r="2409" spans="12:68">
      <c r="L2409" s="296"/>
      <c r="M2409" s="30"/>
      <c r="N2409" s="38"/>
      <c r="O2409" s="38"/>
      <c r="P2409" s="38"/>
      <c r="Q2409" s="38"/>
      <c r="R2409" s="38"/>
      <c r="S2409" s="38"/>
      <c r="T2409" s="38"/>
      <c r="U2409" s="38"/>
      <c r="V2409" s="38"/>
      <c r="W2409" s="38"/>
      <c r="X2409" s="38"/>
      <c r="Y2409" s="49"/>
      <c r="Z2409" s="49"/>
      <c r="BP2409" s="293"/>
    </row>
    <row r="2410" spans="12:68">
      <c r="L2410" s="296"/>
      <c r="M2410" s="30"/>
      <c r="N2410" s="38"/>
      <c r="O2410" s="38"/>
      <c r="P2410" s="38"/>
      <c r="Q2410" s="38"/>
      <c r="R2410" s="38"/>
      <c r="S2410" s="38"/>
      <c r="T2410" s="38"/>
      <c r="U2410" s="38"/>
      <c r="V2410" s="38"/>
      <c r="W2410" s="38"/>
      <c r="X2410" s="38"/>
      <c r="Y2410" s="49"/>
      <c r="Z2410" s="49"/>
      <c r="BP2410" s="293"/>
    </row>
    <row r="2411" spans="12:68">
      <c r="L2411" s="296"/>
      <c r="M2411" s="30"/>
      <c r="N2411" s="38"/>
      <c r="O2411" s="38"/>
      <c r="P2411" s="38"/>
      <c r="Q2411" s="38"/>
      <c r="R2411" s="38"/>
      <c r="S2411" s="38"/>
      <c r="T2411" s="38"/>
      <c r="U2411" s="38"/>
      <c r="V2411" s="38"/>
      <c r="W2411" s="38"/>
      <c r="X2411" s="38"/>
      <c r="Y2411" s="49"/>
      <c r="Z2411" s="49"/>
      <c r="BP2411" s="293"/>
    </row>
    <row r="2412" spans="12:68">
      <c r="L2412" s="296"/>
      <c r="M2412" s="30"/>
      <c r="N2412" s="38"/>
      <c r="O2412" s="38"/>
      <c r="P2412" s="38"/>
      <c r="Q2412" s="38"/>
      <c r="R2412" s="38"/>
      <c r="S2412" s="38"/>
      <c r="T2412" s="38"/>
      <c r="U2412" s="38"/>
      <c r="V2412" s="38"/>
      <c r="W2412" s="38"/>
      <c r="X2412" s="38"/>
      <c r="Y2412" s="49"/>
      <c r="Z2412" s="49"/>
      <c r="BP2412" s="293"/>
    </row>
    <row r="2413" spans="12:68">
      <c r="L2413" s="296"/>
      <c r="M2413" s="30"/>
      <c r="N2413" s="38"/>
      <c r="O2413" s="38"/>
      <c r="P2413" s="38"/>
      <c r="Q2413" s="38"/>
      <c r="R2413" s="38"/>
      <c r="S2413" s="38"/>
      <c r="T2413" s="38"/>
      <c r="U2413" s="38"/>
      <c r="V2413" s="38"/>
      <c r="W2413" s="38"/>
      <c r="X2413" s="38"/>
      <c r="Y2413" s="49"/>
      <c r="Z2413" s="49"/>
      <c r="BP2413" s="293"/>
    </row>
    <row r="2414" spans="12:68">
      <c r="L2414" s="296"/>
      <c r="M2414" s="30"/>
      <c r="N2414" s="38"/>
      <c r="O2414" s="38"/>
      <c r="P2414" s="38"/>
      <c r="Q2414" s="38"/>
      <c r="R2414" s="38"/>
      <c r="S2414" s="38"/>
      <c r="T2414" s="38"/>
      <c r="U2414" s="38"/>
      <c r="V2414" s="38"/>
      <c r="W2414" s="38"/>
      <c r="X2414" s="38"/>
      <c r="Y2414" s="49"/>
      <c r="Z2414" s="49"/>
      <c r="BP2414" s="293"/>
    </row>
    <row r="2415" spans="12:68">
      <c r="L2415" s="296"/>
      <c r="M2415" s="30"/>
      <c r="N2415" s="38"/>
      <c r="O2415" s="38"/>
      <c r="P2415" s="38"/>
      <c r="Q2415" s="38"/>
      <c r="R2415" s="38"/>
      <c r="S2415" s="38"/>
      <c r="T2415" s="38"/>
      <c r="U2415" s="38"/>
      <c r="V2415" s="38"/>
      <c r="W2415" s="38"/>
      <c r="X2415" s="38"/>
      <c r="Y2415" s="49"/>
      <c r="Z2415" s="49"/>
      <c r="BP2415" s="293"/>
    </row>
    <row r="2416" spans="12:68">
      <c r="L2416" s="296"/>
      <c r="M2416" s="30"/>
      <c r="N2416" s="38"/>
      <c r="O2416" s="38"/>
      <c r="P2416" s="38"/>
      <c r="Q2416" s="38"/>
      <c r="R2416" s="38"/>
      <c r="S2416" s="38"/>
      <c r="T2416" s="38"/>
      <c r="U2416" s="38"/>
      <c r="V2416" s="38"/>
      <c r="W2416" s="38"/>
      <c r="X2416" s="38"/>
      <c r="Y2416" s="49"/>
      <c r="Z2416" s="49"/>
      <c r="BP2416" s="293"/>
    </row>
    <row r="2417" spans="12:68">
      <c r="L2417" s="296"/>
      <c r="M2417" s="30"/>
      <c r="N2417" s="38"/>
      <c r="O2417" s="38"/>
      <c r="P2417" s="38"/>
      <c r="Q2417" s="38"/>
      <c r="R2417" s="38"/>
      <c r="S2417" s="38"/>
      <c r="T2417" s="38"/>
      <c r="U2417" s="38"/>
      <c r="V2417" s="38"/>
      <c r="W2417" s="38"/>
      <c r="X2417" s="38"/>
      <c r="Y2417" s="49"/>
      <c r="Z2417" s="49"/>
      <c r="BP2417" s="293"/>
    </row>
    <row r="2418" spans="12:68">
      <c r="L2418" s="296"/>
      <c r="M2418" s="30"/>
      <c r="N2418" s="38"/>
      <c r="O2418" s="38"/>
      <c r="P2418" s="38"/>
      <c r="Q2418" s="38"/>
      <c r="R2418" s="38"/>
      <c r="S2418" s="38"/>
      <c r="T2418" s="38"/>
      <c r="U2418" s="38"/>
      <c r="V2418" s="38"/>
      <c r="W2418" s="38"/>
      <c r="X2418" s="38"/>
      <c r="Y2418" s="49"/>
      <c r="Z2418" s="49"/>
      <c r="BP2418" s="293"/>
    </row>
    <row r="2419" spans="12:68">
      <c r="L2419" s="296"/>
      <c r="M2419" s="30"/>
      <c r="N2419" s="38"/>
      <c r="O2419" s="38"/>
      <c r="P2419" s="38"/>
      <c r="Q2419" s="38"/>
      <c r="R2419" s="38"/>
      <c r="S2419" s="38"/>
      <c r="T2419" s="38"/>
      <c r="U2419" s="38"/>
      <c r="V2419" s="38"/>
      <c r="W2419" s="38"/>
      <c r="X2419" s="38"/>
      <c r="Y2419" s="49"/>
      <c r="Z2419" s="49"/>
      <c r="BP2419" s="293"/>
    </row>
    <row r="2420" spans="12:68">
      <c r="L2420" s="296"/>
      <c r="M2420" s="30"/>
      <c r="N2420" s="38"/>
      <c r="O2420" s="38"/>
      <c r="P2420" s="38"/>
      <c r="Q2420" s="38"/>
      <c r="R2420" s="38"/>
      <c r="S2420" s="38"/>
      <c r="T2420" s="38"/>
      <c r="U2420" s="38"/>
      <c r="V2420" s="38"/>
      <c r="W2420" s="38"/>
      <c r="X2420" s="38"/>
      <c r="Y2420" s="49"/>
      <c r="Z2420" s="49"/>
      <c r="BP2420" s="293"/>
    </row>
    <row r="2421" spans="12:68">
      <c r="L2421" s="296"/>
      <c r="M2421" s="30"/>
      <c r="N2421" s="38"/>
      <c r="O2421" s="38"/>
      <c r="P2421" s="38"/>
      <c r="Q2421" s="38"/>
      <c r="R2421" s="38"/>
      <c r="S2421" s="38"/>
      <c r="T2421" s="38"/>
      <c r="U2421" s="38"/>
      <c r="V2421" s="38"/>
      <c r="W2421" s="38"/>
      <c r="X2421" s="38"/>
      <c r="Y2421" s="49"/>
      <c r="Z2421" s="49"/>
      <c r="BP2421" s="293"/>
    </row>
    <row r="2422" spans="12:68">
      <c r="L2422" s="296"/>
      <c r="M2422" s="30"/>
      <c r="N2422" s="38"/>
      <c r="O2422" s="38"/>
      <c r="P2422" s="38"/>
      <c r="Q2422" s="38"/>
      <c r="R2422" s="38"/>
      <c r="S2422" s="38"/>
      <c r="T2422" s="38"/>
      <c r="U2422" s="38"/>
      <c r="V2422" s="38"/>
      <c r="W2422" s="38"/>
      <c r="X2422" s="38"/>
      <c r="Y2422" s="49"/>
      <c r="Z2422" s="49"/>
      <c r="BP2422" s="293"/>
    </row>
    <row r="2423" spans="12:68">
      <c r="L2423" s="296"/>
      <c r="M2423" s="30"/>
      <c r="N2423" s="38"/>
      <c r="O2423" s="38"/>
      <c r="P2423" s="38"/>
      <c r="Q2423" s="38"/>
      <c r="R2423" s="38"/>
      <c r="S2423" s="38"/>
      <c r="T2423" s="38"/>
      <c r="U2423" s="38"/>
      <c r="V2423" s="38"/>
      <c r="W2423" s="38"/>
      <c r="X2423" s="38"/>
      <c r="Y2423" s="49"/>
      <c r="Z2423" s="49"/>
      <c r="BP2423" s="293"/>
    </row>
    <row r="2424" spans="12:68">
      <c r="L2424" s="296"/>
      <c r="M2424" s="30"/>
      <c r="N2424" s="38"/>
      <c r="O2424" s="38"/>
      <c r="P2424" s="38"/>
      <c r="Q2424" s="38"/>
      <c r="R2424" s="38"/>
      <c r="S2424" s="38"/>
      <c r="T2424" s="38"/>
      <c r="U2424" s="38"/>
      <c r="V2424" s="38"/>
      <c r="W2424" s="38"/>
      <c r="X2424" s="38"/>
      <c r="Y2424" s="49"/>
      <c r="Z2424" s="49"/>
      <c r="BP2424" s="293"/>
    </row>
    <row r="2425" spans="12:68">
      <c r="L2425" s="296"/>
      <c r="M2425" s="30"/>
      <c r="N2425" s="38"/>
      <c r="O2425" s="38"/>
      <c r="P2425" s="38"/>
      <c r="Q2425" s="38"/>
      <c r="R2425" s="38"/>
      <c r="S2425" s="38"/>
      <c r="T2425" s="38"/>
      <c r="U2425" s="38"/>
      <c r="V2425" s="38"/>
      <c r="W2425" s="38"/>
      <c r="X2425" s="38"/>
      <c r="Y2425" s="49"/>
      <c r="Z2425" s="49"/>
      <c r="BP2425" s="293"/>
    </row>
    <row r="2426" spans="12:68">
      <c r="L2426" s="296"/>
      <c r="M2426" s="30"/>
      <c r="N2426" s="38"/>
      <c r="O2426" s="38"/>
      <c r="P2426" s="38"/>
      <c r="Q2426" s="38"/>
      <c r="R2426" s="38"/>
      <c r="S2426" s="38"/>
      <c r="T2426" s="38"/>
      <c r="U2426" s="38"/>
      <c r="V2426" s="38"/>
      <c r="W2426" s="38"/>
      <c r="X2426" s="38"/>
      <c r="Y2426" s="49"/>
      <c r="Z2426" s="49"/>
      <c r="BP2426" s="293"/>
    </row>
    <row r="2427" spans="12:68">
      <c r="L2427" s="296"/>
      <c r="M2427" s="30"/>
      <c r="N2427" s="38"/>
      <c r="O2427" s="38"/>
      <c r="P2427" s="38"/>
      <c r="Q2427" s="38"/>
      <c r="R2427" s="38"/>
      <c r="S2427" s="38"/>
      <c r="T2427" s="38"/>
      <c r="U2427" s="38"/>
      <c r="V2427" s="38"/>
      <c r="W2427" s="38"/>
      <c r="X2427" s="38"/>
      <c r="Y2427" s="49"/>
      <c r="Z2427" s="49"/>
      <c r="BP2427" s="293"/>
    </row>
    <row r="2428" spans="12:68">
      <c r="L2428" s="296"/>
      <c r="M2428" s="30"/>
      <c r="N2428" s="38"/>
      <c r="O2428" s="38"/>
      <c r="P2428" s="38"/>
      <c r="Q2428" s="38"/>
      <c r="R2428" s="38"/>
      <c r="S2428" s="38"/>
      <c r="T2428" s="38"/>
      <c r="U2428" s="38"/>
      <c r="V2428" s="38"/>
      <c r="W2428" s="38"/>
      <c r="X2428" s="38"/>
      <c r="Y2428" s="49"/>
      <c r="Z2428" s="49"/>
      <c r="BP2428" s="293"/>
    </row>
    <row r="2429" spans="12:68">
      <c r="L2429" s="296"/>
      <c r="M2429" s="30"/>
      <c r="N2429" s="38"/>
      <c r="O2429" s="38"/>
      <c r="P2429" s="38"/>
      <c r="Q2429" s="38"/>
      <c r="R2429" s="38"/>
      <c r="S2429" s="38"/>
      <c r="T2429" s="38"/>
      <c r="U2429" s="38"/>
      <c r="V2429" s="38"/>
      <c r="W2429" s="38"/>
      <c r="X2429" s="38"/>
      <c r="Y2429" s="49"/>
      <c r="Z2429" s="49"/>
      <c r="BP2429" s="293"/>
    </row>
    <row r="2430" spans="12:68">
      <c r="L2430" s="296"/>
      <c r="M2430" s="30"/>
      <c r="N2430" s="38"/>
      <c r="O2430" s="38"/>
      <c r="P2430" s="38"/>
      <c r="Q2430" s="38"/>
      <c r="R2430" s="38"/>
      <c r="S2430" s="38"/>
      <c r="T2430" s="38"/>
      <c r="U2430" s="38"/>
      <c r="V2430" s="38"/>
      <c r="W2430" s="38"/>
      <c r="X2430" s="38"/>
      <c r="Y2430" s="49"/>
      <c r="Z2430" s="49"/>
      <c r="BP2430" s="293"/>
    </row>
    <row r="2431" spans="12:68">
      <c r="L2431" s="296"/>
      <c r="M2431" s="30"/>
      <c r="N2431" s="38"/>
      <c r="O2431" s="38"/>
      <c r="P2431" s="38"/>
      <c r="Q2431" s="38"/>
      <c r="R2431" s="38"/>
      <c r="S2431" s="38"/>
      <c r="T2431" s="38"/>
      <c r="U2431" s="38"/>
      <c r="V2431" s="38"/>
      <c r="W2431" s="38"/>
      <c r="X2431" s="38"/>
      <c r="Y2431" s="49"/>
      <c r="Z2431" s="49"/>
      <c r="BP2431" s="293"/>
    </row>
    <row r="2432" spans="12:68">
      <c r="L2432" s="296"/>
      <c r="M2432" s="30"/>
      <c r="N2432" s="38"/>
      <c r="O2432" s="38"/>
      <c r="P2432" s="38"/>
      <c r="Q2432" s="38"/>
      <c r="R2432" s="38"/>
      <c r="S2432" s="38"/>
      <c r="T2432" s="38"/>
      <c r="U2432" s="38"/>
      <c r="V2432" s="38"/>
      <c r="W2432" s="38"/>
      <c r="X2432" s="38"/>
      <c r="Y2432" s="49"/>
      <c r="Z2432" s="49"/>
      <c r="BP2432" s="293"/>
    </row>
    <row r="2433" spans="12:68">
      <c r="L2433" s="296"/>
      <c r="M2433" s="30"/>
      <c r="N2433" s="38"/>
      <c r="O2433" s="38"/>
      <c r="P2433" s="38"/>
      <c r="Q2433" s="38"/>
      <c r="R2433" s="38"/>
      <c r="S2433" s="38"/>
      <c r="T2433" s="38"/>
      <c r="U2433" s="38"/>
      <c r="V2433" s="38"/>
      <c r="W2433" s="38"/>
      <c r="X2433" s="38"/>
      <c r="Y2433" s="49"/>
      <c r="Z2433" s="49"/>
      <c r="BP2433" s="293"/>
    </row>
    <row r="2434" spans="12:68">
      <c r="L2434" s="296"/>
      <c r="M2434" s="30"/>
      <c r="N2434" s="38"/>
      <c r="O2434" s="38"/>
      <c r="P2434" s="38"/>
      <c r="Q2434" s="38"/>
      <c r="R2434" s="38"/>
      <c r="S2434" s="38"/>
      <c r="T2434" s="38"/>
      <c r="U2434" s="38"/>
      <c r="V2434" s="38"/>
      <c r="W2434" s="38"/>
      <c r="X2434" s="38"/>
      <c r="Y2434" s="49"/>
      <c r="Z2434" s="49"/>
      <c r="BP2434" s="293"/>
    </row>
    <row r="2435" spans="12:68">
      <c r="L2435" s="296"/>
      <c r="M2435" s="30"/>
      <c r="N2435" s="38"/>
      <c r="O2435" s="38"/>
      <c r="P2435" s="38"/>
      <c r="Q2435" s="38"/>
      <c r="R2435" s="38"/>
      <c r="S2435" s="38"/>
      <c r="T2435" s="38"/>
      <c r="U2435" s="38"/>
      <c r="V2435" s="38"/>
      <c r="W2435" s="38"/>
      <c r="X2435" s="38"/>
      <c r="Y2435" s="49"/>
      <c r="Z2435" s="49"/>
      <c r="BP2435" s="293"/>
    </row>
    <row r="2436" spans="12:68">
      <c r="L2436" s="296"/>
      <c r="M2436" s="30"/>
      <c r="N2436" s="38"/>
      <c r="O2436" s="38"/>
      <c r="P2436" s="38"/>
      <c r="Q2436" s="38"/>
      <c r="R2436" s="38"/>
      <c r="S2436" s="38"/>
      <c r="T2436" s="38"/>
      <c r="U2436" s="38"/>
      <c r="V2436" s="38"/>
      <c r="W2436" s="38"/>
      <c r="X2436" s="38"/>
      <c r="Y2436" s="49"/>
      <c r="Z2436" s="49"/>
      <c r="BP2436" s="293"/>
    </row>
    <row r="2437" spans="12:68">
      <c r="L2437" s="296"/>
      <c r="M2437" s="30"/>
      <c r="N2437" s="38"/>
      <c r="O2437" s="38"/>
      <c r="P2437" s="38"/>
      <c r="Q2437" s="38"/>
      <c r="R2437" s="38"/>
      <c r="S2437" s="38"/>
      <c r="T2437" s="38"/>
      <c r="U2437" s="38"/>
      <c r="V2437" s="38"/>
      <c r="W2437" s="38"/>
      <c r="X2437" s="38"/>
      <c r="Y2437" s="49"/>
      <c r="Z2437" s="49"/>
      <c r="BP2437" s="293"/>
    </row>
    <row r="2438" spans="12:68">
      <c r="L2438" s="296"/>
      <c r="M2438" s="30"/>
      <c r="N2438" s="38"/>
      <c r="O2438" s="38"/>
      <c r="P2438" s="38"/>
      <c r="Q2438" s="38"/>
      <c r="R2438" s="38"/>
      <c r="S2438" s="38"/>
      <c r="T2438" s="38"/>
      <c r="U2438" s="38"/>
      <c r="V2438" s="38"/>
      <c r="W2438" s="38"/>
      <c r="X2438" s="38"/>
      <c r="Y2438" s="49"/>
      <c r="Z2438" s="49"/>
      <c r="BP2438" s="293"/>
    </row>
    <row r="2439" spans="12:68">
      <c r="L2439" s="296"/>
      <c r="M2439" s="30"/>
      <c r="N2439" s="38"/>
      <c r="O2439" s="38"/>
      <c r="P2439" s="38"/>
      <c r="Q2439" s="38"/>
      <c r="R2439" s="38"/>
      <c r="S2439" s="38"/>
      <c r="T2439" s="38"/>
      <c r="U2439" s="38"/>
      <c r="V2439" s="38"/>
      <c r="W2439" s="38"/>
      <c r="X2439" s="38"/>
      <c r="Y2439" s="49"/>
      <c r="Z2439" s="49"/>
      <c r="BP2439" s="293"/>
    </row>
    <row r="2440" spans="12:68">
      <c r="L2440" s="296"/>
      <c r="M2440" s="30"/>
      <c r="N2440" s="38"/>
      <c r="O2440" s="38"/>
      <c r="P2440" s="38"/>
      <c r="Q2440" s="38"/>
      <c r="R2440" s="38"/>
      <c r="S2440" s="38"/>
      <c r="T2440" s="38"/>
      <c r="U2440" s="38"/>
      <c r="V2440" s="38"/>
      <c r="W2440" s="38"/>
      <c r="X2440" s="38"/>
      <c r="Y2440" s="49"/>
      <c r="Z2440" s="49"/>
      <c r="BP2440" s="293"/>
    </row>
    <row r="2441" spans="12:68">
      <c r="L2441" s="296"/>
      <c r="M2441" s="30"/>
      <c r="N2441" s="38"/>
      <c r="O2441" s="38"/>
      <c r="P2441" s="38"/>
      <c r="Q2441" s="38"/>
      <c r="R2441" s="38"/>
      <c r="S2441" s="38"/>
      <c r="T2441" s="38"/>
      <c r="U2441" s="38"/>
      <c r="V2441" s="38"/>
      <c r="W2441" s="38"/>
      <c r="X2441" s="38"/>
      <c r="Y2441" s="49"/>
      <c r="Z2441" s="49"/>
      <c r="BP2441" s="293"/>
    </row>
    <row r="2442" spans="12:68">
      <c r="L2442" s="296"/>
      <c r="M2442" s="30"/>
      <c r="N2442" s="38"/>
      <c r="O2442" s="38"/>
      <c r="P2442" s="38"/>
      <c r="Q2442" s="38"/>
      <c r="R2442" s="38"/>
      <c r="S2442" s="38"/>
      <c r="T2442" s="38"/>
      <c r="U2442" s="38"/>
      <c r="V2442" s="38"/>
      <c r="W2442" s="38"/>
      <c r="X2442" s="38"/>
      <c r="Y2442" s="49"/>
      <c r="Z2442" s="49"/>
      <c r="BP2442" s="293"/>
    </row>
    <row r="2443" spans="12:68">
      <c r="L2443" s="296"/>
      <c r="M2443" s="30"/>
      <c r="N2443" s="38"/>
      <c r="O2443" s="38"/>
      <c r="P2443" s="38"/>
      <c r="Q2443" s="38"/>
      <c r="R2443" s="38"/>
      <c r="S2443" s="38"/>
      <c r="T2443" s="38"/>
      <c r="U2443" s="38"/>
      <c r="V2443" s="38"/>
      <c r="W2443" s="38"/>
      <c r="X2443" s="38"/>
      <c r="Y2443" s="49"/>
      <c r="Z2443" s="49"/>
      <c r="BP2443" s="293"/>
    </row>
    <row r="2444" spans="12:68">
      <c r="L2444" s="296"/>
      <c r="M2444" s="30"/>
      <c r="N2444" s="38"/>
      <c r="O2444" s="38"/>
      <c r="P2444" s="38"/>
      <c r="Q2444" s="38"/>
      <c r="R2444" s="38"/>
      <c r="S2444" s="38"/>
      <c r="T2444" s="38"/>
      <c r="U2444" s="38"/>
      <c r="V2444" s="38"/>
      <c r="W2444" s="38"/>
      <c r="X2444" s="38"/>
      <c r="Y2444" s="49"/>
      <c r="Z2444" s="49"/>
      <c r="BP2444" s="293"/>
    </row>
    <row r="2445" spans="12:68">
      <c r="L2445" s="296"/>
      <c r="M2445" s="30"/>
      <c r="N2445" s="38"/>
      <c r="O2445" s="38"/>
      <c r="P2445" s="38"/>
      <c r="Q2445" s="38"/>
      <c r="R2445" s="38"/>
      <c r="S2445" s="38"/>
      <c r="T2445" s="38"/>
      <c r="U2445" s="38"/>
      <c r="V2445" s="38"/>
      <c r="W2445" s="38"/>
      <c r="X2445" s="38"/>
      <c r="Y2445" s="49"/>
      <c r="Z2445" s="49"/>
      <c r="BP2445" s="293"/>
    </row>
    <row r="2446" spans="12:68">
      <c r="L2446" s="296"/>
      <c r="M2446" s="30"/>
      <c r="N2446" s="38"/>
      <c r="O2446" s="38"/>
      <c r="P2446" s="38"/>
      <c r="Q2446" s="38"/>
      <c r="R2446" s="38"/>
      <c r="S2446" s="38"/>
      <c r="T2446" s="38"/>
      <c r="U2446" s="38"/>
      <c r="V2446" s="38"/>
      <c r="W2446" s="38"/>
      <c r="X2446" s="38"/>
      <c r="Y2446" s="49"/>
      <c r="Z2446" s="49"/>
      <c r="BP2446" s="293"/>
    </row>
    <row r="2447" spans="12:68">
      <c r="L2447" s="296"/>
      <c r="M2447" s="30"/>
      <c r="N2447" s="38"/>
      <c r="O2447" s="38"/>
      <c r="P2447" s="38"/>
      <c r="Q2447" s="38"/>
      <c r="R2447" s="38"/>
      <c r="S2447" s="38"/>
      <c r="T2447" s="38"/>
      <c r="U2447" s="38"/>
      <c r="V2447" s="38"/>
      <c r="W2447" s="38"/>
      <c r="X2447" s="38"/>
      <c r="Y2447" s="49"/>
      <c r="Z2447" s="49"/>
      <c r="BP2447" s="293"/>
    </row>
    <row r="2448" spans="12:68">
      <c r="L2448" s="296"/>
      <c r="M2448" s="30"/>
      <c r="N2448" s="38"/>
      <c r="O2448" s="38"/>
      <c r="P2448" s="38"/>
      <c r="Q2448" s="38"/>
      <c r="R2448" s="38"/>
      <c r="S2448" s="38"/>
      <c r="T2448" s="38"/>
      <c r="U2448" s="38"/>
      <c r="V2448" s="38"/>
      <c r="W2448" s="38"/>
      <c r="X2448" s="38"/>
      <c r="Y2448" s="49"/>
      <c r="Z2448" s="49"/>
      <c r="BP2448" s="293"/>
    </row>
    <row r="2449" spans="12:68">
      <c r="L2449" s="296"/>
      <c r="M2449" s="30"/>
      <c r="N2449" s="38"/>
      <c r="O2449" s="38"/>
      <c r="P2449" s="38"/>
      <c r="Q2449" s="38"/>
      <c r="R2449" s="38"/>
      <c r="S2449" s="38"/>
      <c r="T2449" s="38"/>
      <c r="U2449" s="38"/>
      <c r="V2449" s="38"/>
      <c r="W2449" s="38"/>
      <c r="X2449" s="38"/>
      <c r="Y2449" s="49"/>
      <c r="Z2449" s="49"/>
      <c r="BP2449" s="293"/>
    </row>
    <row r="2450" spans="12:68">
      <c r="L2450" s="296"/>
      <c r="M2450" s="30"/>
      <c r="N2450" s="38"/>
      <c r="O2450" s="38"/>
      <c r="P2450" s="38"/>
      <c r="Q2450" s="38"/>
      <c r="R2450" s="38"/>
      <c r="S2450" s="38"/>
      <c r="T2450" s="38"/>
      <c r="U2450" s="38"/>
      <c r="V2450" s="38"/>
      <c r="W2450" s="38"/>
      <c r="X2450" s="38"/>
      <c r="Y2450" s="49"/>
      <c r="Z2450" s="49"/>
      <c r="BP2450" s="293"/>
    </row>
    <row r="2451" spans="12:68">
      <c r="L2451" s="296"/>
      <c r="M2451" s="30"/>
      <c r="N2451" s="38"/>
      <c r="O2451" s="38"/>
      <c r="P2451" s="38"/>
      <c r="Q2451" s="38"/>
      <c r="R2451" s="38"/>
      <c r="S2451" s="38"/>
      <c r="T2451" s="38"/>
      <c r="U2451" s="38"/>
      <c r="V2451" s="38"/>
      <c r="W2451" s="38"/>
      <c r="X2451" s="38"/>
      <c r="Y2451" s="49"/>
      <c r="Z2451" s="49"/>
      <c r="BP2451" s="293"/>
    </row>
    <row r="2452" spans="12:68">
      <c r="L2452" s="296"/>
      <c r="M2452" s="30"/>
      <c r="N2452" s="38"/>
      <c r="O2452" s="38"/>
      <c r="P2452" s="38"/>
      <c r="Q2452" s="38"/>
      <c r="R2452" s="38"/>
      <c r="S2452" s="38"/>
      <c r="T2452" s="38"/>
      <c r="U2452" s="38"/>
      <c r="V2452" s="38"/>
      <c r="W2452" s="38"/>
      <c r="X2452" s="38"/>
      <c r="Y2452" s="49"/>
      <c r="Z2452" s="49"/>
      <c r="BP2452" s="293"/>
    </row>
    <row r="2453" spans="12:68">
      <c r="L2453" s="296"/>
      <c r="M2453" s="30"/>
      <c r="N2453" s="38"/>
      <c r="O2453" s="38"/>
      <c r="P2453" s="38"/>
      <c r="Q2453" s="38"/>
      <c r="R2453" s="38"/>
      <c r="S2453" s="38"/>
      <c r="T2453" s="38"/>
      <c r="U2453" s="38"/>
      <c r="V2453" s="38"/>
      <c r="W2453" s="38"/>
      <c r="X2453" s="38"/>
      <c r="Y2453" s="49"/>
      <c r="Z2453" s="49"/>
      <c r="BP2453" s="293"/>
    </row>
    <row r="2454" spans="12:68">
      <c r="L2454" s="296"/>
      <c r="M2454" s="30"/>
      <c r="N2454" s="38"/>
      <c r="O2454" s="38"/>
      <c r="P2454" s="38"/>
      <c r="Q2454" s="38"/>
      <c r="R2454" s="38"/>
      <c r="S2454" s="38"/>
      <c r="T2454" s="38"/>
      <c r="U2454" s="38"/>
      <c r="V2454" s="38"/>
      <c r="W2454" s="38"/>
      <c r="X2454" s="38"/>
      <c r="Y2454" s="49"/>
      <c r="Z2454" s="49"/>
      <c r="BP2454" s="293"/>
    </row>
    <row r="2455" spans="12:68">
      <c r="L2455" s="296"/>
      <c r="M2455" s="30"/>
      <c r="N2455" s="38"/>
      <c r="O2455" s="38"/>
      <c r="P2455" s="38"/>
      <c r="Q2455" s="38"/>
      <c r="R2455" s="38"/>
      <c r="S2455" s="38"/>
      <c r="T2455" s="38"/>
      <c r="U2455" s="38"/>
      <c r="V2455" s="38"/>
      <c r="W2455" s="38"/>
      <c r="X2455" s="38"/>
      <c r="Y2455" s="49"/>
      <c r="Z2455" s="49"/>
      <c r="BP2455" s="293"/>
    </row>
    <row r="2456" spans="12:68">
      <c r="L2456" s="296"/>
      <c r="M2456" s="30"/>
      <c r="N2456" s="38"/>
      <c r="O2456" s="38"/>
      <c r="P2456" s="38"/>
      <c r="Q2456" s="38"/>
      <c r="R2456" s="38"/>
      <c r="S2456" s="38"/>
      <c r="T2456" s="38"/>
      <c r="U2456" s="38"/>
      <c r="V2456" s="38"/>
      <c r="W2456" s="38"/>
      <c r="X2456" s="38"/>
      <c r="Y2456" s="49"/>
      <c r="Z2456" s="49"/>
      <c r="BP2456" s="293"/>
    </row>
    <row r="2457" spans="12:68">
      <c r="L2457" s="296"/>
      <c r="M2457" s="30"/>
      <c r="N2457" s="38"/>
      <c r="O2457" s="38"/>
      <c r="P2457" s="38"/>
      <c r="Q2457" s="38"/>
      <c r="R2457" s="38"/>
      <c r="S2457" s="38"/>
      <c r="T2457" s="38"/>
      <c r="U2457" s="38"/>
      <c r="V2457" s="38"/>
      <c r="W2457" s="38"/>
      <c r="X2457" s="38"/>
      <c r="Y2457" s="49"/>
      <c r="Z2457" s="49"/>
      <c r="BP2457" s="293"/>
    </row>
    <row r="2458" spans="12:68">
      <c r="L2458" s="296"/>
      <c r="M2458" s="30"/>
      <c r="N2458" s="38"/>
      <c r="O2458" s="38"/>
      <c r="P2458" s="38"/>
      <c r="Q2458" s="38"/>
      <c r="R2458" s="38"/>
      <c r="S2458" s="38"/>
      <c r="T2458" s="38"/>
      <c r="U2458" s="38"/>
      <c r="V2458" s="38"/>
      <c r="W2458" s="38"/>
      <c r="X2458" s="38"/>
      <c r="Y2458" s="49"/>
      <c r="Z2458" s="49"/>
      <c r="BP2458" s="293"/>
    </row>
    <row r="2459" spans="12:68">
      <c r="L2459" s="296"/>
      <c r="M2459" s="30"/>
      <c r="N2459" s="38"/>
      <c r="O2459" s="38"/>
      <c r="P2459" s="38"/>
      <c r="Q2459" s="38"/>
      <c r="R2459" s="38"/>
      <c r="S2459" s="38"/>
      <c r="T2459" s="38"/>
      <c r="U2459" s="38"/>
      <c r="V2459" s="38"/>
      <c r="W2459" s="38"/>
      <c r="X2459" s="38"/>
      <c r="Y2459" s="49"/>
      <c r="Z2459" s="49"/>
      <c r="BP2459" s="293"/>
    </row>
    <row r="2460" spans="12:68">
      <c r="L2460" s="296"/>
      <c r="M2460" s="30"/>
      <c r="N2460" s="38"/>
      <c r="O2460" s="38"/>
      <c r="P2460" s="38"/>
      <c r="Q2460" s="38"/>
      <c r="R2460" s="38"/>
      <c r="S2460" s="38"/>
      <c r="T2460" s="38"/>
      <c r="U2460" s="38"/>
      <c r="V2460" s="38"/>
      <c r="W2460" s="38"/>
      <c r="X2460" s="38"/>
      <c r="Y2460" s="49"/>
      <c r="Z2460" s="49"/>
      <c r="BP2460" s="293"/>
    </row>
    <row r="2461" spans="12:68">
      <c r="L2461" s="296"/>
      <c r="M2461" s="30"/>
      <c r="N2461" s="38"/>
      <c r="O2461" s="38"/>
      <c r="P2461" s="38"/>
      <c r="Q2461" s="38"/>
      <c r="R2461" s="38"/>
      <c r="S2461" s="38"/>
      <c r="T2461" s="38"/>
      <c r="U2461" s="38"/>
      <c r="V2461" s="38"/>
      <c r="W2461" s="38"/>
      <c r="X2461" s="38"/>
      <c r="Y2461" s="49"/>
      <c r="Z2461" s="49"/>
      <c r="BP2461" s="293"/>
    </row>
    <row r="2462" spans="12:68">
      <c r="L2462" s="296"/>
      <c r="M2462" s="30"/>
      <c r="N2462" s="38"/>
      <c r="O2462" s="38"/>
      <c r="P2462" s="38"/>
      <c r="Q2462" s="38"/>
      <c r="R2462" s="38"/>
      <c r="S2462" s="38"/>
      <c r="T2462" s="38"/>
      <c r="U2462" s="38"/>
      <c r="V2462" s="38"/>
      <c r="W2462" s="38"/>
      <c r="X2462" s="38"/>
      <c r="Y2462" s="49"/>
      <c r="Z2462" s="49"/>
      <c r="BP2462" s="293"/>
    </row>
    <row r="2463" spans="12:68">
      <c r="L2463" s="296"/>
      <c r="M2463" s="30"/>
      <c r="N2463" s="38"/>
      <c r="O2463" s="38"/>
      <c r="P2463" s="38"/>
      <c r="Q2463" s="38"/>
      <c r="R2463" s="38"/>
      <c r="S2463" s="38"/>
      <c r="T2463" s="38"/>
      <c r="U2463" s="38"/>
      <c r="V2463" s="38"/>
      <c r="W2463" s="38"/>
      <c r="X2463" s="38"/>
      <c r="Y2463" s="49"/>
      <c r="Z2463" s="49"/>
      <c r="BP2463" s="293"/>
    </row>
    <row r="2464" spans="12:68">
      <c r="L2464" s="296"/>
      <c r="M2464" s="30"/>
      <c r="N2464" s="38"/>
      <c r="O2464" s="38"/>
      <c r="P2464" s="38"/>
      <c r="Q2464" s="38"/>
      <c r="R2464" s="38"/>
      <c r="S2464" s="38"/>
      <c r="T2464" s="38"/>
      <c r="U2464" s="38"/>
      <c r="V2464" s="38"/>
      <c r="W2464" s="38"/>
      <c r="X2464" s="38"/>
      <c r="Y2464" s="49"/>
      <c r="Z2464" s="49"/>
      <c r="BP2464" s="293"/>
    </row>
    <row r="2465" spans="12:68">
      <c r="L2465" s="296"/>
      <c r="M2465" s="30"/>
      <c r="N2465" s="38"/>
      <c r="O2465" s="38"/>
      <c r="P2465" s="38"/>
      <c r="Q2465" s="38"/>
      <c r="R2465" s="38"/>
      <c r="S2465" s="38"/>
      <c r="T2465" s="38"/>
      <c r="U2465" s="38"/>
      <c r="V2465" s="38"/>
      <c r="W2465" s="38"/>
      <c r="X2465" s="38"/>
      <c r="Y2465" s="49"/>
      <c r="Z2465" s="49"/>
      <c r="BP2465" s="293"/>
    </row>
    <row r="2466" spans="12:68">
      <c r="L2466" s="296"/>
      <c r="M2466" s="30"/>
      <c r="N2466" s="38"/>
      <c r="O2466" s="38"/>
      <c r="P2466" s="38"/>
      <c r="Q2466" s="38"/>
      <c r="R2466" s="38"/>
      <c r="S2466" s="38"/>
      <c r="T2466" s="38"/>
      <c r="U2466" s="38"/>
      <c r="V2466" s="38"/>
      <c r="W2466" s="38"/>
      <c r="X2466" s="38"/>
      <c r="Y2466" s="49"/>
      <c r="Z2466" s="49"/>
      <c r="BP2466" s="293"/>
    </row>
    <row r="2467" spans="12:68">
      <c r="L2467" s="296"/>
      <c r="M2467" s="30"/>
      <c r="N2467" s="38"/>
      <c r="O2467" s="38"/>
      <c r="P2467" s="38"/>
      <c r="Q2467" s="38"/>
      <c r="R2467" s="38"/>
      <c r="S2467" s="38"/>
      <c r="T2467" s="38"/>
      <c r="U2467" s="38"/>
      <c r="V2467" s="38"/>
      <c r="W2467" s="38"/>
      <c r="X2467" s="38"/>
      <c r="Y2467" s="49"/>
      <c r="Z2467" s="49"/>
      <c r="BP2467" s="293"/>
    </row>
    <row r="2468" spans="12:68">
      <c r="L2468" s="296"/>
      <c r="M2468" s="30"/>
      <c r="N2468" s="38"/>
      <c r="O2468" s="38"/>
      <c r="P2468" s="38"/>
      <c r="Q2468" s="38"/>
      <c r="R2468" s="38"/>
      <c r="S2468" s="38"/>
      <c r="T2468" s="38"/>
      <c r="U2468" s="38"/>
      <c r="V2468" s="38"/>
      <c r="W2468" s="38"/>
      <c r="X2468" s="38"/>
      <c r="Y2468" s="49"/>
      <c r="Z2468" s="49"/>
      <c r="BP2468" s="293"/>
    </row>
    <row r="2469" spans="12:68">
      <c r="L2469" s="296"/>
      <c r="M2469" s="30"/>
      <c r="N2469" s="38"/>
      <c r="O2469" s="38"/>
      <c r="P2469" s="38"/>
      <c r="Q2469" s="38"/>
      <c r="R2469" s="38"/>
      <c r="S2469" s="38"/>
      <c r="T2469" s="38"/>
      <c r="U2469" s="38"/>
      <c r="V2469" s="38"/>
      <c r="W2469" s="38"/>
      <c r="X2469" s="38"/>
      <c r="Y2469" s="49"/>
      <c r="Z2469" s="49"/>
      <c r="BP2469" s="293"/>
    </row>
    <row r="2470" spans="12:68">
      <c r="L2470" s="296"/>
      <c r="M2470" s="30"/>
      <c r="N2470" s="38"/>
      <c r="O2470" s="38"/>
      <c r="P2470" s="38"/>
      <c r="Q2470" s="38"/>
      <c r="R2470" s="38"/>
      <c r="S2470" s="38"/>
      <c r="T2470" s="38"/>
      <c r="U2470" s="38"/>
      <c r="V2470" s="38"/>
      <c r="W2470" s="38"/>
      <c r="X2470" s="38"/>
      <c r="Y2470" s="49"/>
      <c r="Z2470" s="49"/>
      <c r="BP2470" s="293"/>
    </row>
    <row r="2471" spans="12:68">
      <c r="L2471" s="296"/>
      <c r="M2471" s="30"/>
      <c r="N2471" s="38"/>
      <c r="O2471" s="38"/>
      <c r="P2471" s="38"/>
      <c r="Q2471" s="38"/>
      <c r="R2471" s="38"/>
      <c r="S2471" s="38"/>
      <c r="T2471" s="38"/>
      <c r="U2471" s="38"/>
      <c r="V2471" s="38"/>
      <c r="W2471" s="38"/>
      <c r="X2471" s="38"/>
      <c r="Y2471" s="49"/>
      <c r="Z2471" s="49"/>
      <c r="BP2471" s="293"/>
    </row>
    <row r="2472" spans="12:68">
      <c r="L2472" s="296"/>
      <c r="M2472" s="30"/>
      <c r="N2472" s="38"/>
      <c r="O2472" s="38"/>
      <c r="P2472" s="38"/>
      <c r="Q2472" s="38"/>
      <c r="R2472" s="38"/>
      <c r="S2472" s="38"/>
      <c r="T2472" s="38"/>
      <c r="U2472" s="38"/>
      <c r="V2472" s="38"/>
      <c r="W2472" s="38"/>
      <c r="X2472" s="38"/>
      <c r="Y2472" s="49"/>
      <c r="Z2472" s="49"/>
      <c r="BP2472" s="293"/>
    </row>
    <row r="2473" spans="12:68">
      <c r="L2473" s="296"/>
      <c r="M2473" s="30"/>
      <c r="N2473" s="38"/>
      <c r="O2473" s="38"/>
      <c r="P2473" s="38"/>
      <c r="Q2473" s="38"/>
      <c r="R2473" s="38"/>
      <c r="S2473" s="38"/>
      <c r="T2473" s="38"/>
      <c r="U2473" s="38"/>
      <c r="V2473" s="38"/>
      <c r="W2473" s="38"/>
      <c r="X2473" s="38"/>
      <c r="Y2473" s="49"/>
      <c r="Z2473" s="49"/>
      <c r="BP2473" s="293"/>
    </row>
    <row r="2474" spans="12:68">
      <c r="L2474" s="296"/>
      <c r="M2474" s="30"/>
      <c r="N2474" s="38"/>
      <c r="O2474" s="38"/>
      <c r="P2474" s="38"/>
      <c r="Q2474" s="38"/>
      <c r="R2474" s="38"/>
      <c r="S2474" s="38"/>
      <c r="T2474" s="38"/>
      <c r="U2474" s="38"/>
      <c r="V2474" s="38"/>
      <c r="W2474" s="38"/>
      <c r="X2474" s="38"/>
      <c r="Y2474" s="49"/>
      <c r="Z2474" s="49"/>
      <c r="BP2474" s="293"/>
    </row>
    <row r="2475" spans="12:68">
      <c r="L2475" s="296"/>
      <c r="M2475" s="30"/>
      <c r="N2475" s="38"/>
      <c r="O2475" s="38"/>
      <c r="P2475" s="38"/>
      <c r="Q2475" s="38"/>
      <c r="R2475" s="38"/>
      <c r="S2475" s="38"/>
      <c r="T2475" s="38"/>
      <c r="U2475" s="38"/>
      <c r="V2475" s="38"/>
      <c r="W2475" s="38"/>
      <c r="X2475" s="38"/>
      <c r="Y2475" s="49"/>
      <c r="Z2475" s="49"/>
      <c r="BP2475" s="293"/>
    </row>
    <row r="2476" spans="12:68">
      <c r="L2476" s="296"/>
      <c r="M2476" s="30"/>
      <c r="N2476" s="38"/>
      <c r="O2476" s="38"/>
      <c r="P2476" s="38"/>
      <c r="Q2476" s="38"/>
      <c r="R2476" s="38"/>
      <c r="S2476" s="38"/>
      <c r="T2476" s="38"/>
      <c r="U2476" s="38"/>
      <c r="V2476" s="38"/>
      <c r="W2476" s="38"/>
      <c r="X2476" s="38"/>
      <c r="Y2476" s="49"/>
      <c r="Z2476" s="49"/>
      <c r="BP2476" s="293"/>
    </row>
    <row r="2477" spans="12:68">
      <c r="L2477" s="296"/>
      <c r="M2477" s="30"/>
      <c r="N2477" s="38"/>
      <c r="O2477" s="38"/>
      <c r="P2477" s="38"/>
      <c r="Q2477" s="38"/>
      <c r="R2477" s="38"/>
      <c r="S2477" s="38"/>
      <c r="T2477" s="38"/>
      <c r="U2477" s="38"/>
      <c r="V2477" s="38"/>
      <c r="W2477" s="38"/>
      <c r="X2477" s="38"/>
      <c r="Y2477" s="49"/>
      <c r="Z2477" s="49"/>
      <c r="BP2477" s="293"/>
    </row>
    <row r="2478" spans="12:68">
      <c r="L2478" s="296"/>
      <c r="M2478" s="30"/>
      <c r="N2478" s="38"/>
      <c r="O2478" s="38"/>
      <c r="P2478" s="38"/>
      <c r="Q2478" s="38"/>
      <c r="R2478" s="38"/>
      <c r="S2478" s="38"/>
      <c r="T2478" s="38"/>
      <c r="U2478" s="38"/>
      <c r="V2478" s="38"/>
      <c r="W2478" s="38"/>
      <c r="X2478" s="38"/>
      <c r="Y2478" s="49"/>
      <c r="Z2478" s="49"/>
      <c r="BP2478" s="293"/>
    </row>
    <row r="2479" spans="12:68">
      <c r="L2479" s="296"/>
      <c r="M2479" s="30"/>
      <c r="N2479" s="38"/>
      <c r="O2479" s="38"/>
      <c r="P2479" s="38"/>
      <c r="Q2479" s="38"/>
      <c r="R2479" s="38"/>
      <c r="S2479" s="38"/>
      <c r="T2479" s="38"/>
      <c r="U2479" s="38"/>
      <c r="V2479" s="38"/>
      <c r="W2479" s="38"/>
      <c r="X2479" s="38"/>
      <c r="Y2479" s="49"/>
      <c r="Z2479" s="49"/>
      <c r="BP2479" s="293"/>
    </row>
    <row r="2480" spans="12:68">
      <c r="L2480" s="296"/>
      <c r="M2480" s="30"/>
      <c r="N2480" s="38"/>
      <c r="O2480" s="38"/>
      <c r="P2480" s="38"/>
      <c r="Q2480" s="38"/>
      <c r="R2480" s="38"/>
      <c r="S2480" s="38"/>
      <c r="T2480" s="38"/>
      <c r="U2480" s="38"/>
      <c r="V2480" s="38"/>
      <c r="W2480" s="38"/>
      <c r="X2480" s="38"/>
      <c r="Y2480" s="49"/>
      <c r="Z2480" s="49"/>
      <c r="BP2480" s="293"/>
    </row>
    <row r="2481" spans="12:68">
      <c r="L2481" s="296"/>
      <c r="M2481" s="30"/>
      <c r="N2481" s="38"/>
      <c r="O2481" s="38"/>
      <c r="P2481" s="38"/>
      <c r="Q2481" s="38"/>
      <c r="R2481" s="38"/>
      <c r="S2481" s="38"/>
      <c r="T2481" s="38"/>
      <c r="U2481" s="38"/>
      <c r="V2481" s="38"/>
      <c r="W2481" s="38"/>
      <c r="X2481" s="38"/>
      <c r="Y2481" s="49"/>
      <c r="Z2481" s="49"/>
      <c r="BP2481" s="293"/>
    </row>
    <row r="2482" spans="12:68">
      <c r="L2482" s="296"/>
      <c r="M2482" s="30"/>
      <c r="N2482" s="38"/>
      <c r="O2482" s="38"/>
      <c r="P2482" s="38"/>
      <c r="Q2482" s="38"/>
      <c r="R2482" s="38"/>
      <c r="S2482" s="38"/>
      <c r="T2482" s="38"/>
      <c r="U2482" s="38"/>
      <c r="V2482" s="38"/>
      <c r="W2482" s="38"/>
      <c r="X2482" s="38"/>
      <c r="Y2482" s="49"/>
      <c r="Z2482" s="49"/>
      <c r="BP2482" s="293"/>
    </row>
    <row r="2483" spans="12:68">
      <c r="L2483" s="296"/>
      <c r="M2483" s="30"/>
      <c r="N2483" s="38"/>
      <c r="O2483" s="38"/>
      <c r="P2483" s="38"/>
      <c r="Q2483" s="38"/>
      <c r="R2483" s="38"/>
      <c r="S2483" s="38"/>
      <c r="T2483" s="38"/>
      <c r="U2483" s="38"/>
      <c r="V2483" s="38"/>
      <c r="W2483" s="38"/>
      <c r="X2483" s="38"/>
      <c r="Y2483" s="49"/>
      <c r="Z2483" s="49"/>
      <c r="BP2483" s="293"/>
    </row>
    <row r="2484" spans="12:68">
      <c r="L2484" s="296"/>
      <c r="M2484" s="30"/>
      <c r="N2484" s="38"/>
      <c r="O2484" s="38"/>
      <c r="P2484" s="38"/>
      <c r="Q2484" s="38"/>
      <c r="R2484" s="38"/>
      <c r="S2484" s="38"/>
      <c r="T2484" s="38"/>
      <c r="U2484" s="38"/>
      <c r="V2484" s="38"/>
      <c r="W2484" s="38"/>
      <c r="X2484" s="38"/>
      <c r="Y2484" s="49"/>
      <c r="Z2484" s="49"/>
      <c r="BP2484" s="293"/>
    </row>
    <row r="2485" spans="12:68">
      <c r="L2485" s="296"/>
      <c r="M2485" s="30"/>
      <c r="N2485" s="38"/>
      <c r="O2485" s="38"/>
      <c r="P2485" s="38"/>
      <c r="Q2485" s="38"/>
      <c r="R2485" s="38"/>
      <c r="S2485" s="38"/>
      <c r="T2485" s="38"/>
      <c r="U2485" s="38"/>
      <c r="V2485" s="38"/>
      <c r="W2485" s="38"/>
      <c r="X2485" s="38"/>
      <c r="Y2485" s="49"/>
      <c r="Z2485" s="49"/>
      <c r="BP2485" s="293"/>
    </row>
    <row r="2486" spans="12:68">
      <c r="L2486" s="296"/>
      <c r="M2486" s="30"/>
      <c r="N2486" s="38"/>
      <c r="O2486" s="38"/>
      <c r="P2486" s="38"/>
      <c r="Q2486" s="38"/>
      <c r="R2486" s="38"/>
      <c r="S2486" s="38"/>
      <c r="T2486" s="38"/>
      <c r="U2486" s="38"/>
      <c r="V2486" s="38"/>
      <c r="W2486" s="38"/>
      <c r="X2486" s="38"/>
      <c r="Y2486" s="49"/>
      <c r="Z2486" s="49"/>
      <c r="BP2486" s="293"/>
    </row>
    <row r="2487" spans="12:68">
      <c r="L2487" s="296"/>
      <c r="M2487" s="30"/>
      <c r="N2487" s="38"/>
      <c r="O2487" s="38"/>
      <c r="P2487" s="38"/>
      <c r="Q2487" s="38"/>
      <c r="R2487" s="38"/>
      <c r="S2487" s="38"/>
      <c r="T2487" s="38"/>
      <c r="U2487" s="38"/>
      <c r="V2487" s="38"/>
      <c r="W2487" s="38"/>
      <c r="X2487" s="38"/>
      <c r="Y2487" s="49"/>
      <c r="Z2487" s="49"/>
      <c r="BP2487" s="293"/>
    </row>
    <row r="2488" spans="12:68">
      <c r="L2488" s="296"/>
      <c r="M2488" s="30"/>
      <c r="N2488" s="38"/>
      <c r="O2488" s="38"/>
      <c r="P2488" s="38"/>
      <c r="Q2488" s="38"/>
      <c r="R2488" s="38"/>
      <c r="S2488" s="38"/>
      <c r="T2488" s="38"/>
      <c r="U2488" s="38"/>
      <c r="V2488" s="38"/>
      <c r="W2488" s="38"/>
      <c r="X2488" s="38"/>
      <c r="Y2488" s="49"/>
      <c r="Z2488" s="49"/>
      <c r="BP2488" s="293"/>
    </row>
    <row r="2489" spans="12:68">
      <c r="L2489" s="296"/>
      <c r="M2489" s="30"/>
      <c r="N2489" s="38"/>
      <c r="O2489" s="38"/>
      <c r="P2489" s="38"/>
      <c r="Q2489" s="38"/>
      <c r="R2489" s="38"/>
      <c r="S2489" s="38"/>
      <c r="T2489" s="38"/>
      <c r="U2489" s="38"/>
      <c r="V2489" s="38"/>
      <c r="W2489" s="38"/>
      <c r="X2489" s="38"/>
      <c r="Y2489" s="49"/>
      <c r="Z2489" s="49"/>
      <c r="BP2489" s="293"/>
    </row>
    <row r="2490" spans="12:68">
      <c r="L2490" s="296"/>
      <c r="M2490" s="30"/>
      <c r="N2490" s="38"/>
      <c r="O2490" s="38"/>
      <c r="P2490" s="38"/>
      <c r="Q2490" s="38"/>
      <c r="R2490" s="38"/>
      <c r="S2490" s="38"/>
      <c r="T2490" s="38"/>
      <c r="U2490" s="38"/>
      <c r="V2490" s="38"/>
      <c r="W2490" s="38"/>
      <c r="X2490" s="38"/>
      <c r="Y2490" s="49"/>
      <c r="Z2490" s="49"/>
      <c r="BP2490" s="293"/>
    </row>
    <row r="2491" spans="12:68">
      <c r="L2491" s="296"/>
      <c r="M2491" s="30"/>
      <c r="N2491" s="38"/>
      <c r="O2491" s="38"/>
      <c r="P2491" s="38"/>
      <c r="Q2491" s="38"/>
      <c r="R2491" s="38"/>
      <c r="S2491" s="38"/>
      <c r="T2491" s="38"/>
      <c r="U2491" s="38"/>
      <c r="V2491" s="38"/>
      <c r="W2491" s="38"/>
      <c r="X2491" s="38"/>
      <c r="Y2491" s="49"/>
      <c r="Z2491" s="49"/>
      <c r="BP2491" s="293"/>
    </row>
    <row r="2492" spans="12:68">
      <c r="L2492" s="296"/>
      <c r="M2492" s="30"/>
      <c r="N2492" s="38"/>
      <c r="O2492" s="38"/>
      <c r="P2492" s="38"/>
      <c r="Q2492" s="38"/>
      <c r="R2492" s="38"/>
      <c r="S2492" s="38"/>
      <c r="T2492" s="38"/>
      <c r="U2492" s="38"/>
      <c r="V2492" s="38"/>
      <c r="W2492" s="38"/>
      <c r="X2492" s="38"/>
      <c r="Y2492" s="49"/>
      <c r="Z2492" s="49"/>
      <c r="BP2492" s="293"/>
    </row>
    <row r="2493" spans="12:68">
      <c r="L2493" s="296"/>
      <c r="M2493" s="30"/>
      <c r="N2493" s="38"/>
      <c r="O2493" s="38"/>
      <c r="P2493" s="38"/>
      <c r="Q2493" s="38"/>
      <c r="R2493" s="38"/>
      <c r="S2493" s="38"/>
      <c r="T2493" s="38"/>
      <c r="U2493" s="38"/>
      <c r="V2493" s="38"/>
      <c r="W2493" s="38"/>
      <c r="X2493" s="38"/>
      <c r="Y2493" s="49"/>
      <c r="Z2493" s="49"/>
      <c r="BP2493" s="293"/>
    </row>
    <row r="2494" spans="12:68">
      <c r="L2494" s="296"/>
      <c r="M2494" s="30"/>
      <c r="N2494" s="38"/>
      <c r="O2494" s="38"/>
      <c r="P2494" s="38"/>
      <c r="Q2494" s="38"/>
      <c r="R2494" s="38"/>
      <c r="S2494" s="38"/>
      <c r="T2494" s="38"/>
      <c r="U2494" s="38"/>
      <c r="V2494" s="38"/>
      <c r="W2494" s="38"/>
      <c r="X2494" s="38"/>
      <c r="Y2494" s="49"/>
      <c r="Z2494" s="49"/>
      <c r="BP2494" s="293"/>
    </row>
    <row r="2495" spans="12:68">
      <c r="L2495" s="296"/>
      <c r="M2495" s="30"/>
      <c r="N2495" s="38"/>
      <c r="O2495" s="38"/>
      <c r="P2495" s="38"/>
      <c r="Q2495" s="38"/>
      <c r="R2495" s="38"/>
      <c r="S2495" s="38"/>
      <c r="T2495" s="38"/>
      <c r="U2495" s="38"/>
      <c r="V2495" s="38"/>
      <c r="W2495" s="38"/>
      <c r="X2495" s="38"/>
      <c r="Y2495" s="49"/>
      <c r="Z2495" s="49"/>
      <c r="BP2495" s="293"/>
    </row>
    <row r="2496" spans="12:68">
      <c r="L2496" s="296"/>
      <c r="M2496" s="30"/>
      <c r="N2496" s="38"/>
      <c r="O2496" s="38"/>
      <c r="P2496" s="38"/>
      <c r="Q2496" s="38"/>
      <c r="R2496" s="38"/>
      <c r="S2496" s="38"/>
      <c r="T2496" s="38"/>
      <c r="U2496" s="38"/>
      <c r="V2496" s="38"/>
      <c r="W2496" s="38"/>
      <c r="X2496" s="38"/>
      <c r="Y2496" s="49"/>
      <c r="Z2496" s="49"/>
      <c r="BP2496" s="293"/>
    </row>
    <row r="2497" spans="12:68">
      <c r="L2497" s="296"/>
      <c r="M2497" s="30"/>
      <c r="N2497" s="38"/>
      <c r="O2497" s="38"/>
      <c r="P2497" s="38"/>
      <c r="Q2497" s="38"/>
      <c r="R2497" s="38"/>
      <c r="S2497" s="38"/>
      <c r="T2497" s="38"/>
      <c r="U2497" s="38"/>
      <c r="V2497" s="38"/>
      <c r="W2497" s="38"/>
      <c r="X2497" s="38"/>
      <c r="Y2497" s="49"/>
      <c r="Z2497" s="49"/>
      <c r="BP2497" s="293"/>
    </row>
    <row r="2498" spans="12:68">
      <c r="L2498" s="296"/>
      <c r="M2498" s="30"/>
      <c r="N2498" s="38"/>
      <c r="O2498" s="38"/>
      <c r="P2498" s="38"/>
      <c r="Q2498" s="38"/>
      <c r="R2498" s="38"/>
      <c r="S2498" s="38"/>
      <c r="T2498" s="38"/>
      <c r="U2498" s="38"/>
      <c r="V2498" s="38"/>
      <c r="W2498" s="38"/>
      <c r="X2498" s="38"/>
      <c r="Y2498" s="49"/>
      <c r="Z2498" s="49"/>
      <c r="BP2498" s="293"/>
    </row>
    <row r="2499" spans="12:68">
      <c r="L2499" s="296"/>
      <c r="M2499" s="30"/>
      <c r="N2499" s="38"/>
      <c r="O2499" s="38"/>
      <c r="P2499" s="38"/>
      <c r="Q2499" s="38"/>
      <c r="R2499" s="38"/>
      <c r="S2499" s="38"/>
      <c r="T2499" s="38"/>
      <c r="U2499" s="38"/>
      <c r="V2499" s="38"/>
      <c r="W2499" s="38"/>
      <c r="X2499" s="38"/>
      <c r="Y2499" s="49"/>
      <c r="Z2499" s="49"/>
      <c r="BP2499" s="293"/>
    </row>
    <row r="2500" spans="12:68">
      <c r="L2500" s="296"/>
      <c r="M2500" s="30"/>
      <c r="N2500" s="38"/>
      <c r="O2500" s="38"/>
      <c r="P2500" s="38"/>
      <c r="Q2500" s="38"/>
      <c r="R2500" s="38"/>
      <c r="S2500" s="38"/>
      <c r="T2500" s="38"/>
      <c r="U2500" s="38"/>
      <c r="V2500" s="38"/>
      <c r="W2500" s="38"/>
      <c r="X2500" s="38"/>
      <c r="Y2500" s="49"/>
      <c r="Z2500" s="49"/>
      <c r="BP2500" s="293"/>
    </row>
    <row r="2501" spans="12:68">
      <c r="L2501" s="296"/>
      <c r="M2501" s="30"/>
      <c r="N2501" s="38"/>
      <c r="O2501" s="38"/>
      <c r="P2501" s="38"/>
      <c r="Q2501" s="38"/>
      <c r="R2501" s="38"/>
      <c r="S2501" s="38"/>
      <c r="T2501" s="38"/>
      <c r="U2501" s="38"/>
      <c r="V2501" s="38"/>
      <c r="W2501" s="38"/>
      <c r="X2501" s="38"/>
      <c r="Y2501" s="49"/>
      <c r="Z2501" s="49"/>
      <c r="BP2501" s="293"/>
    </row>
    <row r="2502" spans="12:68">
      <c r="L2502" s="296"/>
      <c r="M2502" s="30"/>
      <c r="N2502" s="38"/>
      <c r="O2502" s="38"/>
      <c r="P2502" s="38"/>
      <c r="Q2502" s="38"/>
      <c r="R2502" s="38"/>
      <c r="S2502" s="38"/>
      <c r="T2502" s="38"/>
      <c r="U2502" s="38"/>
      <c r="V2502" s="38"/>
      <c r="W2502" s="38"/>
      <c r="X2502" s="38"/>
      <c r="Y2502" s="49"/>
      <c r="Z2502" s="49"/>
      <c r="BP2502" s="293"/>
    </row>
    <row r="2503" spans="12:68">
      <c r="L2503" s="296"/>
      <c r="M2503" s="30"/>
      <c r="N2503" s="38"/>
      <c r="O2503" s="38"/>
      <c r="P2503" s="38"/>
      <c r="Q2503" s="38"/>
      <c r="R2503" s="38"/>
      <c r="S2503" s="38"/>
      <c r="T2503" s="38"/>
      <c r="U2503" s="38"/>
      <c r="V2503" s="38"/>
      <c r="W2503" s="38"/>
      <c r="X2503" s="38"/>
      <c r="Y2503" s="49"/>
      <c r="Z2503" s="49"/>
      <c r="BP2503" s="293"/>
    </row>
    <row r="2504" spans="12:68">
      <c r="L2504" s="296"/>
      <c r="M2504" s="30"/>
      <c r="N2504" s="38"/>
      <c r="O2504" s="38"/>
      <c r="P2504" s="38"/>
      <c r="Q2504" s="38"/>
      <c r="R2504" s="38"/>
      <c r="S2504" s="38"/>
      <c r="T2504" s="38"/>
      <c r="U2504" s="38"/>
      <c r="V2504" s="38"/>
      <c r="W2504" s="38"/>
      <c r="X2504" s="38"/>
      <c r="Y2504" s="49"/>
      <c r="Z2504" s="49"/>
      <c r="BP2504" s="293"/>
    </row>
    <row r="2505" spans="12:68">
      <c r="L2505" s="296"/>
      <c r="M2505" s="30"/>
      <c r="N2505" s="38"/>
      <c r="O2505" s="38"/>
      <c r="P2505" s="38"/>
      <c r="Q2505" s="38"/>
      <c r="R2505" s="38"/>
      <c r="S2505" s="38"/>
      <c r="T2505" s="38"/>
      <c r="U2505" s="38"/>
      <c r="V2505" s="38"/>
      <c r="W2505" s="38"/>
      <c r="X2505" s="38"/>
      <c r="Y2505" s="49"/>
      <c r="Z2505" s="49"/>
      <c r="BP2505" s="293"/>
    </row>
    <row r="2506" spans="12:68">
      <c r="L2506" s="296"/>
      <c r="M2506" s="30"/>
      <c r="N2506" s="38"/>
      <c r="O2506" s="38"/>
      <c r="P2506" s="38"/>
      <c r="Q2506" s="38"/>
      <c r="R2506" s="38"/>
      <c r="S2506" s="38"/>
      <c r="T2506" s="38"/>
      <c r="U2506" s="38"/>
      <c r="V2506" s="38"/>
      <c r="W2506" s="38"/>
      <c r="X2506" s="38"/>
      <c r="Y2506" s="49"/>
      <c r="Z2506" s="49"/>
      <c r="BP2506" s="293"/>
    </row>
    <row r="2507" spans="12:68">
      <c r="L2507" s="296"/>
      <c r="M2507" s="30"/>
      <c r="N2507" s="38"/>
      <c r="O2507" s="38"/>
      <c r="P2507" s="38"/>
      <c r="Q2507" s="38"/>
      <c r="R2507" s="38"/>
      <c r="S2507" s="38"/>
      <c r="T2507" s="38"/>
      <c r="U2507" s="38"/>
      <c r="V2507" s="38"/>
      <c r="W2507" s="38"/>
      <c r="X2507" s="38"/>
      <c r="Y2507" s="49"/>
      <c r="Z2507" s="49"/>
      <c r="BP2507" s="293"/>
    </row>
    <row r="2508" spans="12:68">
      <c r="L2508" s="296"/>
      <c r="M2508" s="30"/>
      <c r="N2508" s="38"/>
      <c r="O2508" s="38"/>
      <c r="P2508" s="38"/>
      <c r="Q2508" s="38"/>
      <c r="R2508" s="38"/>
      <c r="S2508" s="38"/>
      <c r="T2508" s="38"/>
      <c r="U2508" s="38"/>
      <c r="V2508" s="38"/>
      <c r="W2508" s="38"/>
      <c r="X2508" s="38"/>
      <c r="Y2508" s="49"/>
      <c r="Z2508" s="49"/>
      <c r="BP2508" s="293"/>
    </row>
    <row r="2509" spans="12:68">
      <c r="L2509" s="296"/>
      <c r="M2509" s="30"/>
      <c r="N2509" s="38"/>
      <c r="O2509" s="38"/>
      <c r="P2509" s="38"/>
      <c r="Q2509" s="38"/>
      <c r="R2509" s="38"/>
      <c r="S2509" s="38"/>
      <c r="T2509" s="38"/>
      <c r="U2509" s="38"/>
      <c r="V2509" s="38"/>
      <c r="W2509" s="38"/>
      <c r="X2509" s="38"/>
      <c r="Y2509" s="49"/>
      <c r="Z2509" s="49"/>
      <c r="BP2509" s="293"/>
    </row>
    <row r="2510" spans="12:68">
      <c r="L2510" s="296"/>
      <c r="M2510" s="30"/>
      <c r="N2510" s="38"/>
      <c r="O2510" s="38"/>
      <c r="P2510" s="38"/>
      <c r="Q2510" s="38"/>
      <c r="R2510" s="38"/>
      <c r="S2510" s="38"/>
      <c r="T2510" s="38"/>
      <c r="U2510" s="38"/>
      <c r="V2510" s="38"/>
      <c r="W2510" s="38"/>
      <c r="X2510" s="38"/>
      <c r="Y2510" s="49"/>
      <c r="Z2510" s="49"/>
      <c r="BP2510" s="293"/>
    </row>
    <row r="2511" spans="12:68">
      <c r="L2511" s="296"/>
      <c r="M2511" s="30"/>
      <c r="N2511" s="38"/>
      <c r="O2511" s="38"/>
      <c r="P2511" s="38"/>
      <c r="Q2511" s="38"/>
      <c r="R2511" s="38"/>
      <c r="S2511" s="38"/>
      <c r="T2511" s="38"/>
      <c r="U2511" s="38"/>
      <c r="V2511" s="38"/>
      <c r="W2511" s="38"/>
      <c r="X2511" s="38"/>
      <c r="Y2511" s="49"/>
      <c r="Z2511" s="49"/>
      <c r="BP2511" s="293"/>
    </row>
    <row r="2512" spans="12:68">
      <c r="L2512" s="296"/>
      <c r="M2512" s="30"/>
      <c r="N2512" s="38"/>
      <c r="O2512" s="38"/>
      <c r="P2512" s="38"/>
      <c r="Q2512" s="38"/>
      <c r="R2512" s="38"/>
      <c r="S2512" s="38"/>
      <c r="T2512" s="38"/>
      <c r="U2512" s="38"/>
      <c r="V2512" s="38"/>
      <c r="W2512" s="38"/>
      <c r="X2512" s="38"/>
      <c r="Y2512" s="49"/>
      <c r="Z2512" s="49"/>
      <c r="BP2512" s="293"/>
    </row>
    <row r="2513" spans="12:68">
      <c r="L2513" s="296"/>
      <c r="M2513" s="30"/>
      <c r="N2513" s="38"/>
      <c r="O2513" s="38"/>
      <c r="P2513" s="38"/>
      <c r="Q2513" s="38"/>
      <c r="R2513" s="38"/>
      <c r="S2513" s="38"/>
      <c r="T2513" s="38"/>
      <c r="U2513" s="38"/>
      <c r="V2513" s="38"/>
      <c r="W2513" s="38"/>
      <c r="X2513" s="38"/>
      <c r="Y2513" s="49"/>
      <c r="Z2513" s="49"/>
      <c r="BP2513" s="293"/>
    </row>
    <row r="2514" spans="12:68">
      <c r="L2514" s="296"/>
      <c r="M2514" s="30"/>
      <c r="N2514" s="38"/>
      <c r="O2514" s="38"/>
      <c r="P2514" s="38"/>
      <c r="Q2514" s="38"/>
      <c r="R2514" s="38"/>
      <c r="S2514" s="38"/>
      <c r="T2514" s="38"/>
      <c r="U2514" s="38"/>
      <c r="V2514" s="38"/>
      <c r="W2514" s="38"/>
      <c r="X2514" s="38"/>
      <c r="Y2514" s="49"/>
      <c r="Z2514" s="49"/>
      <c r="BP2514" s="293"/>
    </row>
    <row r="2515" spans="12:68">
      <c r="L2515" s="296"/>
      <c r="M2515" s="30"/>
      <c r="N2515" s="38"/>
      <c r="O2515" s="38"/>
      <c r="P2515" s="38"/>
      <c r="Q2515" s="38"/>
      <c r="R2515" s="38"/>
      <c r="S2515" s="38"/>
      <c r="T2515" s="38"/>
      <c r="U2515" s="38"/>
      <c r="V2515" s="38"/>
      <c r="W2515" s="38"/>
      <c r="X2515" s="38"/>
      <c r="Y2515" s="49"/>
      <c r="Z2515" s="49"/>
      <c r="BP2515" s="293"/>
    </row>
    <row r="2516" spans="12:68">
      <c r="L2516" s="296"/>
      <c r="M2516" s="30"/>
      <c r="N2516" s="38"/>
      <c r="O2516" s="38"/>
      <c r="P2516" s="38"/>
      <c r="Q2516" s="38"/>
      <c r="R2516" s="38"/>
      <c r="S2516" s="38"/>
      <c r="T2516" s="38"/>
      <c r="U2516" s="38"/>
      <c r="V2516" s="38"/>
      <c r="W2516" s="38"/>
      <c r="X2516" s="38"/>
      <c r="Y2516" s="49"/>
      <c r="Z2516" s="49"/>
      <c r="BP2516" s="293"/>
    </row>
    <row r="2517" spans="12:68">
      <c r="L2517" s="296"/>
      <c r="M2517" s="30"/>
      <c r="N2517" s="38"/>
      <c r="O2517" s="38"/>
      <c r="P2517" s="38"/>
      <c r="Q2517" s="38"/>
      <c r="R2517" s="38"/>
      <c r="S2517" s="38"/>
      <c r="T2517" s="38"/>
      <c r="U2517" s="38"/>
      <c r="V2517" s="38"/>
      <c r="W2517" s="38"/>
      <c r="X2517" s="38"/>
      <c r="Y2517" s="49"/>
      <c r="Z2517" s="49"/>
      <c r="BP2517" s="293"/>
    </row>
    <row r="2518" spans="12:68">
      <c r="L2518" s="296"/>
      <c r="M2518" s="30"/>
      <c r="N2518" s="38"/>
      <c r="O2518" s="38"/>
      <c r="P2518" s="38"/>
      <c r="Q2518" s="38"/>
      <c r="R2518" s="38"/>
      <c r="S2518" s="38"/>
      <c r="T2518" s="38"/>
      <c r="U2518" s="38"/>
      <c r="V2518" s="38"/>
      <c r="W2518" s="38"/>
      <c r="X2518" s="38"/>
      <c r="Y2518" s="49"/>
      <c r="Z2518" s="49"/>
      <c r="BP2518" s="293"/>
    </row>
    <row r="2519" spans="12:68">
      <c r="L2519" s="296"/>
      <c r="M2519" s="30"/>
      <c r="N2519" s="38"/>
      <c r="O2519" s="38"/>
      <c r="P2519" s="38"/>
      <c r="Q2519" s="38"/>
      <c r="R2519" s="38"/>
      <c r="S2519" s="38"/>
      <c r="T2519" s="38"/>
      <c r="U2519" s="38"/>
      <c r="V2519" s="38"/>
      <c r="W2519" s="38"/>
      <c r="X2519" s="38"/>
      <c r="Y2519" s="49"/>
      <c r="Z2519" s="49"/>
      <c r="BP2519" s="293"/>
    </row>
    <row r="2520" spans="12:68">
      <c r="L2520" s="296"/>
      <c r="M2520" s="30"/>
      <c r="N2520" s="38"/>
      <c r="O2520" s="38"/>
      <c r="P2520" s="38"/>
      <c r="Q2520" s="38"/>
      <c r="R2520" s="38"/>
      <c r="S2520" s="38"/>
      <c r="T2520" s="38"/>
      <c r="U2520" s="38"/>
      <c r="V2520" s="38"/>
      <c r="W2520" s="38"/>
      <c r="X2520" s="38"/>
      <c r="Y2520" s="49"/>
      <c r="Z2520" s="49"/>
      <c r="BP2520" s="293"/>
    </row>
    <row r="2521" spans="12:68">
      <c r="L2521" s="296"/>
      <c r="M2521" s="30"/>
      <c r="N2521" s="38"/>
      <c r="O2521" s="38"/>
      <c r="P2521" s="38"/>
      <c r="Q2521" s="38"/>
      <c r="R2521" s="38"/>
      <c r="S2521" s="38"/>
      <c r="T2521" s="38"/>
      <c r="U2521" s="38"/>
      <c r="V2521" s="38"/>
      <c r="W2521" s="38"/>
      <c r="X2521" s="38"/>
      <c r="Y2521" s="49"/>
      <c r="Z2521" s="49"/>
      <c r="BP2521" s="293"/>
    </row>
    <row r="2522" spans="12:68">
      <c r="L2522" s="296"/>
      <c r="M2522" s="30"/>
      <c r="N2522" s="38"/>
      <c r="O2522" s="38"/>
      <c r="P2522" s="38"/>
      <c r="Q2522" s="38"/>
      <c r="R2522" s="38"/>
      <c r="S2522" s="38"/>
      <c r="T2522" s="38"/>
      <c r="U2522" s="38"/>
      <c r="V2522" s="38"/>
      <c r="W2522" s="38"/>
      <c r="X2522" s="38"/>
      <c r="Y2522" s="49"/>
      <c r="Z2522" s="49"/>
      <c r="BP2522" s="293"/>
    </row>
    <row r="2523" spans="12:68">
      <c r="L2523" s="296"/>
      <c r="M2523" s="30"/>
      <c r="N2523" s="38"/>
      <c r="O2523" s="38"/>
      <c r="P2523" s="38"/>
      <c r="Q2523" s="38"/>
      <c r="R2523" s="38"/>
      <c r="S2523" s="38"/>
      <c r="T2523" s="38"/>
      <c r="U2523" s="38"/>
      <c r="V2523" s="38"/>
      <c r="W2523" s="38"/>
      <c r="X2523" s="38"/>
      <c r="Y2523" s="49"/>
      <c r="Z2523" s="49"/>
      <c r="BP2523" s="293"/>
    </row>
    <row r="2524" spans="12:68">
      <c r="L2524" s="296"/>
      <c r="M2524" s="30"/>
      <c r="N2524" s="38"/>
      <c r="O2524" s="38"/>
      <c r="P2524" s="38"/>
      <c r="Q2524" s="38"/>
      <c r="R2524" s="38"/>
      <c r="S2524" s="38"/>
      <c r="T2524" s="38"/>
      <c r="U2524" s="38"/>
      <c r="V2524" s="38"/>
      <c r="W2524" s="38"/>
      <c r="X2524" s="38"/>
      <c r="Y2524" s="49"/>
      <c r="Z2524" s="49"/>
      <c r="BP2524" s="293"/>
    </row>
    <row r="2525" spans="12:68">
      <c r="L2525" s="296"/>
      <c r="M2525" s="30"/>
      <c r="N2525" s="38"/>
      <c r="O2525" s="38"/>
      <c r="P2525" s="38"/>
      <c r="Q2525" s="38"/>
      <c r="R2525" s="38"/>
      <c r="S2525" s="38"/>
      <c r="T2525" s="38"/>
      <c r="U2525" s="38"/>
      <c r="V2525" s="38"/>
      <c r="W2525" s="38"/>
      <c r="X2525" s="38"/>
      <c r="Y2525" s="49"/>
      <c r="Z2525" s="49"/>
      <c r="BP2525" s="293"/>
    </row>
    <row r="2526" spans="12:68">
      <c r="L2526" s="296"/>
      <c r="M2526" s="30"/>
      <c r="N2526" s="38"/>
      <c r="O2526" s="38"/>
      <c r="P2526" s="38"/>
      <c r="Q2526" s="38"/>
      <c r="R2526" s="38"/>
      <c r="S2526" s="38"/>
      <c r="T2526" s="38"/>
      <c r="U2526" s="38"/>
      <c r="V2526" s="38"/>
      <c r="W2526" s="38"/>
      <c r="X2526" s="38"/>
      <c r="Y2526" s="49"/>
      <c r="Z2526" s="49"/>
      <c r="BP2526" s="293"/>
    </row>
    <row r="2527" spans="12:68">
      <c r="L2527" s="296"/>
      <c r="M2527" s="30"/>
      <c r="N2527" s="38"/>
      <c r="O2527" s="38"/>
      <c r="P2527" s="38"/>
      <c r="Q2527" s="38"/>
      <c r="R2527" s="38"/>
      <c r="S2527" s="38"/>
      <c r="T2527" s="38"/>
      <c r="U2527" s="38"/>
      <c r="V2527" s="38"/>
      <c r="W2527" s="38"/>
      <c r="X2527" s="38"/>
      <c r="Y2527" s="49"/>
      <c r="Z2527" s="49"/>
      <c r="BP2527" s="293"/>
    </row>
    <row r="2528" spans="12:68">
      <c r="L2528" s="296"/>
      <c r="M2528" s="30"/>
      <c r="N2528" s="38"/>
      <c r="O2528" s="38"/>
      <c r="P2528" s="38"/>
      <c r="Q2528" s="38"/>
      <c r="R2528" s="38"/>
      <c r="S2528" s="38"/>
      <c r="T2528" s="38"/>
      <c r="U2528" s="38"/>
      <c r="V2528" s="38"/>
      <c r="W2528" s="38"/>
      <c r="X2528" s="38"/>
      <c r="Y2528" s="49"/>
      <c r="Z2528" s="49"/>
      <c r="BP2528" s="293"/>
    </row>
  </sheetData>
  <autoFilter ref="A1:BS2528"/>
  <pageMargins left="1.1023622047244095" right="0.15748031496062992" top="1.5354330708661419" bottom="0.15748031496062992" header="0.74803149606299213" footer="0.27559055118110237"/>
  <pageSetup paperSize="5" scale="48" orientation="landscape" r:id="rId1"/>
  <headerFooter>
    <oddHeader xml:space="preserve">&amp;L&amp;G
&amp;14                      &amp;C&amp;"-,Negrita"&amp;16ESTADO SITUACION ESTIMADO   FNDR MES DE JUNIO 2018&amp;R&amp;9DIVISION DE PRESUPUESTO E 
INVERSION REGIONAL
&amp;D                                   
</oddHeader>
    <oddFooter>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FRIL MAYO</vt:lpstr>
      <vt:lpstr>GRAFICO 2</vt:lpstr>
      <vt:lpstr>GRAFICO1</vt:lpstr>
      <vt:lpstr>SECTOR</vt:lpstr>
      <vt:lpstr>PROVINCIA</vt:lpstr>
      <vt:lpstr>PROVISION</vt:lpstr>
      <vt:lpstr>RESUMEN</vt:lpstr>
      <vt:lpstr>MAYO</vt:lpstr>
      <vt:lpstr>'FRIL MAYO'!Área_de_impresión</vt:lpstr>
      <vt:lpstr>MAYO!Área_de_impresión</vt:lpstr>
      <vt:lpstr>'FRIL MAYO'!Títulos_a_imprimir</vt:lpstr>
      <vt:lpstr>MAYO!Títulos_a_imprimir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Anteproyecto Presupuesto 2018</dc:title>
  <dc:creator>Carlos Muñoz;Fabricio Carra</dc:creator>
  <cp:lastModifiedBy>Usuario</cp:lastModifiedBy>
  <cp:lastPrinted>2018-06-11T12:41:12Z</cp:lastPrinted>
  <dcterms:created xsi:type="dcterms:W3CDTF">2014-03-24T13:50:12Z</dcterms:created>
  <dcterms:modified xsi:type="dcterms:W3CDTF">2018-06-11T18:41:32Z</dcterms:modified>
</cp:coreProperties>
</file>